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FA673C6-5AAB-46BB-80DE-12D569401081}" xr6:coauthVersionLast="36" xr6:coauthVersionMax="36" xr10:uidLastSave="{00000000-0000-0000-0000-000000000000}"/>
  <bookViews>
    <workbookView xWindow="-15" yWindow="13770" windowWidth="20730" windowHeight="6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4" i="179" l="1"/>
  <c r="L13" i="179"/>
  <c r="L12" i="179"/>
  <c r="L11" i="179"/>
  <c r="L27" i="183"/>
  <c r="L26" i="183"/>
  <c r="L25" i="183"/>
  <c r="L24" i="183"/>
  <c r="L23" i="183"/>
  <c r="L22" i="183"/>
  <c r="L21" i="183"/>
  <c r="L20" i="183"/>
  <c r="L19" i="183"/>
  <c r="L18" i="183"/>
  <c r="L17" i="183"/>
  <c r="L16" i="183"/>
  <c r="L15" i="183"/>
  <c r="L14" i="183"/>
  <c r="L13" i="183"/>
  <c r="L12" i="183"/>
  <c r="L11" i="183"/>
  <c r="B4" i="183"/>
  <c r="C4" i="3" l="1"/>
  <c r="C39" i="3"/>
  <c r="C65" i="5"/>
  <c r="C5" i="29"/>
  <c r="F8" i="29"/>
  <c r="H169" i="29"/>
  <c r="D215" i="29"/>
  <c r="F32"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E26" i="108"/>
  <c r="G26" i="108"/>
  <c r="D27" i="108"/>
  <c r="E27" i="108"/>
  <c r="F27" i="108"/>
  <c r="G27" i="108"/>
  <c r="E28" i="108"/>
  <c r="F31" i="108"/>
  <c r="F37" i="108"/>
  <c r="G28" i="108"/>
  <c r="E29" i="108"/>
  <c r="D31" i="108"/>
  <c r="D36" i="108"/>
  <c r="E31" i="108"/>
  <c r="G31" i="108"/>
  <c r="E33" i="108"/>
  <c r="G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D11" i="37"/>
  <c r="D22" i="37"/>
  <c r="L22" i="37"/>
  <c r="D24" i="37"/>
  <c r="B4270" i="106" s="1"/>
  <c r="D4270" i="106" s="1"/>
  <c r="L5" i="11"/>
  <c r="B2056" i="106" s="1"/>
  <c r="D2056" i="106" s="1"/>
  <c r="B5752" i="106"/>
  <c r="D5752" i="106" s="1"/>
  <c r="D17" i="7" l="1"/>
  <c r="B4104" i="106" s="1"/>
  <c r="D4104" i="106" s="1"/>
  <c r="D9" i="7"/>
  <c r="B1767" i="106" s="1"/>
  <c r="D1767" i="106" s="1"/>
  <c r="J22" i="37"/>
  <c r="L342" i="29"/>
  <c r="F68" i="34"/>
  <c r="F49" i="34"/>
  <c r="F44" i="34"/>
  <c r="F38" i="34"/>
  <c r="G38" i="108"/>
  <c r="D37" i="108"/>
  <c r="F36" i="108"/>
  <c r="F28" i="108"/>
  <c r="D68" i="36"/>
  <c r="B7235" i="106"/>
  <c r="D7235" i="106" s="1"/>
  <c r="B6289" i="106"/>
  <c r="D6289" i="106" s="1"/>
  <c r="H76" i="4"/>
  <c r="B3298" i="106" s="1"/>
  <c r="D3298" i="106" s="1"/>
  <c r="I24" i="12"/>
  <c r="G210" i="29"/>
  <c r="B1308" i="106"/>
  <c r="D1308" i="106" s="1"/>
  <c r="E174" i="29"/>
  <c r="B1309" i="106" s="1"/>
  <c r="D1309" i="106" s="1"/>
  <c r="D54" i="36"/>
  <c r="N22" i="3"/>
  <c r="B283" i="106" s="1"/>
  <c r="D283" i="106" s="1"/>
  <c r="E35" i="108"/>
  <c r="G35" i="108"/>
  <c r="G30" i="108"/>
  <c r="E30" i="108"/>
  <c r="D26" i="108"/>
  <c r="F26" i="108"/>
  <c r="F41" i="108" s="1"/>
  <c r="G43" i="108" s="1"/>
  <c r="B1126" i="106"/>
  <c r="D1126" i="106" s="1"/>
  <c r="C129" i="29"/>
  <c r="C151" i="29" s="1"/>
  <c r="B1226" i="106" s="1"/>
  <c r="D1226" i="106" s="1"/>
  <c r="K184" i="29"/>
  <c r="F13" i="4" s="1"/>
  <c r="B2596" i="106" s="1"/>
  <c r="D2596" i="106" s="1"/>
  <c r="G29" i="108"/>
  <c r="G14" i="4"/>
  <c r="B2609" i="106" s="1"/>
  <c r="D2609" i="106" s="1"/>
  <c r="F72" i="34"/>
  <c r="K41" i="3"/>
  <c r="H29" i="118"/>
  <c r="K28" i="118" s="1"/>
  <c r="O27" i="118" s="1"/>
  <c r="O29" i="118" s="1"/>
  <c r="B4268" i="106"/>
  <c r="D4268" i="106" s="1"/>
  <c r="H33" i="118"/>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1365" i="106"/>
  <c r="D1365" i="106" s="1"/>
  <c r="F65" i="34"/>
  <c r="B1328" i="106"/>
  <c r="D1328" i="106" s="1"/>
  <c r="H77" i="4"/>
  <c r="B3299" i="106" s="1"/>
  <c r="D3299" i="106" s="1"/>
  <c r="K365" i="29"/>
  <c r="D7254" i="106"/>
  <c r="D7256" i="106"/>
  <c r="D7251" i="106"/>
  <c r="J16" i="4"/>
  <c r="B6226" i="106" s="1"/>
  <c r="D6226" i="106" s="1"/>
  <c r="D7250" i="106"/>
  <c r="N23" i="3"/>
  <c r="B284" i="106" s="1"/>
  <c r="D284" i="106" s="1"/>
  <c r="D41" i="108"/>
  <c r="E43" i="108" s="1"/>
  <c r="I26" i="12"/>
  <c r="B7741" i="106" s="1"/>
  <c r="D7741" i="106" s="1"/>
  <c r="B1996" i="106"/>
  <c r="D1996" i="106" s="1"/>
  <c r="L16" i="11"/>
  <c r="B2061" i="106" s="1"/>
  <c r="D2061" i="106" s="1"/>
  <c r="C114" i="29"/>
  <c r="B757" i="106" s="1"/>
  <c r="D757" i="106" s="1"/>
  <c r="B1317" i="106"/>
  <c r="D1317" i="106" s="1"/>
  <c r="B5527" i="106"/>
  <c r="D5527" i="106" s="1"/>
  <c r="B1381" i="106"/>
  <c r="D1381" i="106" s="1"/>
  <c r="F174" i="34"/>
  <c r="B3568" i="106"/>
  <c r="D3568" i="106" s="1"/>
  <c r="D52" i="36"/>
  <c r="D44" i="3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<sst xmlns="http://schemas.openxmlformats.org/spreadsheetml/2006/main" count="5203" uniqueCount="2154">
  <si>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</si>
  <si>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</si>
  <si>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</si>
  <si>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</si>
  <si>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</si>
  <si>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</si>
  <si>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</si>
  <si>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</si>
  <si>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</si>
  <si>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</si>
  <si>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</si>
  <si>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</si>
  <si>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</si>
  <si>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</si>
  <si>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</si>
  <si>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</si>
  <si>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</si>
  <si>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</si>
  <si>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</si>
  <si>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</si>
  <si>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</si>
  <si>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</si>
  <si>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</si>
  <si>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</si>
  <si>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</si>
  <si>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</si>
  <si>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</si>
  <si>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</si>
  <si>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</si>
  <si>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</si>
  <si>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</si>
  <si>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</si>
  <si>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</si>
  <si>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</si>
  <si>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</si>
  <si>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</si>
  <si>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</si>
  <si>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</si>
  <si>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</si>
  <si>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</si>
  <si>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</si>
  <si>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</si>
  <si>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</si>
  <si>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</si>
  <si>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</si>
  <si>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</si>
  <si>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</si>
  <si>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</si>
  <si>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</si>
  <si>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</si>
  <si>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</si>
  <si>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</si>
  <si>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</si>
  <si>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</si>
  <si>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</si>
  <si>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</si>
  <si>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</si>
  <si>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</si>
  <si>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</si>
  <si>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</si>
  <si>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</si>
  <si>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</si>
  <si>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</si>
  <si>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</si>
  <si>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</si>
  <si>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</si>
  <si>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</si>
  <si>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</si>
  <si>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</si>
  <si>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</si>
  <si>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</si>
  <si>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</si>
  <si>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</si>
  <si>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</si>
  <si>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</si>
  <si>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</si>
  <si>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</si>
  <si>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</si>
  <si>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</si>
  <si>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</si>
  <si>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</si>
  <si>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</si>
  <si>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</si>
  <si>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</si>
  <si>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</si>
  <si>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</si>
  <si>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</si>
  <si>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</si>
  <si>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</si>
  <si>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</si>
  <si>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</si>
  <si>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</si>
  <si>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</si>
  <si>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</si>
  <si>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</si>
  <si>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</si>
  <si>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</si>
  <si>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</si>
  <si>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</si>
  <si>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</si>
  <si>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</si>
  <si>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</si>
  <si>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</si>
  <si>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</si>
  <si>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</si>
  <si>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</si>
  <si>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</si>
  <si>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</si>
  <si>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</si>
  <si>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</si>
  <si>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</si>
  <si>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</si>
  <si>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</si>
  <si>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</si>
  <si>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</si>
  <si>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</si>
  <si>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</si>
  <si>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</si>
  <si>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</si>
  <si>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</si>
  <si>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</si>
  <si>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</si>
  <si>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</si>
  <si>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</si>
  <si>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</si>
  <si>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</si>
  <si>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</si>
  <si>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</si>
  <si>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</si>
  <si>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</si>
  <si>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</si>
  <si>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</si>
  <si>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</si>
  <si>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</si>
  <si>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</si>
  <si>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</si>
  <si>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</si>
  <si>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</si>
  <si>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</si>
  <si>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</si>
  <si>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</si>
  <si>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</si>
  <si>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</si>
  <si>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</si>
  <si>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</si>
  <si>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</si>
  <si>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</si>
  <si>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</si>
  <si>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</si>
  <si>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</si>
  <si>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</si>
  <si>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</si>
  <si>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</si>
  <si>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</si>
  <si>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</si>
  <si>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</si>
  <si>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</si>
  <si>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</si>
  <si>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</si>
  <si>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</si>
  <si>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</si>
  <si>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</si>
  <si>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</si>
  <si>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</si>
  <si>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</si>
  <si>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</si>
  <si>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</si>
  <si>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</si>
  <si>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</si>
  <si>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</si>
  <si>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</si>
  <si>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</si>
  <si>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</si>
  <si>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</si>
  <si>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</si>
  <si>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</si>
  <si>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</si>
  <si>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</si>
  <si>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</si>
  <si>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</si>
  <si>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</si>
  <si>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</si>
  <si>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</si>
  <si>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</si>
  <si>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</si>
  <si>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</si>
  <si>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</si>
  <si>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</si>
  <si>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</si>
  <si>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</si>
  <si>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</si>
  <si>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</si>
  <si>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</si>
  <si>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</si>
  <si>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</si>
  <si>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</si>
  <si>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</si>
  <si>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</si>
  <si>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</si>
  <si>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</si>
  <si>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</si>
  <si>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</si>
  <si>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</si>
  <si>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</si>
  <si>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</si>
  <si>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</si>
  <si>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</si>
  <si>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</si>
  <si>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</si>
  <si>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</si>
  <si>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</si>
  <si>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</si>
  <si>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</si>
  <si>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</si>
  <si>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</si>
  <si>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</si>
  <si>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</si>
  <si>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</si>
  <si>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</si>
  <si>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</si>
  <si>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</si>
  <si>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</si>
  <si>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</si>
  <si>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</si>
  <si>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</si>
  <si>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</si>
  <si>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</si>
  <si>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</si>
  <si>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</si>
  <si>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</si>
  <si>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</si>
  <si>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</si>
  <si>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</si>
  <si>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</si>
  <si>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</si>
  <si>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</si>
  <si>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</si>
  <si>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</si>
  <si>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</si>
  <si>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</si>
  <si>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</si>
  <si>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</si>
  <si>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</si>
  <si>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</si>
  <si>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</si>
  <si>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</si>
  <si>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</si>
  <si>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</si>
  <si>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</si>
  <si>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</si>
  <si>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</si>
  <si>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</si>
  <si>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</si>
  <si>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</si>
  <si>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</si>
  <si>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</si>
  <si>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</si>
  <si>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</si>
  <si>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</si>
  <si>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</si>
  <si>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</si>
  <si>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</si>
  <si>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</si>
  <si>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</si>
  <si>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</si>
  <si>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</si>
  <si>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</si>
  <si>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</si>
  <si>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</si>
  <si>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</si>
  <si>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</si>
  <si>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</si>
  <si>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</si>
  <si>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</si>
  <si>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</si>
  <si>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</si>
  <si>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</si>
  <si>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</si>
  <si>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</si>
  <si>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</si>
  <si>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</si>
  <si>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</si>
  <si>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</si>
  <si>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</si>
  <si>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</si>
  <si>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</si>
  <si>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</si>
  <si>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</si>
  <si>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</si>
  <si>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</si>
  <si>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</si>
  <si>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</si>
  <si>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</si>
  <si>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</si>
  <si>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</si>
  <si>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</si>
  <si>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</si>
  <si>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</si>
  <si>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</si>
  <si>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</si>
  <si>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</si>
  <si>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</si>
  <si>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</si>
  <si>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</si>
  <si>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</si>
  <si>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</si>
  <si>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</si>
  <si>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</si>
  <si>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</si>
  <si>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</si>
  <si>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</si>
  <si>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</si>
  <si>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</si>
  <si>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</si>
  <si>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</si>
  <si>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</si>
  <si>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</si>
  <si>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</si>
  <si>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</si>
  <si>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</si>
  <si>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</si>
  <si>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</si>
  <si>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</si>
  <si>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</si>
  <si>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</si>
  <si>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</si>
  <si>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</si>
  <si>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</si>
  <si>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</si>
  <si>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</si>
  <si>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</si>
  <si>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</si>
  <si>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</si>
  <si>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</si>
  <si>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</si>
  <si>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</si>
  <si>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</si>
  <si>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</si>
  <si>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</si>
  <si>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</si>
  <si>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</si>
  <si>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</si>
  <si>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</si>
  <si>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</si>
  <si>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</si>
  <si>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</si>
  <si>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</si>
  <si>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</si>
  <si>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</si>
  <si>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</si>
  <si>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</si>
  <si>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</si>
  <si>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</si>
  <si>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</si>
  <si>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</si>
  <si>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</si>
  <si>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</si>
  <si>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</si>
  <si>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</si>
  <si>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</si>
  <si>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</si>
  <si>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</si>
  <si>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</si>
  <si>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</si>
  <si>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</si>
  <si>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</si>
  <si>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</si>
  <si>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</si>
  <si>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</si>
  <si>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</si>
  <si>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</si>
  <si>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</si>
  <si>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</si>
  <si>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</si>
  <si>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</si>
  <si>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</si>
  <si>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</si>
  <si>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</si>
  <si>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</si>
  <si>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</si>
  <si>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</si>
  <si>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</si>
  <si>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</si>
  <si>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</si>
  <si>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</si>
  <si>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</si>
  <si>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</si>
  <si>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</si>
  <si>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</si>
  <si>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</si>
  <si>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</si>
  <si>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</si>
  <si>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</si>
  <si>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</si>
  <si>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</si>
  <si>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</si>
  <si>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</si>
  <si>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</si>
  <si>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</si>
  <si>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</si>
  <si>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</si>
  <si>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</si>
  <si>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</si>
  <si>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</si>
  <si>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</si>
  <si>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</si>
  <si>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</si>
  <si>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</si>
  <si>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</si>
  <si>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</si>
  <si>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</si>
  <si>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</si>
  <si>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</si>
  <si>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</si>
  <si>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</si>
  <si>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</si>
  <si>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</si>
  <si>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</si>
  <si>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</si>
  <si>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</si>
  <si>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</si>
  <si>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</si>
  <si>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</si>
  <si>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</si>
  <si>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</si>
  <si>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</si>
  <si>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</si>
  <si>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</si>
  <si>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</si>
  <si>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</si>
  <si>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</si>
  <si>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</si>
  <si>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</si>
  <si>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</si>
  <si>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</si>
  <si>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</si>
  <si>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</si>
  <si>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</si>
  <si>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</si>
  <si>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</si>
  <si>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</si>
  <si>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</si>
  <si>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</si>
  <si>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</si>
  <si>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</si>
  <si>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</si>
  <si>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</si>
  <si>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</si>
  <si>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</si>
  <si>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</si>
  <si>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</si>
  <si>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</si>
  <si>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</si>
  <si>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</si>
  <si>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</si>
  <si>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</si>
  <si>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</si>
  <si>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</si>
  <si>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</si>
  <si>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</si>
  <si>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</si>
  <si>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</si>
  <si>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</si>
  <si>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</si>
  <si>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</si>
  <si>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</si>
  <si>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</si>
  <si>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</si>
  <si>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</si>
  <si>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</si>
  <si>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</si>
  <si>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</si>
  <si>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</si>
  <si>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</si>
  <si>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</si>
  <si>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</si>
  <si>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</si>
  <si>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</si>
  <si>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</si>
  <si>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</si>
  <si>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</si>
  <si>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</si>
  <si>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</si>
  <si>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</si>
  <si>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</si>
  <si>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</si>
  <si>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</si>
  <si>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</si>
  <si>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</si>
  <si>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</si>
  <si>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</si>
  <si>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</si>
  <si>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</si>
  <si>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</si>
  <si>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</si>
  <si>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</si>
  <si>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</si>
  <si>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</si>
  <si>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</si>
  <si>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</si>
  <si>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</si>
  <si>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</si>
  <si>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</si>
  <si>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</si>
  <si>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</si>
  <si>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</si>
  <si>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</si>
  <si>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</si>
  <si>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</si>
  <si>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</si>
  <si>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</si>
  <si>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</si>
  <si>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</si>
  <si>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</si>
  <si>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</si>
  <si>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</si>
  <si>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</si>
  <si>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</si>
  <si>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</si>
  <si>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</si>
  <si>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</si>
  <si>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</si>
  <si>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</si>
  <si>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</si>
  <si>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</si>
  <si>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</si>
  <si>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</si>
  <si>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</si>
  <si>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</si>
  <si>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</si>
  <si>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</si>
  <si>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</si>
  <si>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</si>
  <si>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</si>
  <si>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</si>
  <si>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</si>
  <si>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</si>
  <si>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</si>
  <si>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</si>
  <si>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</si>
  <si>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</si>
  <si>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</si>
  <si>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</si>
  <si>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</si>
  <si>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</si>
  <si>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</si>
  <si>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</si>
  <si>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</si>
  <si>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</si>
  <si>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</si>
  <si>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</si>
  <si>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</si>
  <si>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</si>
  <si>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</si>
  <si>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</si>
  <si>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</si>
  <si>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</si>
  <si>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</si>
  <si>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</si>
  <si>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</si>
  <si>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</si>
  <si>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</si>
  <si>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</si>
  <si>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</si>
  <si>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</si>
  <si>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</si>
  <si>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</si>
  <si>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</si>
  <si>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</si>
  <si>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</si>
  <si>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</si>
  <si>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</si>
  <si>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</si>
  <si>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</si>
  <si>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</si>
  <si>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</si>
  <si>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</si>
  <si>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</si>
  <si>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</si>
  <si>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</si>
  <si>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</si>
  <si>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</si>
  <si>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</si>
  <si>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</si>
  <si>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</si>
  <si>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</si>
  <si>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</si>
  <si>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</si>
  <si>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</si>
  <si>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</si>
  <si>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</si>
  <si>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</si>
  <si>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</si>
  <si>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</si>
  <si>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</si>
  <si>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</si>
  <si>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</si>
  <si>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</si>
  <si>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</si>
  <si>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</si>
  <si>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</si>
  <si>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</si>
  <si>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</si>
  <si>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</si>
  <si>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</si>
  <si>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</si>
  <si>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</si>
  <si>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</si>
  <si>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</si>
  <si>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</si>
  <si>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</si>
  <si>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</si>
  <si>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</si>
  <si>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</si>
  <si>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</si>
  <si>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</si>
  <si>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</si>
  <si>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</si>
  <si>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</si>
  <si>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</si>
  <si>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</si>
  <si>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</si>
  <si>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</si>
  <si>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</si>
  <si>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</si>
  <si>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</si>
  <si>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</si>
  <si>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</si>
  <si>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</si>
  <si>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</si>
  <si>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</si>
  <si>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</si>
  <si>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</si>
  <si>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</si>
  <si>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</si>
  <si>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</si>
  <si>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</si>
  <si>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</si>
  <si>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</si>
  <si>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</si>
  <si>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</si>
  <si>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</si>
  <si>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</si>
  <si>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</si>
  <si>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</si>
  <si>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</si>
  <si>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</si>
  <si>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</si>
  <si>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</si>
  <si>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</si>
  <si>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</si>
  <si>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</si>
  <si>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</si>
  <si>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</si>
  <si>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</si>
  <si>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</si>
  <si>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</si>
  <si>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</si>
  <si>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</si>
  <si>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</si>
  <si>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</si>
  <si>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</si>
  <si>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</si>
  <si>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</si>
  <si>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</si>
  <si>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</si>
  <si>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</si>
  <si>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</si>
  <si>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</si>
  <si>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</si>
  <si>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</si>
  <si>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</si>
  <si>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</si>
  <si>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</si>
  <si>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</si>
  <si>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</si>
  <si>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</si>
  <si>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</si>
  <si>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</si>
  <si>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</si>
  <si>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</si>
  <si>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</si>
  <si>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</si>
  <si>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</si>
  <si>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</si>
  <si>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</si>
  <si>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</si>
  <si>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</si>
  <si>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</si>
  <si>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</si>
  <si>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</si>
  <si>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</si>
  <si>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</si>
  <si>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</si>
  <si>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</si>
  <si>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</si>
  <si>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</si>
  <si>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</si>
  <si>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</si>
  <si>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</si>
  <si>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</si>
  <si>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</si>
  <si>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</si>
  <si>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</si>
  <si>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</si>
  <si>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</si>
  <si>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</si>
  <si>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</si>
  <si>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</si>
  <si>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</si>
  <si>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</si>
  <si>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</si>
  <si>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</si>
  <si>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</si>
  <si>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</si>
  <si>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</si>
  <si>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</si>
  <si>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</si>
  <si>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</si>
  <si>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</si>
  <si>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</si>
  <si>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</si>
  <si>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</si>
  <si>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</si>
  <si>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</si>
  <si>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</si>
  <si>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</si>
  <si>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</si>
  <si>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</si>
  <si>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</si>
  <si>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</si>
  <si>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</si>
  <si>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</si>
  <si>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</si>
  <si>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</si>
  <si>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</si>
  <si>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</si>
  <si>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</si>
  <si>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</si>
  <si>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</si>
  <si>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</si>
  <si>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</si>
  <si>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</si>
  <si>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</si>
  <si>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</si>
  <si>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</si>
  <si>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</si>
  <si>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</si>
  <si>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</si>
  <si>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</si>
  <si>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</si>
  <si>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</si>
  <si>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</si>
  <si>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</si>
  <si>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</si>
  <si>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</si>
  <si>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</si>
  <si>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</si>
  <si>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</si>
  <si>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</si>
  <si>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</si>
  <si>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</si>
  <si>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</si>
  <si>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</si>
  <si>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</si>
  <si>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</si>
  <si>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</si>
  <si>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</si>
  <si>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</si>
  <si>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</si>
  <si>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</si>
  <si>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</si>
  <si>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</si>
  <si>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</si>
  <si>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</si>
  <si>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</si>
  <si>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</si>
  <si>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</si>
  <si>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</si>
  <si>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</si>
  <si>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</si>
  <si>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</si>
  <si>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</si>
  <si>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</si>
  <si>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</si>
  <si>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</si>
  <si>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</si>
  <si>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</si>
  <si>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</si>
  <si>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</si>
  <si>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</si>
  <si>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</si>
  <si>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</si>
  <si>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</si>
  <si>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</si>
  <si>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</si>
  <si>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</si>
  <si>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</si>
  <si>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</si>
  <si>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</si>
  <si>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</si>
  <si>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</si>
  <si>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</si>
  <si>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</si>
  <si>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</si>
  <si>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</si>
  <si>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</si>
  <si>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</si>
  <si>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</si>
  <si>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</si>
  <si>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</si>
  <si>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</si>
  <si>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</si>
  <si>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</si>
  <si>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</si>
  <si>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</si>
  <si>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</si>
  <si>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</si>
  <si>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</si>
  <si>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</si>
  <si>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</si>
  <si>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</si>
  <si>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</si>
  <si>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</si>
  <si>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</si>
  <si>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</si>
  <si>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</si>
  <si>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</si>
  <si>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</si>
  <si>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</si>
  <si>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</si>
  <si>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</si>
  <si>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</si>
  <si>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</si>
  <si>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</si>
  <si>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</si>
  <si>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</si>
  <si>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</si>
  <si>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</si>
  <si>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</si>
  <si>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</si>
  <si>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</si>
  <si>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</si>
  <si>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</si>
  <si>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</si>
  <si>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</si>
  <si>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</si>
  <si>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</si>
  <si>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</si>
  <si>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</si>
  <si>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</si>
  <si>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</si>
  <si>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</si>
  <si>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</si>
  <si>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</si>
  <si>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</si>
  <si>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</si>
  <si>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</si>
  <si>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</si>
  <si>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</si>
  <si>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</si>
  <si>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</si>
  <si>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</si>
  <si>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</si>
  <si>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</si>
  <si>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</si>
  <si>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</si>
  <si>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</si>
  <si>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</si>
  <si>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</si>
  <si>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</si>
  <si>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</si>
  <si>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</si>
  <si>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</si>
  <si>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</si>
  <si>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</si>
  <si>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</si>
  <si>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</si>
  <si>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</si>
  <si>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</si>
  <si>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</si>
  <si>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</si>
  <si>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</si>
  <si>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</si>
  <si>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</si>
  <si>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</si>
  <si>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</si>
  <si>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</si>
  <si>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</si>
  <si>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</si>
  <si>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</si>
  <si>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</si>
  <si>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</si>
  <si>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</si>
  <si>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</si>
  <si>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</si>
  <si>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</si>
  <si>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</si>
  <si>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</si>
  <si>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</si>
  <si>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</si>
  <si>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</si>
  <si>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</si>
  <si>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</si>
  <si>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</si>
  <si>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</si>
  <si>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</si>
  <si>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</si>
  <si>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</si>
  <si>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</si>
  <si>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</si>
  <si>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</si>
  <si>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</si>
  <si>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</si>
  <si>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</si>
  <si>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</si>
  <si>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</si>
  <si>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</si>
  <si>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</si>
  <si>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</si>
  <si>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</si>
  <si>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</si>
  <si>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</si>
  <si>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</si>
  <si>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</si>
  <si>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</si>
  <si>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</si>
  <si>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</si>
  <si>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</si>
  <si>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</si>
  <si>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</si>
  <si>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</si>
  <si>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</si>
  <si>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</si>
  <si>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</si>
  <si>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</si>
  <si>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</si>
  <si>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</si>
  <si>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</si>
  <si>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</si>
  <si>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</si>
  <si>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</si>
  <si>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</si>
  <si>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</si>
  <si>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</si>
  <si>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</si>
  <si>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</si>
  <si>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</si>
  <si>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</si>
  <si>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</si>
  <si>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</si>
  <si>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</si>
  <si>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</si>
  <si>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</si>
  <si>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</si>
  <si>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</si>
  <si>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</si>
  <si>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</si>
  <si>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</si>
  <si>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</si>
  <si>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</si>
  <si>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</si>
  <si>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</si>
  <si>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</si>
  <si>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</si>
  <si>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</si>
  <si>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</si>
  <si>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</si>
  <si>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</si>
  <si>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</si>
  <si>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</si>
  <si>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</si>
  <si>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</si>
  <si>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</si>
  <si>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</si>
  <si>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</si>
  <si>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</si>
  <si>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</si>
  <si>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</si>
  <si>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</si>
  <si>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</si>
  <si>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</si>
  <si>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</si>
  <si>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</si>
  <si>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</si>
  <si>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</si>
  <si>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</si>
  <si>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</si>
  <si>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</si>
  <si>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</si>
  <si>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</si>
  <si>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</si>
  <si>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</si>
  <si>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</si>
  <si>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</si>
  <si>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</si>
  <si>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</si>
  <si>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</si>
  <si>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</si>
  <si>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</si>
  <si>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</si>
  <si>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</si>
  <si>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</si>
  <si>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</si>
  <si>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</si>
  <si>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</si>
  <si>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</si>
  <si>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</si>
  <si>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</si>
  <si>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</si>
  <si>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</si>
  <si>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</si>
  <si>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</si>
  <si>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</si>
  <si>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</si>
  <si>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</si>
  <si>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</si>
  <si>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</si>
  <si>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</si>
  <si>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</si>
  <si>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</si>
  <si>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</si>
  <si>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</si>
  <si>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</si>
  <si>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</si>
  <si>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</si>
  <si>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</si>
  <si>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</si>
  <si>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</si>
  <si>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</si>
  <si>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</si>
  <si>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</si>
  <si>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</si>
  <si>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</si>
  <si>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</si>
  <si>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</si>
  <si>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</si>
  <si>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</si>
  <si>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</si>
  <si>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</si>
  <si>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</si>
  <si>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</si>
  <si>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</si>
  <si>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</si>
  <si>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</si>
  <si>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</si>
  <si>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</si>
  <si>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</si>
  <si>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</si>
  <si>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</si>
  <si>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</si>
  <si>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</si>
  <si>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</si>
  <si>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</si>
  <si>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</si>
  <si>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</si>
  <si>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</si>
  <si>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</si>
  <si>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</si>
  <si>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</si>
  <si>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</si>
  <si>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</si>
  <si>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</si>
  <si>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</si>
  <si>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</si>
  <si>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</si>
  <si>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</si>
  <si>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</si>
  <si>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</si>
  <si>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</si>
  <si>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</si>
  <si>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</si>
  <si>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</si>
  <si>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</si>
  <si>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</si>
  <si>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</si>
  <si>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</si>
  <si>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</si>
  <si>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</si>
  <si>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</si>
  <si>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</si>
  <si>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</si>
  <si>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</si>
  <si>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</si>
  <si>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</si>
  <si>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</si>
  <si>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</si>
  <si>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</si>
  <si>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</si>
  <si>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</si>
  <si>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</si>
  <si>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</si>
  <si>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</si>
  <si>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</si>
  <si>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</si>
  <si>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</si>
  <si>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</si>
  <si>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</si>
  <si>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</si>
  <si>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</si>
  <si>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</si>
  <si>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</si>
  <si>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</si>
  <si>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</si>
  <si>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</si>
  <si>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</si>
  <si>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</si>
  <si>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</si>
  <si>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</si>
  <si>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</si>
  <si>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</si>
  <si>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</si>
  <si>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</si>
  <si>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</si>
  <si>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</si>
  <si>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</si>
  <si>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</si>
  <si>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</si>
  <si>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</si>
  <si>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</si>
  <si>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</si>
  <si>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</si>
  <si>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</si>
  <si>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</si>
  <si>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</si>
  <si>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</si>
  <si>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</si>
  <si>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</si>
  <si>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</si>
  <si>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</si>
  <si>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</si>
  <si>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</si>
  <si>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</si>
  <si>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</si>
  <si>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</si>
  <si>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</si>
  <si>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</si>
  <si>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</si>
  <si>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</si>
  <si>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</si>
  <si>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</si>
  <si>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</si>
  <si>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</si>
  <si>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</si>
  <si>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</si>
  <si>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</si>
  <si>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</si>
  <si>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</si>
  <si>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</si>
  <si>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</si>
  <si>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</si>
  <si>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</si>
  <si>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</si>
  <si>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</si>
  <si>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</si>
  <si>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</si>
  <si>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</si>
  <si>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</si>
  <si>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</si>
  <si>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</si>
  <si>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</si>
  <si>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</si>
  <si>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</si>
  <si>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</si>
  <si>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</si>
  <si>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</si>
  <si>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</si>
  <si>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</si>
  <si>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</si>
  <si>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</si>
  <si>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</si>
  <si>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</si>
  <si>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</si>
  <si>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</si>
  <si>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</si>
  <si>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</si>
  <si>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</si>
  <si>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</si>
  <si>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</si>
  <si>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</si>
  <si>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</si>
  <si>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</si>
  <si>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</si>
  <si>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</si>
  <si>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</si>
  <si>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</si>
  <si>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</si>
  <si>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</si>
  <si>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</si>
  <si>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</si>
  <si>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</si>
  <si>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</si>
  <si>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</si>
  <si>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</si>
  <si>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</si>
  <si>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</si>
  <si>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</si>
  <si>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</si>
  <si>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</si>
  <si>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</si>
  <si>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</si>
  <si>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</si>
  <si>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</si>
  <si>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</si>
  <si>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</si>
  <si>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</si>
  <si>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</si>
  <si>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</si>
  <si>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</si>
  <si>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</si>
  <si>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</si>
  <si>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</si>
  <si>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</si>
  <si>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</si>
  <si>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</si>
  <si>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</si>
  <si>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</si>
  <si>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</si>
  <si>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</si>
  <si>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</si>
  <si>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</si>
  <si>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</si>
  <si>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</si>
  <si>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</si>
  <si>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</si>
  <si>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</si>
  <si>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</si>
  <si>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</si>
  <si>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</si>
  <si>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</si>
  <si>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</si>
  <si>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</si>
  <si>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</si>
  <si>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</si>
  <si>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</si>
  <si>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</si>
  <si>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</si>
  <si>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</si>
  <si>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</si>
  <si>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</si>
  <si>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</si>
  <si>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</si>
  <si>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</si>
  <si>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</si>
  <si>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</si>
  <si>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</si>
  <si>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</si>
  <si>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</si>
  <si>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</si>
  <si>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</si>
  <si>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</si>
  <si>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</si>
  <si>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</si>
  <si>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</si>
  <si>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</si>
  <si>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</si>
  <si>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</si>
  <si>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</si>
  <si>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</si>
  <si>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</si>
  <si>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</si>
  <si>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</si>
  <si>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</si>
  <si>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</si>
  <si>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</si>
  <si>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</si>
  <si>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</si>
  <si>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</si>
  <si>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</si>
  <si>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</si>
  <si>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</si>
  <si>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</si>
  <si>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</si>
  <si>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</si>
  <si>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</si>
  <si>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</si>
  <si>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</si>
  <si>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</si>
  <si>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</si>
  <si>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</si>
  <si>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</si>
  <si>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</si>
  <si>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</si>
  <si>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</si>
  <si>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</si>
  <si>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</si>
  <si>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</si>
  <si>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</si>
  <si>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</si>
  <si>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</si>
  <si>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</si>
  <si>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</si>
  <si>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</si>
  <si>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</si>
  <si>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</si>
  <si>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</si>
  <si>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</si>
  <si>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</si>
  <si>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</si>
  <si>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</si>
  <si>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</si>
  <si>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</si>
  <si>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</si>
  <si>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</si>
  <si>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</si>
  <si>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</si>
  <si>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</si>
  <si>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</si>
  <si>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</si>
  <si>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</si>
  <si>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</si>
  <si>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</si>
  <si>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</si>
  <si>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</si>
  <si>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</si>
  <si>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</si>
  <si>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</si>
  <si>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</si>
  <si>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</si>
  <si>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</si>
  <si>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</si>
  <si>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</si>
  <si>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</si>
  <si>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</si>
  <si>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</si>
  <si>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</si>
  <si>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</si>
  <si>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</si>
  <si>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</si>
  <si>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</si>
  <si>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</si>
  <si>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</si>
  <si>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</si>
  <si>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</si>
  <si>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</si>
  <si>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</si>
  <si>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</si>
  <si>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</si>
  <si>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</si>
  <si>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</si>
  <si>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</si>
  <si>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</si>
  <si>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</si>
  <si>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</si>
  <si>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</si>
  <si>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</si>
  <si>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</si>
  <si>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</si>
  <si>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</si>
  <si>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</si>
  <si>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</si>
  <si>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</si>
  <si>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</si>
  <si>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</si>
  <si>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</si>
  <si>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</si>
  <si>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</si>
  <si>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</si>
  <si>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</si>
  <si>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</si>
  <si>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</si>
  <si>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</si>
  <si>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</si>
  <si>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</si>
  <si>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</si>
  <si>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</si>
  <si>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</si>
  <si>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</si>
  <si>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</si>
  <si>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</si>
  <si>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</si>
  <si>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</si>
  <si>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</si>
  <si>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</si>
  <si>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</si>
  <si>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</si>
  <si>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</si>
  <si>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</si>
  <si>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</si>
  <si>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</si>
  <si>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</si>
  <si>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</si>
  <si>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</si>
  <si>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</si>
  <si>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</si>
  <si>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</si>
  <si>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</si>
  <si>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</si>
  <si>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</si>
  <si>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</si>
  <si>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</si>
  <si>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</si>
  <si>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</si>
  <si>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</si>
  <si>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</si>
  <si>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</si>
  <si>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</si>
  <si>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</si>
  <si>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</si>
  <si>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</si>
  <si>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</si>
  <si>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</si>
  <si>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</si>
  <si>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</si>
  <si>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</si>
  <si>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</si>
  <si>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</si>
  <si>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</si>
  <si>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</si>
  <si>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</si>
  <si>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</si>
  <si>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</si>
  <si>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</si>
  <si>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</si>
  <si>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</si>
  <si>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</si>
  <si>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</si>
  <si>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</si>
  <si>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</si>
  <si>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</si>
  <si>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</si>
  <si>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</si>
  <si>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</si>
  <si>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</si>
  <si>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</si>
  <si>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</si>
  <si>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</si>
  <si>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</si>
  <si>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</si>
  <si>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</si>
  <si>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</si>
  <si>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</si>
  <si>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</si>
  <si>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</si>
  <si>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</si>
  <si>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</si>
  <si>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</si>
  <si>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</si>
  <si>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</si>
  <si>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</si>
  <si>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</si>
  <si>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</si>
  <si>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</si>
  <si>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</si>
  <si>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</si>
  <si>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</si>
  <si>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</si>
  <si>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</si>
  <si>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</si>
  <si>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</si>
  <si>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</si>
  <si>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</si>
  <si>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</si>
  <si>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</si>
  <si>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</si>
  <si>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</si>
  <si>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</si>
  <si>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</si>
  <si>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</si>
  <si>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</si>
  <si>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</si>
  <si>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</si>
  <si>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</si>
  <si>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</si>
  <si>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</si>
  <si>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</si>
  <si>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</si>
  <si>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</si>
  <si>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</si>
  <si>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</si>
  <si>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</si>
  <si>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</si>
  <si>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</si>
  <si>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</si>
  <si>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</si>
  <si>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</si>
  <si>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</si>
  <si>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</si>
  <si>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</si>
  <si>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</si>
  <si>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</si>
  <si>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</si>
  <si>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</si>
  <si>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</si>
  <si>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</si>
  <si>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</si>
  <si>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</si>
  <si>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</si>
  <si>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</si>
  <si>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</si>
  <si>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</si>
  <si>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</si>
  <si>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</si>
  <si>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</si>
  <si>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</si>
  <si>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</si>
  <si>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</si>
  <si>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</si>
  <si>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</si>
  <si>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</si>
  <si>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</si>
  <si>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</si>
  <si>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</si>
  <si>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</si>
  <si>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</si>
  <si>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</si>
  <si>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</si>
  <si>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</si>
  <si>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</si>
  <si>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</si>
  <si>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</si>
  <si>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</si>
  <si>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</si>
  <si>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</si>
  <si>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</si>
  <si>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</si>
  <si>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</si>
  <si>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</si>
  <si>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</si>
  <si>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</si>
  <si>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</si>
  <si>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</si>
  <si>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</si>
  <si>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</si>
  <si>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</si>
  <si>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</si>
  <si>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</si>
  <si>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</si>
  <si>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</si>
  <si>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</si>
  <si>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</si>
  <si>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</si>
  <si>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</si>
  <si>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</si>
  <si>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</si>
  <si>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</si>
  <si>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</si>
  <si>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</si>
  <si>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</si>
  <si>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</si>
  <si>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</si>
  <si>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</si>
  <si>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</si>
  <si>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</si>
  <si>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</si>
  <si>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</si>
  <si>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</si>
  <si>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</si>
  <si>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</si>
  <si>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</si>
  <si>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</si>
  <si>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</si>
  <si>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</si>
  <si>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</si>
  <si>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</si>
  <si>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</si>
  <si>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</si>
  <si>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</si>
  <si>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</si>
  <si>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</si>
  <si>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</si>
  <si>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</si>
  <si>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</si>
  <si>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</si>
  <si>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</si>
  <si>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</si>
  <si>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</si>
  <si>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</si>
  <si>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</si>
  <si>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</si>
  <si>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</si>
  <si>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</si>
  <si>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</si>
  <si>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</si>
  <si>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</si>
  <si>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</si>
  <si>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</si>
  <si>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</si>
  <si>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</si>
  <si>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</si>
  <si>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</si>
  <si>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</si>
  <si>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</si>
  <si>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</si>
  <si>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</si>
  <si>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</si>
  <si>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</si>
  <si>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</si>
  <si>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</si>
  <si>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</si>
  <si>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</si>
  <si>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</si>
  <si>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</si>
  <si>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</si>
  <si>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</si>
  <si>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</si>
  <si>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</si>
  <si>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</si>
  <si>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</si>
  <si>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</si>
  <si>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</si>
  <si>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</si>
  <si>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</si>
  <si>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</si>
  <si>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</si>
  <si>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</si>
  <si>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</si>
  <si>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</si>
  <si>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</si>
  <si>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</si>
  <si>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</si>
  <si>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</si>
  <si>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</si>
  <si>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</si>
  <si>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</si>
  <si>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</si>
  <si>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</si>
  <si>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</si>
  <si>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</si>
  <si>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</si>
  <si>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</si>
  <si>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</si>
  <si>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</si>
  <si>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</si>
  <si>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</si>
  <si>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</si>
  <si>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</si>
  <si>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</si>
  <si>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</si>
  <si>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</si>
  <si>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</si>
  <si>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</si>
  <si>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</si>
  <si>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</si>
  <si>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</si>
  <si>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</si>
  <si>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</si>
  <si>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</si>
  <si>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</si>
  <si>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</si>
  <si>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</si>
  <si>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</si>
  <si>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</si>
  <si>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</si>
  <si>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</si>
  <si>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</si>
  <si>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</si>
  <si>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</si>
  <si>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</si>
  <si>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</si>
  <si>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</si>
  <si>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</si>
  <si>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</si>
  <si>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</si>
  <si>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</si>
  <si>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</si>
  <si>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</si>
  <si>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</si>
  <si>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</si>
  <si>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</si>
  <si>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</si>
  <si>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</si>
  <si>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</si>
  <si>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</si>
  <si>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</si>
  <si>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</si>
  <si>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</si>
  <si>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</si>
  <si>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</si>
  <si>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</si>
  <si>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</si>
  <si>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</si>
  <si>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</si>
  <si>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</si>
  <si>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</si>
  <si>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</si>
  <si>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</si>
  <si>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</si>
  <si>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</si>
  <si>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</si>
  <si>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</si>
  <si>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</si>
  <si>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</si>
  <si>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</si>
  <si>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</si>
  <si>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</si>
  <si>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</si>
  <si>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</si>
  <si>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</si>
  <si>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</si>
  <si>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</si>
  <si>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</si>
  <si>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</si>
  <si>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</si>
  <si>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</si>
  <si>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</si>
  <si>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</si>
  <si>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</si>
  <si>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</si>
  <si>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</si>
  <si>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</si>
  <si>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</si>
  <si>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</si>
  <si>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</si>
  <si>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</si>
  <si>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</si>
  <si>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</si>
  <si>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</si>
  <si>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</si>
  <si>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</si>
  <si>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</si>
  <si>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</si>
  <si>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</si>
  <si>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</si>
  <si>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</si>
  <si>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</si>
  <si>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</si>
  <si>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</si>
  <si>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</si>
  <si>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</si>
  <si>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</si>
  <si>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</si>
  <si>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</si>
  <si>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</si>
  <si>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</si>
  <si>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</si>
  <si>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</si>
  <si>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</si>
  <si>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</si>
  <si>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</si>
  <si>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</si>
  <si>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</si>
  <si>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</si>
  <si>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</si>
  <si>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</si>
  <si>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</si>
  <si>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</si>
  <si>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</si>
  <si>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</si>
  <si>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</si>
  <si>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</si>
  <si>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</si>
  <si>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</si>
  <si>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</si>
  <si>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</si>
  <si>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</si>
  <si>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</si>
  <si>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</si>
  <si>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</si>
  <si>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</si>
  <si>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</si>
  <si>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</si>
  <si>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</si>
  <si>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</si>
  <si>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</si>
  <si>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</si>
  <si>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</si>
  <si>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</si>
  <si>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</si>
  <si>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</si>
  <si>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</si>
  <si>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</si>
  <si>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</si>
  <si>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</si>
  <si>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</si>
  <si>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</si>
  <si>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</si>
  <si>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</si>
  <si>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</si>
  <si>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</si>
  <si>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</si>
  <si>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</si>
  <si>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</si>
  <si>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</si>
  <si>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</si>
  <si>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</si>
  <si>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</si>
  <si>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</si>
  <si>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</si>
  <si>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</si>
  <si>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</si>
  <si>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</si>
  <si>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</si>
  <si>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</si>
  <si>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</si>
  <si>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</si>
  <si>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</si>
  <si>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</si>
  <si>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</si>
  <si>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</si>
  <si>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</si>
  <si>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</si>
  <si>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</si>
  <si>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</si>
  <si>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</si>
  <si>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</si>
  <si>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</si>
  <si>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</si>
  <si>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</si>
  <si>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</si>
  <si>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</si>
  <si>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</si>
  <si>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</si>
  <si>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</si>
  <si>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</si>
  <si>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</si>
  <si>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</si>
  <si>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</si>
  <si>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</si>
  <si>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</si>
  <si>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</si>
  <si>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</si>
  <si>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</si>
  <si>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</si>
  <si>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</si>
  <si>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</si>
  <si>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</si>
  <si>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</si>
  <si>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</si>
  <si>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</si>
  <si>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</si>
  <si>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</si>
  <si>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</si>
  <si>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</si>
  <si>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</si>
  <si>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</si>
  <si>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</si>
  <si>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</si>
  <si>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</si>
  <si>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</si>
  <si>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</si>
  <si>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</si>
  <si>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</si>
  <si>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</si>
  <si>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</si>
  <si>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</si>
  <si>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</si>
  <si>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</si>
  <si>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</si>
  <si>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</si>
  <si>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</si>
  <si>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</si>
  <si>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</si>
  <si>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</si>
  <si>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</si>
  <si>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</si>
  <si>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</si>
  <si>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</si>
  <si>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</si>
  <si>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</si>
  <si>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</si>
  <si>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</si>
  <si>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</si>
  <si>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</si>
  <si>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</si>
  <si>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</si>
  <si>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</si>
  <si>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</si>
  <si>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</si>
  <si>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</si>
  <si>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</si>
  <si>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</si>
  <si>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</si>
  <si>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</si>
  <si>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</si>
  <si>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</si>
  <si>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</si>
  <si>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</si>
  <si>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</si>
  <si>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</si>
  <si>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</si>
  <si>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</si>
  <si>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</si>
  <si>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</si>
  <si>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</si>
  <si>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</si>
  <si>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</si>
  <si>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</si>
  <si>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</si>
  <si>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</si>
  <si>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</si>
  <si>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</si>
  <si>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</si>
  <si>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</si>
  <si>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</si>
  <si>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</si>
  <si>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</si>
  <si>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</si>
  <si>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</si>
  <si>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</si>
  <si>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</si>
  <si>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</si>
  <si>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</si>
  <si>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</si>
  <si>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</si>
  <si>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</si>
  <si>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</si>
  <si>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</si>
  <si>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</si>
  <si>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</si>
  <si>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</si>
  <si>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</si>
  <si>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</si>
  <si>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</si>
  <si>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</si>
  <si>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</si>
  <si>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</si>
  <si>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</si>
  <si>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</si>
  <si>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</si>
  <si>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</si>
  <si>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</si>
  <si>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</si>
  <si>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</si>
  <si>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</si>
  <si>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</si>
  <si>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</si>
  <si>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</si>
  <si>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</si>
  <si>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</si>
  <si>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</si>
  <si>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</si>
  <si>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</si>
  <si>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</si>
  <si>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</si>
  <si>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</si>
  <si>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</si>
  <si>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</si>
  <si>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</si>
  <si>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</si>
  <si>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</si>
  <si>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</si>
  <si>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</si>
  <si>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</si>
  <si>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</si>
  <si>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</si>
  <si>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</si>
  <si>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</si>
  <si>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</si>
  <si>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</si>
  <si>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</si>
  <si>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</si>
  <si>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</si>
  <si>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</si>
  <si>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</si>
  <si>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</si>
  <si>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</si>
  <si>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</si>
  <si>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</si>
  <si>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</si>
  <si>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</si>
  <si>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</si>
  <si>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</si>
  <si>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</si>
  <si>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</si>
  <si>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</si>
  <si>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</si>
  <si>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</si>
  <si>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</si>
  <si>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</si>
  <si>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</si>
  <si>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</si>
  <si>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</si>
  <si>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</si>
  <si>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</si>
  <si>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</si>
  <si>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</si>
  <si>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</si>
  <si>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</si>
  <si>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</si>
  <si>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</si>
  <si>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</si>
  <si>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</si>
  <si>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</si>
  <si>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</si>
  <si>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</si>
  <si>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</si>
  <si>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</si>
  <si>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</si>
  <si>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</si>
  <si>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</si>
  <si>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</si>
  <si>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</si>
  <si>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</si>
  <si>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</si>
  <si>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</si>
  <si>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</si>
  <si>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</si>
  <si>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</si>
  <si>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</si>
  <si>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</si>
  <si>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</si>
  <si>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</si>
  <si>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</si>
  <si>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</si>
  <si>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</si>
  <si>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</si>
  <si>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</si>
  <si>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</si>
  <si>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</si>
  <si>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</si>
  <si>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</si>
  <si>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</si>
  <si>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</si>
  <si>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</si>
  <si>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</si>
  <si>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</si>
  <si>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</si>
  <si>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</si>
  <si>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</si>
  <si>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</si>
  <si>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</si>
  <si>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</si>
  <si>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</si>
  <si>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</si>
  <si>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</si>
  <si>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</si>
  <si>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</si>
  <si>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</si>
  <si>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</si>
  <si>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</si>
  <si>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</si>
  <si>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</si>
  <si>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</si>
  <si>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</si>
  <si>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</si>
  <si>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</si>
  <si>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</si>
  <si>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</si>
  <si>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</si>
  <si>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</si>
  <si>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</si>
  <si>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</si>
  <si>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</si>
  <si>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</si>
  <si>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</si>
  <si>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</si>
  <si>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</si>
  <si>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</si>
  <si>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</si>
  <si>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</si>
  <si>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</si>
  <si>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</si>
  <si>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</si>
  <si>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</si>
  <si>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</si>
  <si>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</si>
  <si>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</si>
  <si>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</si>
  <si>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</si>
  <si>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</si>
  <si>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</si>
  <si>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</si>
  <si>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</si>
  <si>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</si>
  <si>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</si>
  <si>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</si>
  <si>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</si>
  <si>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</si>
  <si>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</si>
  <si>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</si>
  <si>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</si>
  <si>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</si>
  <si>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</si>
  <si>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</si>
  <si>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</si>
  <si>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517 Deerfield Road</t>
  </si>
  <si>
    <t xml:space="preserve">Deerfield </t>
  </si>
  <si>
    <t>Dr. Anthony McConnell</t>
  </si>
  <si>
    <t>847-945-1844</t>
  </si>
  <si>
    <t>847-945-1892</t>
  </si>
  <si>
    <t>Evoy, Kamschulte, Jacobs &amp; Co. LLP</t>
  </si>
  <si>
    <t>John D. Aceto, Jr., CPA</t>
  </si>
  <si>
    <t>2122 Yeoman Street</t>
  </si>
  <si>
    <t>Waukegan</t>
  </si>
  <si>
    <t>IL</t>
  </si>
  <si>
    <t>847-662-8300</t>
  </si>
  <si>
    <t>847-662-8305</t>
  </si>
  <si>
    <t>066-033289</t>
  </si>
  <si>
    <t>jaceto@ekjllp.com</t>
  </si>
  <si>
    <t>1999B LIMITED TAX SCHOOL BONDS</t>
  </si>
  <si>
    <t>2010 DEBT CERTIFICATES</t>
  </si>
  <si>
    <t>2013 GENERAL OBLIGATION LIMITED SCHOOL BONDS</t>
  </si>
  <si>
    <t>2015 GENERAL OBLIGATION LIMITED SCHOOL BONDS</t>
  </si>
  <si>
    <t>1</t>
  </si>
  <si>
    <t>2/4</t>
  </si>
  <si>
    <t>1/2</t>
  </si>
  <si>
    <t>DEBT CERTIFICATES</t>
  </si>
  <si>
    <t>CBA's</t>
  </si>
  <si>
    <t>Member of EC Benefit Coop (100+Sch Dist) for health/disability coverage</t>
  </si>
  <si>
    <t>Member of IUPC shared purchase of elect &amp; natural gas</t>
  </si>
  <si>
    <t>Member of ESIC for liability, property, casualty ins.</t>
  </si>
  <si>
    <t>IIT, PMA, ISDLAF investment pool, joint banking ser D113</t>
  </si>
  <si>
    <t>North Suburban Special Eduational District (NSSED)</t>
  </si>
  <si>
    <t>shared paper purchasing bid D113, 112, 106</t>
  </si>
  <si>
    <t>Bond &amp; Interest Fund</t>
  </si>
  <si>
    <t>Capital Projects Fund</t>
  </si>
  <si>
    <t>Page 11, Line 107, Other Revenue, P-Card Rebate $66,067; Tuition Reimbursement $1,255; Jury Duty $179; IRS refund $4,056;</t>
  </si>
  <si>
    <t xml:space="preserve">  Photo Reimbursement $5,000</t>
  </si>
  <si>
    <t>Page 12, Line 171, Other Restricted Revenue from State Sources - Library Grant - $2,149</t>
  </si>
  <si>
    <t>Page 18, Line 171, Debt Service Other, Bond redemption fees - $2,251</t>
  </si>
  <si>
    <t>Page 9, Line 17, Other Payments in Lieu of Taxes - TIF Receipts $1,972</t>
  </si>
  <si>
    <t>US DEPARTMENT OF AGRICULTURE</t>
  </si>
  <si>
    <t>Passed Through ISBE</t>
  </si>
  <si>
    <t xml:space="preserve">      Special Milk Program</t>
  </si>
  <si>
    <t>4215-2018</t>
  </si>
  <si>
    <t>4215-2019</t>
  </si>
  <si>
    <t>N/A</t>
  </si>
  <si>
    <t>TOTAL US DEPARTMENT OF AGRICULTURE</t>
  </si>
  <si>
    <t>US DEPARTMENT OF EDUCATION</t>
  </si>
  <si>
    <t>84.027A</t>
  </si>
  <si>
    <t>4625-2018</t>
  </si>
  <si>
    <t>4625-2017</t>
  </si>
  <si>
    <t>Passed Through NSSED</t>
  </si>
  <si>
    <t xml:space="preserve">     IDEA, Part B - Preschool</t>
  </si>
  <si>
    <t xml:space="preserve">     IDEA, Part B - Flow Through</t>
  </si>
  <si>
    <t>4620-2019</t>
  </si>
  <si>
    <t>Total Passed Through ISBE</t>
  </si>
  <si>
    <t>Total Passed Through NSSED</t>
  </si>
  <si>
    <t>US DEPARTMENT OF EDUCATION Continued</t>
  </si>
  <si>
    <t>Passed Through ISBE Continued</t>
  </si>
  <si>
    <t xml:space="preserve">     Title I - Low Income</t>
  </si>
  <si>
    <t>84.010A</t>
  </si>
  <si>
    <t>4300-2019</t>
  </si>
  <si>
    <t xml:space="preserve">     Title I - Other</t>
  </si>
  <si>
    <t>4399-2018</t>
  </si>
  <si>
    <t xml:space="preserve">     Title II - Teacher Quality</t>
  </si>
  <si>
    <t>84.367A</t>
  </si>
  <si>
    <t>4932-2019</t>
  </si>
  <si>
    <t>TOTAL US DEPARTMENT OF EDUCATION</t>
  </si>
  <si>
    <t>TOTATL FEDERAL FINANCIAL ASSISTANCE</t>
  </si>
  <si>
    <t xml:space="preserve">     IDEA, Room &amp; Board XC</t>
  </si>
  <si>
    <t xml:space="preserve">     IDEA, Room &amp; Board </t>
  </si>
  <si>
    <t>4600-2019</t>
  </si>
  <si>
    <t>Deerfield School District's federal expenditures are $728,620 under the $750,000 threashhold</t>
  </si>
  <si>
    <t>No single audit is required for the year 6/30/19</t>
  </si>
  <si>
    <t>ED-Information Services</t>
  </si>
  <si>
    <t>10-2630-300</t>
  </si>
  <si>
    <t>Net 56</t>
  </si>
  <si>
    <t>ED-Board of Education Services</t>
  </si>
  <si>
    <t>10-2300-300</t>
  </si>
  <si>
    <t>DM Group</t>
  </si>
  <si>
    <t>ED-Elementary Education</t>
  </si>
  <si>
    <t>10-1000-300</t>
  </si>
  <si>
    <t>Xerox</t>
  </si>
  <si>
    <t>ECRA Group</t>
  </si>
  <si>
    <t>OM-Oper &amp; Plant Maint</t>
  </si>
  <si>
    <t>20-2540-300</t>
  </si>
  <si>
    <t>Harvard</t>
  </si>
  <si>
    <t>Green Associates</t>
  </si>
  <si>
    <t>TR-Transportation Services</t>
  </si>
  <si>
    <t>40-2550-300</t>
  </si>
  <si>
    <t>Olson Transportation</t>
  </si>
  <si>
    <t>Deerfield SD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</si>
</sst>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54" fillId="0" borderId="2" xfId="9" quotePrefix="1" applyNumberFormat="1" applyFont="1" applyFill="1" applyBorder="1" applyAlignment="1" applyProtection="1">
      <alignment horizontal="right" vertical="center"/>
      <protection locked="0"/>
    </xf>
    <xf numFmtId="0" fontId="54" fillId="0" borderId="2" xfId="0" quotePrefix="1" applyFont="1" applyFill="1" applyBorder="1" applyAlignment="1" applyProtection="1">
      <alignment horizontal="right"/>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4" t="s">
        <v>405</v>
      </c>
      <c r="J1" s="1985"/>
      <c r="K1" s="1985"/>
      <c r="L1" s="1985"/>
      <c r="M1" s="1985"/>
      <c r="N1" s="1985"/>
      <c r="O1" s="1985"/>
      <c r="P1" s="1985"/>
      <c r="Q1" s="1985"/>
      <c r="R1" s="1985"/>
      <c r="S1" s="1985"/>
    </row>
    <row r="2" spans="1:28" ht="12" customHeight="1" x14ac:dyDescent="0.2">
      <c r="A2" s="47" t="s">
        <v>1993</v>
      </c>
      <c r="D2" s="48"/>
      <c r="I2" s="1986" t="s">
        <v>979</v>
      </c>
      <c r="J2" s="1985"/>
      <c r="K2" s="1985"/>
      <c r="L2" s="1985"/>
      <c r="M2" s="1985"/>
      <c r="N2" s="1985"/>
      <c r="O2" s="1985"/>
      <c r="P2" s="1985"/>
      <c r="Q2" s="1985"/>
      <c r="R2" s="1985"/>
      <c r="S2" s="1985"/>
    </row>
    <row r="3" spans="1:28" ht="12" customHeight="1" x14ac:dyDescent="0.2">
      <c r="A3" s="155" t="s">
        <v>1945</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2064</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9">
        <v>34049109002</v>
      </c>
      <c r="B13" s="2020"/>
      <c r="C13" s="2020"/>
      <c r="D13" s="2020"/>
      <c r="E13" s="2020"/>
      <c r="F13" s="2020"/>
      <c r="G13" s="2020"/>
      <c r="H13" s="2021"/>
      <c r="I13" s="31"/>
      <c r="J13" s="30"/>
      <c r="K13" s="28"/>
      <c r="L13" s="30"/>
      <c r="M13" s="30"/>
      <c r="N13" s="30"/>
      <c r="O13" s="30"/>
      <c r="P13" s="30"/>
      <c r="Q13" s="30"/>
      <c r="R13" s="30"/>
      <c r="S13" s="30"/>
      <c r="T13" s="2024" t="s">
        <v>2071</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2065</v>
      </c>
      <c r="B15" s="2022"/>
      <c r="C15" s="2022"/>
      <c r="D15" s="2022"/>
      <c r="E15" s="2022"/>
      <c r="F15" s="2022"/>
      <c r="G15" s="2022"/>
      <c r="H15" s="2023"/>
      <c r="T15" s="2028" t="s">
        <v>2072</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2153</v>
      </c>
      <c r="B17" s="1979"/>
      <c r="C17" s="1979"/>
      <c r="D17" s="1979"/>
      <c r="E17" s="1979"/>
      <c r="F17" s="1979"/>
      <c r="G17" s="1979"/>
      <c r="H17" s="2004"/>
      <c r="T17" s="2035" t="s">
        <v>2073</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2066</v>
      </c>
      <c r="B19" s="1964"/>
      <c r="C19" s="1964"/>
      <c r="D19" s="1964"/>
      <c r="E19" s="1964"/>
      <c r="F19" s="1964"/>
      <c r="G19" s="1964"/>
      <c r="H19" s="1944"/>
      <c r="I19" s="30"/>
      <c r="J19" s="99"/>
      <c r="K19" s="40"/>
      <c r="L19" s="38"/>
      <c r="M19" s="112" t="s">
        <v>315</v>
      </c>
      <c r="P19" s="27"/>
      <c r="Q19" s="27"/>
      <c r="R19" s="27"/>
      <c r="S19" s="31"/>
      <c r="T19" s="2018" t="s">
        <v>2074</v>
      </c>
      <c r="U19" s="1943"/>
      <c r="V19" s="1943"/>
      <c r="W19" s="1944"/>
      <c r="X19" s="2033" t="s">
        <v>2075</v>
      </c>
      <c r="Y19" s="2034"/>
      <c r="Z19" s="2031">
        <v>60087</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2067</v>
      </c>
      <c r="B21" s="1943"/>
      <c r="C21" s="1943"/>
      <c r="D21" s="1943"/>
      <c r="E21" s="1943"/>
      <c r="F21" s="1943"/>
      <c r="G21" s="1943"/>
      <c r="H21" s="1944"/>
      <c r="I21" s="1998" t="s">
        <v>678</v>
      </c>
      <c r="J21" s="1993"/>
      <c r="K21" s="1993"/>
      <c r="L21" s="1993"/>
      <c r="M21" s="1993"/>
      <c r="N21" s="1993"/>
      <c r="O21" s="1993"/>
      <c r="P21" s="1993"/>
      <c r="Q21" s="1993"/>
      <c r="R21" s="1993"/>
      <c r="S21" s="1999"/>
      <c r="T21" s="2042" t="s">
        <v>2076</v>
      </c>
      <c r="U21" s="2043"/>
      <c r="V21" s="2043"/>
      <c r="W21" s="2043"/>
      <c r="X21" s="2048" t="s">
        <v>2077</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2078</v>
      </c>
      <c r="U23" s="2041"/>
      <c r="V23" s="2041"/>
      <c r="W23" s="2041"/>
      <c r="X23" s="2045">
        <v>44530</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60015</v>
      </c>
      <c r="B25" s="1943"/>
      <c r="C25" s="1943"/>
      <c r="D25" s="1943"/>
      <c r="E25" s="1943"/>
      <c r="F25" s="1943"/>
      <c r="G25" s="1943"/>
      <c r="H25" s="1944"/>
      <c r="I25" s="113"/>
      <c r="J25" s="1967"/>
      <c r="K25" s="1967"/>
      <c r="L25" s="1967"/>
      <c r="M25" s="1967"/>
      <c r="N25" s="1967"/>
      <c r="O25" s="1967"/>
      <c r="P25" s="1967"/>
      <c r="Q25" s="1967"/>
      <c r="R25" s="1967"/>
      <c r="S25" s="1968"/>
      <c r="T25" s="2038" t="s">
        <v>2079</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2068</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2069</v>
      </c>
      <c r="B42" s="1962"/>
      <c r="C42" s="1963"/>
      <c r="D42" s="1961" t="s">
        <v>2070</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4" t="s">
        <v>1802</v>
      </c>
      <c r="B2" s="1527" t="s">
        <v>1951</v>
      </c>
      <c r="C2" s="714" t="s">
        <v>1952</v>
      </c>
      <c r="D2" s="714" t="s">
        <v>1953</v>
      </c>
      <c r="E2" s="714" t="s">
        <v>1954</v>
      </c>
      <c r="F2" s="714" t="s">
        <v>1955</v>
      </c>
    </row>
    <row r="3" spans="1:6" ht="12" customHeight="1" x14ac:dyDescent="0.2">
      <c r="A3" s="2185"/>
      <c r="B3" s="1524"/>
      <c r="C3" s="1525"/>
      <c r="D3" s="1526" t="s">
        <v>256</v>
      </c>
      <c r="E3" s="1525"/>
      <c r="F3" s="1526" t="s">
        <v>257</v>
      </c>
    </row>
    <row r="4" spans="1:6" ht="13.7" customHeight="1" x14ac:dyDescent="0.2">
      <c r="A4" s="715" t="s">
        <v>1155</v>
      </c>
      <c r="B4" s="1748">
        <f>'Revenues 9-14'!C5</f>
        <v>41163790</v>
      </c>
      <c r="C4" s="1523"/>
      <c r="D4" s="1751">
        <f>B4-C4</f>
        <v>41163790</v>
      </c>
      <c r="E4" s="1523">
        <v>43974959</v>
      </c>
      <c r="F4" s="1751">
        <f>E4-C4</f>
        <v>43974959</v>
      </c>
    </row>
    <row r="5" spans="1:6" ht="13.7" customHeight="1" x14ac:dyDescent="0.2">
      <c r="A5" s="715" t="s">
        <v>870</v>
      </c>
      <c r="B5" s="1749">
        <f>'Revenues 9-14'!D5</f>
        <v>6447642</v>
      </c>
      <c r="C5" s="585"/>
      <c r="D5" s="1752">
        <f t="shared" ref="D5:D18" si="0">B5-C5</f>
        <v>6447642</v>
      </c>
      <c r="E5" s="585">
        <v>5501356</v>
      </c>
      <c r="F5" s="1752">
        <f>E5-C5</f>
        <v>5501356</v>
      </c>
    </row>
    <row r="6" spans="1:6" ht="13.7" customHeight="1" x14ac:dyDescent="0.2">
      <c r="A6" s="715" t="s">
        <v>411</v>
      </c>
      <c r="B6" s="1749">
        <f>'Revenues 9-14'!E5</f>
        <v>1110631</v>
      </c>
      <c r="C6" s="585"/>
      <c r="D6" s="1752">
        <f t="shared" si="0"/>
        <v>1110631</v>
      </c>
      <c r="E6" s="585">
        <v>7736</v>
      </c>
      <c r="F6" s="1752">
        <f t="shared" ref="F6:F18" si="1">E6-C6</f>
        <v>7736</v>
      </c>
    </row>
    <row r="7" spans="1:6" ht="13.7" customHeight="1" x14ac:dyDescent="0.2">
      <c r="A7" s="715" t="s">
        <v>155</v>
      </c>
      <c r="B7" s="1749">
        <f>'Revenues 9-14'!F5</f>
        <v>1342883</v>
      </c>
      <c r="C7" s="585"/>
      <c r="D7" s="1752">
        <f t="shared" si="0"/>
        <v>1342883</v>
      </c>
      <c r="E7" s="585">
        <v>1149788</v>
      </c>
      <c r="F7" s="1752">
        <f t="shared" si="1"/>
        <v>1149788</v>
      </c>
    </row>
    <row r="8" spans="1:6" ht="13.7" customHeight="1" x14ac:dyDescent="0.2">
      <c r="A8" s="715" t="s">
        <v>1179</v>
      </c>
      <c r="B8" s="1749">
        <f>'Revenues 9-14'!G5</f>
        <v>483444</v>
      </c>
      <c r="C8" s="585"/>
      <c r="D8" s="1752">
        <f t="shared" si="0"/>
        <v>483444</v>
      </c>
      <c r="E8" s="585">
        <v>358758</v>
      </c>
      <c r="F8" s="1752">
        <f t="shared" si="1"/>
        <v>358758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0</v>
      </c>
      <c r="C10" s="585"/>
      <c r="D10" s="1752">
        <f t="shared" si="0"/>
        <v>0</v>
      </c>
      <c r="E10" s="585"/>
      <c r="F10" s="1752">
        <f t="shared" si="1"/>
        <v>0</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738961</v>
      </c>
      <c r="C14" s="585"/>
      <c r="D14" s="1752">
        <f t="shared" si="0"/>
        <v>738961</v>
      </c>
      <c r="E14" s="585">
        <v>768843</v>
      </c>
      <c r="F14" s="1752">
        <f t="shared" si="1"/>
        <v>768843</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644592</v>
      </c>
      <c r="C16" s="585"/>
      <c r="D16" s="1752">
        <f t="shared" si="0"/>
        <v>644592</v>
      </c>
      <c r="E16" s="585">
        <v>538129</v>
      </c>
      <c r="F16" s="1752">
        <f t="shared" si="1"/>
        <v>538129</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51931943</v>
      </c>
      <c r="C19" s="1750">
        <f>SUM(C4:C18)</f>
        <v>0</v>
      </c>
      <c r="D19" s="1750">
        <f>SUM(D4:D18)</f>
        <v>51931943</v>
      </c>
      <c r="E19" s="1750">
        <f>SUM(E4:E18)</f>
        <v>52299569</v>
      </c>
      <c r="F19" s="1750">
        <f>SUM(F4:F18)</f>
        <v>52299569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4"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3" t="s">
        <v>1956</v>
      </c>
      <c r="D2" s="723" t="s">
        <v>1957</v>
      </c>
      <c r="E2" s="723" t="s">
        <v>1958</v>
      </c>
      <c r="F2" s="1883"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4">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7" t="s">
        <v>631</v>
      </c>
      <c r="B15" s="2198"/>
      <c r="C15" s="1754">
        <f>SUM(C6:C14)</f>
        <v>0</v>
      </c>
      <c r="D15" s="1754">
        <f>SUM(D6:D14)</f>
        <v>0</v>
      </c>
      <c r="E15" s="1754">
        <f>SUM(E6:E14)</f>
        <v>0</v>
      </c>
      <c r="F15" s="1754">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4">
        <f>SUM(C17+D17)-E17</f>
        <v>0</v>
      </c>
    </row>
    <row r="18" spans="1:11" ht="12.75" customHeight="1" thickTop="1" thickBot="1" x14ac:dyDescent="0.25">
      <c r="A18" s="2192" t="s">
        <v>6</v>
      </c>
      <c r="B18" s="2193"/>
      <c r="C18" s="726"/>
      <c r="D18" s="585"/>
      <c r="E18" s="726"/>
      <c r="F18" s="1754">
        <f>SUM(C18+D18)-E18</f>
        <v>0</v>
      </c>
    </row>
    <row r="19" spans="1:11" ht="12.75" customHeight="1" thickTop="1" thickBot="1" x14ac:dyDescent="0.25">
      <c r="A19" s="2192" t="s">
        <v>388</v>
      </c>
      <c r="B19" s="2193"/>
      <c r="C19" s="726"/>
      <c r="D19" s="585"/>
      <c r="E19" s="726"/>
      <c r="F19" s="1754">
        <f>SUM(C19+D19)-E19</f>
        <v>0</v>
      </c>
    </row>
    <row r="20" spans="1:11" ht="12.75" customHeight="1" thickTop="1" thickBot="1" x14ac:dyDescent="0.25">
      <c r="A20" s="2192" t="s">
        <v>448</v>
      </c>
      <c r="B20" s="2193"/>
      <c r="C20" s="726"/>
      <c r="D20" s="585"/>
      <c r="E20" s="726"/>
      <c r="F20" s="1754">
        <f>SUM(C20+D20)-E20</f>
        <v>0</v>
      </c>
    </row>
    <row r="21" spans="1:11" ht="14.25" thickTop="1" thickBot="1" x14ac:dyDescent="0.25">
      <c r="A21" s="2197" t="s">
        <v>632</v>
      </c>
      <c r="B21" s="2198"/>
      <c r="C21" s="1754">
        <f>SUM(C17:C20)</f>
        <v>0</v>
      </c>
      <c r="D21" s="1754">
        <f>SUM(D17:D20)</f>
        <v>0</v>
      </c>
      <c r="E21" s="1754">
        <f>SUM(E17:E20)</f>
        <v>0</v>
      </c>
      <c r="F21" s="1754">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4">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4">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4">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2080</v>
      </c>
      <c r="B31" s="733">
        <v>36161</v>
      </c>
      <c r="C31" s="734">
        <v>10785000</v>
      </c>
      <c r="D31" s="1936" t="s">
        <v>2084</v>
      </c>
      <c r="E31" s="734">
        <v>440000</v>
      </c>
      <c r="F31" s="734"/>
      <c r="G31" s="734"/>
      <c r="H31" s="734">
        <v>440000</v>
      </c>
      <c r="I31" s="1755">
        <f>((E31+F31)-H31)+G31</f>
        <v>0</v>
      </c>
      <c r="J31" s="734">
        <v>-719723</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2081</v>
      </c>
      <c r="B33" s="733">
        <v>40238</v>
      </c>
      <c r="C33" s="734">
        <v>4970000</v>
      </c>
      <c r="D33" s="1936" t="s">
        <v>945</v>
      </c>
      <c r="E33" s="734">
        <v>1945000</v>
      </c>
      <c r="F33" s="734"/>
      <c r="G33" s="734"/>
      <c r="H33" s="734"/>
      <c r="I33" s="1755">
        <f t="shared" ref="I33:I48" si="1">((E33+F33)-H33)+G33</f>
        <v>1945000</v>
      </c>
      <c r="J33" s="734">
        <v>1945000</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2082</v>
      </c>
      <c r="B35" s="733">
        <v>41540</v>
      </c>
      <c r="C35" s="738">
        <v>8975000</v>
      </c>
      <c r="D35" s="1936" t="s">
        <v>2085</v>
      </c>
      <c r="E35" s="738">
        <v>8975000</v>
      </c>
      <c r="F35" s="738"/>
      <c r="G35" s="738"/>
      <c r="H35" s="738"/>
      <c r="I35" s="1755">
        <f t="shared" si="1"/>
        <v>8975000</v>
      </c>
      <c r="J35" s="738">
        <v>8966178</v>
      </c>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t="s">
        <v>2083</v>
      </c>
      <c r="B37" s="733">
        <v>42124</v>
      </c>
      <c r="C37" s="467">
        <v>9270000</v>
      </c>
      <c r="D37" s="1937" t="s">
        <v>2086</v>
      </c>
      <c r="E37" s="467">
        <v>9270000</v>
      </c>
      <c r="F37" s="467"/>
      <c r="G37" s="467"/>
      <c r="H37" s="467"/>
      <c r="I37" s="1755">
        <f t="shared" si="1"/>
        <v>9270000</v>
      </c>
      <c r="J37" s="467">
        <v>9118702</v>
      </c>
      <c r="K37" s="737"/>
    </row>
    <row r="38" spans="1:11" ht="12" customHeight="1" x14ac:dyDescent="0.2">
      <c r="A38" s="732"/>
      <c r="B38" s="733"/>
      <c r="C38" s="734"/>
      <c r="D38" s="740"/>
      <c r="E38" s="741"/>
      <c r="F38" s="741"/>
      <c r="G38" s="741"/>
      <c r="H38" s="741"/>
      <c r="I38" s="1755">
        <f t="shared" si="1"/>
        <v>0</v>
      </c>
      <c r="J38" s="742" t="s">
        <v>264</v>
      </c>
      <c r="K38" s="743"/>
    </row>
    <row r="39" spans="1:11" ht="12" customHeight="1" x14ac:dyDescent="0.2">
      <c r="A39" s="732"/>
      <c r="B39" s="733"/>
      <c r="C39" s="734"/>
      <c r="D39" s="740"/>
      <c r="E39" s="741"/>
      <c r="F39" s="741"/>
      <c r="G39" s="741"/>
      <c r="H39" s="741"/>
      <c r="I39" s="1755">
        <f t="shared" si="1"/>
        <v>0</v>
      </c>
      <c r="J39" s="742"/>
      <c r="K39" s="743"/>
    </row>
    <row r="40" spans="1:11" ht="12" customHeight="1" x14ac:dyDescent="0.2">
      <c r="A40" s="732"/>
      <c r="B40" s="733"/>
      <c r="C40" s="734"/>
      <c r="D40" s="740"/>
      <c r="E40" s="741"/>
      <c r="F40" s="741"/>
      <c r="G40" s="741"/>
      <c r="H40" s="741"/>
      <c r="I40" s="1755">
        <f t="shared" si="1"/>
        <v>0</v>
      </c>
      <c r="J40" s="742"/>
      <c r="K40" s="743"/>
    </row>
    <row r="41" spans="1:11" ht="12" customHeight="1" x14ac:dyDescent="0.2">
      <c r="A41" s="732"/>
      <c r="B41" s="733"/>
      <c r="C41" s="734"/>
      <c r="D41" s="740"/>
      <c r="E41" s="741"/>
      <c r="F41" s="741"/>
      <c r="G41" s="741"/>
      <c r="H41" s="741"/>
      <c r="I41" s="1755">
        <f t="shared" si="1"/>
        <v>0</v>
      </c>
      <c r="J41" s="742"/>
      <c r="K41" s="743"/>
    </row>
    <row r="42" spans="1:11" ht="12" customHeight="1" x14ac:dyDescent="0.2">
      <c r="A42" s="732"/>
      <c r="B42" s="733"/>
      <c r="C42" s="734"/>
      <c r="D42" s="740"/>
      <c r="E42" s="741"/>
      <c r="F42" s="741"/>
      <c r="G42" s="741"/>
      <c r="H42" s="741"/>
      <c r="I42" s="1755">
        <f t="shared" si="1"/>
        <v>0</v>
      </c>
      <c r="J42" s="742"/>
      <c r="K42" s="743"/>
    </row>
    <row r="43" spans="1:11" ht="12" customHeight="1" x14ac:dyDescent="0.2">
      <c r="A43" s="732"/>
      <c r="B43" s="733"/>
      <c r="C43" s="734"/>
      <c r="D43" s="740"/>
      <c r="E43" s="741"/>
      <c r="F43" s="741"/>
      <c r="G43" s="741"/>
      <c r="H43" s="741"/>
      <c r="I43" s="1755">
        <f t="shared" si="1"/>
        <v>0</v>
      </c>
      <c r="J43" s="742"/>
      <c r="K43" s="743"/>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34000000</v>
      </c>
      <c r="D49" s="744"/>
      <c r="E49" s="1755">
        <f t="shared" ref="E49:J49" si="2">SUM(E31:E48)</f>
        <v>20630000</v>
      </c>
      <c r="F49" s="1755">
        <f t="shared" si="2"/>
        <v>0</v>
      </c>
      <c r="G49" s="1755">
        <f t="shared" si="2"/>
        <v>0</v>
      </c>
      <c r="H49" s="1755">
        <f t="shared" si="2"/>
        <v>440000</v>
      </c>
      <c r="I49" s="1755">
        <f t="shared" si="2"/>
        <v>20190000</v>
      </c>
      <c r="J49" s="1755">
        <f t="shared" si="2"/>
        <v>19310157</v>
      </c>
      <c r="K49" s="737"/>
    </row>
    <row r="50" spans="1:11" ht="6" customHeight="1" x14ac:dyDescent="0.2">
      <c r="A50" s="745"/>
      <c r="B50" s="736"/>
      <c r="C50" s="736"/>
      <c r="D50" s="736"/>
      <c r="E50" s="736"/>
      <c r="F50" s="736"/>
      <c r="G50" s="736"/>
      <c r="H50" s="736"/>
      <c r="I50" s="736"/>
      <c r="J50" s="745"/>
    </row>
    <row r="51" spans="1:11" x14ac:dyDescent="0.2">
      <c r="A51" s="746" t="s">
        <v>1807</v>
      </c>
      <c r="B51" s="745"/>
      <c r="C51" s="737"/>
      <c r="D51" s="737"/>
      <c r="E51" s="737"/>
      <c r="F51" s="737"/>
      <c r="G51" s="737"/>
      <c r="H51" s="736"/>
      <c r="I51" s="736"/>
      <c r="J51" s="745"/>
    </row>
    <row r="52" spans="1:11" ht="11.25" customHeight="1" x14ac:dyDescent="0.2">
      <c r="A52" s="747" t="s">
        <v>912</v>
      </c>
      <c r="B52" s="2186" t="s">
        <v>584</v>
      </c>
      <c r="C52" s="2187"/>
      <c r="D52" s="2187"/>
      <c r="E52" s="748" t="s">
        <v>845</v>
      </c>
      <c r="F52" s="2188" t="s">
        <v>2087</v>
      </c>
      <c r="G52" s="2189"/>
      <c r="H52" s="736"/>
      <c r="I52" s="736"/>
      <c r="J52" s="745"/>
    </row>
    <row r="53" spans="1:11" ht="11.25" customHeight="1" x14ac:dyDescent="0.2">
      <c r="A53" s="749" t="s">
        <v>913</v>
      </c>
      <c r="B53" s="750" t="s">
        <v>951</v>
      </c>
      <c r="C53" s="745"/>
      <c r="D53" s="737"/>
      <c r="E53" s="748" t="s">
        <v>497</v>
      </c>
      <c r="F53" s="2190"/>
      <c r="G53" s="2191"/>
      <c r="H53" s="736"/>
      <c r="I53" s="736"/>
      <c r="J53" s="745"/>
    </row>
    <row r="54" spans="1:11" ht="11.25" customHeight="1" x14ac:dyDescent="0.2">
      <c r="A54" s="751" t="s">
        <v>914</v>
      </c>
      <c r="B54" s="746" t="s">
        <v>952</v>
      </c>
      <c r="C54" s="745"/>
      <c r="D54" s="737"/>
      <c r="E54" s="748" t="s">
        <v>498</v>
      </c>
      <c r="F54" s="2190"/>
      <c r="G54" s="2191"/>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1" colorId="8" zoomScale="110" zoomScaleNormal="110"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29"/>
      <c r="I1" s="759"/>
      <c r="J1" s="433"/>
    </row>
    <row r="2" spans="1:11" ht="26.25" x14ac:dyDescent="0.2">
      <c r="A2" s="2234" t="s">
        <v>1677</v>
      </c>
      <c r="B2" s="2235"/>
      <c r="C2" s="2235"/>
      <c r="D2" s="2235"/>
      <c r="E2" s="2236"/>
      <c r="F2" s="760" t="s">
        <v>904</v>
      </c>
      <c r="G2" s="761" t="s">
        <v>1674</v>
      </c>
      <c r="H2" s="761" t="s">
        <v>410</v>
      </c>
      <c r="I2" s="761" t="s">
        <v>1158</v>
      </c>
      <c r="J2" s="761" t="s">
        <v>1812</v>
      </c>
      <c r="K2" s="761" t="s">
        <v>138</v>
      </c>
    </row>
    <row r="3" spans="1:11" x14ac:dyDescent="0.2">
      <c r="A3" s="2237" t="s">
        <v>1964</v>
      </c>
      <c r="B3" s="2238"/>
      <c r="C3" s="2238"/>
      <c r="D3" s="2238"/>
      <c r="E3" s="2239"/>
      <c r="F3" s="762"/>
      <c r="G3" s="763"/>
      <c r="H3" s="763"/>
      <c r="I3" s="763"/>
      <c r="J3" s="764"/>
      <c r="K3" s="764"/>
    </row>
    <row r="4" spans="1:11" x14ac:dyDescent="0.2">
      <c r="A4" s="2240" t="s">
        <v>369</v>
      </c>
      <c r="B4" s="2241"/>
      <c r="C4" s="2241"/>
      <c r="D4" s="2241"/>
      <c r="E4" s="2187"/>
      <c r="F4" s="765"/>
      <c r="G4" s="766"/>
      <c r="H4" s="767"/>
      <c r="I4" s="766"/>
      <c r="J4" s="768"/>
      <c r="K4" s="768"/>
    </row>
    <row r="5" spans="1:11" x14ac:dyDescent="0.2">
      <c r="A5" s="2218" t="s">
        <v>1069</v>
      </c>
      <c r="B5" s="2219"/>
      <c r="C5" s="2219"/>
      <c r="D5" s="2219"/>
      <c r="E5" s="2220"/>
      <c r="F5" s="769" t="s">
        <v>848</v>
      </c>
      <c r="G5" s="770"/>
      <c r="H5" s="763">
        <v>738961</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8" t="s">
        <v>1813</v>
      </c>
      <c r="B10" s="2219"/>
      <c r="C10" s="2219"/>
      <c r="D10" s="2219"/>
      <c r="E10" s="2221"/>
      <c r="F10" s="782" t="s">
        <v>862</v>
      </c>
      <c r="G10" s="781"/>
      <c r="H10" s="783"/>
      <c r="I10" s="763"/>
      <c r="J10" s="764"/>
      <c r="K10" s="764"/>
    </row>
    <row r="11" spans="1:11" x14ac:dyDescent="0.2">
      <c r="A11" s="2218" t="s">
        <v>160</v>
      </c>
      <c r="B11" s="2219"/>
      <c r="C11" s="2219"/>
      <c r="D11" s="2219"/>
      <c r="E11" s="2220"/>
      <c r="F11" s="769" t="s">
        <v>852</v>
      </c>
      <c r="G11" s="770"/>
      <c r="H11" s="763"/>
      <c r="I11" s="763"/>
      <c r="J11" s="764"/>
      <c r="K11" s="772"/>
    </row>
    <row r="12" spans="1:11" ht="13.5" thickBot="1" x14ac:dyDescent="0.25">
      <c r="A12" s="2245" t="s">
        <v>905</v>
      </c>
      <c r="B12" s="2246"/>
      <c r="C12" s="2246"/>
      <c r="D12" s="2246"/>
      <c r="E12" s="2247"/>
      <c r="F12" s="1756"/>
      <c r="G12" s="1757">
        <f>SUM(G5:G11)</f>
        <v>0</v>
      </c>
      <c r="H12" s="1757">
        <f>SUM(H5:H11)</f>
        <v>738961</v>
      </c>
      <c r="I12" s="1757">
        <f>SUM(I5:I11)</f>
        <v>0</v>
      </c>
      <c r="J12" s="1757">
        <f>SUM(J5:J11)</f>
        <v>0</v>
      </c>
      <c r="K12" s="1757">
        <f>SUM(K5:K11)</f>
        <v>0</v>
      </c>
    </row>
    <row r="13" spans="1:11" ht="13.5" thickTop="1" x14ac:dyDescent="0.2">
      <c r="A13" s="2242" t="s">
        <v>370</v>
      </c>
      <c r="B13" s="2243"/>
      <c r="C13" s="2243"/>
      <c r="D13" s="2243"/>
      <c r="E13" s="2244"/>
      <c r="F13" s="784"/>
      <c r="G13" s="785"/>
      <c r="H13" s="786"/>
      <c r="I13" s="787"/>
      <c r="J13" s="787"/>
      <c r="K13" s="787"/>
    </row>
    <row r="14" spans="1:11" x14ac:dyDescent="0.2">
      <c r="A14" s="2225" t="s">
        <v>456</v>
      </c>
      <c r="B14" s="2225"/>
      <c r="C14" s="2225"/>
      <c r="D14" s="2225"/>
      <c r="E14" s="2226"/>
      <c r="F14" s="788" t="s">
        <v>854</v>
      </c>
      <c r="G14" s="781"/>
      <c r="H14" s="763">
        <v>738961</v>
      </c>
      <c r="I14" s="770"/>
      <c r="J14" s="772"/>
      <c r="K14" s="764"/>
    </row>
    <row r="15" spans="1:11" x14ac:dyDescent="0.2">
      <c r="A15" s="2219" t="s">
        <v>4</v>
      </c>
      <c r="B15" s="2219"/>
      <c r="C15" s="2219"/>
      <c r="D15" s="2219"/>
      <c r="E15" s="2220"/>
      <c r="F15" s="788" t="s">
        <v>855</v>
      </c>
      <c r="G15" s="770"/>
      <c r="H15" s="763"/>
      <c r="I15" s="763"/>
      <c r="J15" s="764"/>
      <c r="K15" s="764"/>
    </row>
    <row r="16" spans="1:11" x14ac:dyDescent="0.2">
      <c r="A16" s="2219" t="s">
        <v>298</v>
      </c>
      <c r="B16" s="2219"/>
      <c r="C16" s="2219"/>
      <c r="D16" s="2219"/>
      <c r="E16" s="2220"/>
      <c r="F16" s="788" t="s">
        <v>923</v>
      </c>
      <c r="G16" s="771"/>
      <c r="H16" s="766"/>
      <c r="I16" s="766"/>
      <c r="J16" s="768"/>
      <c r="K16" s="768"/>
    </row>
    <row r="17" spans="1:11" x14ac:dyDescent="0.2">
      <c r="A17" s="2250" t="s">
        <v>935</v>
      </c>
      <c r="B17" s="2250"/>
      <c r="C17" s="2250"/>
      <c r="D17" s="2250"/>
      <c r="E17" s="2251"/>
      <c r="F17" s="789"/>
      <c r="G17" s="790"/>
      <c r="H17" s="791"/>
      <c r="I17" s="791"/>
      <c r="J17" s="792"/>
      <c r="K17" s="793"/>
    </row>
    <row r="18" spans="1:11" x14ac:dyDescent="0.2">
      <c r="A18" s="2229" t="s">
        <v>368</v>
      </c>
      <c r="B18" s="2230"/>
      <c r="C18" s="2230"/>
      <c r="D18" s="2230"/>
      <c r="E18" s="2231"/>
      <c r="F18" s="788" t="s">
        <v>932</v>
      </c>
      <c r="G18" s="781"/>
      <c r="H18" s="781"/>
      <c r="I18" s="781"/>
      <c r="J18" s="764"/>
      <c r="K18" s="794"/>
    </row>
    <row r="19" spans="1:11" ht="21.75" customHeight="1" x14ac:dyDescent="0.2">
      <c r="A19" s="2227" t="s">
        <v>1809</v>
      </c>
      <c r="B19" s="2227"/>
      <c r="C19" s="2227"/>
      <c r="D19" s="2227"/>
      <c r="E19" s="2228"/>
      <c r="F19" s="788" t="s">
        <v>933</v>
      </c>
      <c r="G19" s="781"/>
      <c r="H19" s="781"/>
      <c r="I19" s="781"/>
      <c r="J19" s="764"/>
      <c r="K19" s="794"/>
    </row>
    <row r="20" spans="1:11" x14ac:dyDescent="0.2">
      <c r="A20" s="2229" t="s">
        <v>1814</v>
      </c>
      <c r="B20" s="2230"/>
      <c r="C20" s="2230"/>
      <c r="D20" s="2230"/>
      <c r="E20" s="2231"/>
      <c r="F20" s="788" t="s">
        <v>934</v>
      </c>
      <c r="G20" s="781"/>
      <c r="H20" s="781"/>
      <c r="I20" s="781"/>
      <c r="J20" s="764"/>
      <c r="K20" s="794"/>
    </row>
    <row r="21" spans="1:11" ht="13.5" thickBot="1" x14ac:dyDescent="0.25">
      <c r="A21" s="2248" t="s">
        <v>638</v>
      </c>
      <c r="B21" s="2248"/>
      <c r="C21" s="2248"/>
      <c r="D21" s="2248"/>
      <c r="E21" s="2248"/>
      <c r="F21" s="1758"/>
      <c r="G21" s="791"/>
      <c r="H21" s="795"/>
      <c r="I21" s="795"/>
      <c r="J21" s="1759">
        <f>SUM(J18:J20)</f>
        <v>0</v>
      </c>
      <c r="K21" s="792"/>
    </row>
    <row r="22" spans="1:11" ht="13.5" thickTop="1" x14ac:dyDescent="0.2">
      <c r="A22" s="2219" t="s">
        <v>1815</v>
      </c>
      <c r="B22" s="2219"/>
      <c r="C22" s="2219"/>
      <c r="D22" s="2219"/>
      <c r="E22" s="2220"/>
      <c r="F22" s="788" t="s">
        <v>862</v>
      </c>
      <c r="G22" s="781"/>
      <c r="H22" s="763"/>
      <c r="I22" s="763"/>
      <c r="J22" s="796"/>
      <c r="K22" s="764"/>
    </row>
    <row r="23" spans="1:11" ht="13.5" thickBot="1" x14ac:dyDescent="0.25">
      <c r="A23" s="2249" t="s">
        <v>906</v>
      </c>
      <c r="B23" s="2248"/>
      <c r="C23" s="2248"/>
      <c r="D23" s="2248"/>
      <c r="E23" s="2248"/>
      <c r="F23" s="1760"/>
      <c r="G23" s="1757">
        <f>SUM(G14:G16,G21,G22)</f>
        <v>0</v>
      </c>
      <c r="H23" s="1757">
        <f>SUM(H14:H16,H21,H22)</f>
        <v>738961</v>
      </c>
      <c r="I23" s="1757">
        <f>SUM(I14:I16,I21,I22)</f>
        <v>0</v>
      </c>
      <c r="J23" s="1757">
        <f>SUM(J14:J16,J21,J22)</f>
        <v>0</v>
      </c>
      <c r="K23" s="1757">
        <f>SUM(K14:K16,K21,K22)</f>
        <v>0</v>
      </c>
    </row>
    <row r="24" spans="1:11" ht="14.25" thickTop="1" thickBot="1" x14ac:dyDescent="0.25">
      <c r="A24" s="2249" t="s">
        <v>1965</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2"/>
      <c r="G28" s="803"/>
    </row>
    <row r="29" spans="1:11" x14ac:dyDescent="0.2">
      <c r="B29" s="501"/>
      <c r="C29" s="501"/>
      <c r="D29" s="501"/>
      <c r="F29" s="202"/>
      <c r="G29" s="804"/>
    </row>
    <row r="30" spans="1:11" x14ac:dyDescent="0.2">
      <c r="A30" s="805" t="s">
        <v>572</v>
      </c>
      <c r="B30" s="806"/>
      <c r="C30" s="805" t="s">
        <v>383</v>
      </c>
      <c r="D30" s="806" t="s">
        <v>2064</v>
      </c>
      <c r="E30" s="807" t="s">
        <v>768</v>
      </c>
      <c r="F30" s="202"/>
      <c r="G30" s="804"/>
    </row>
    <row r="31" spans="1:11" x14ac:dyDescent="0.2">
      <c r="A31" s="808"/>
      <c r="D31" s="237"/>
      <c r="E31" s="809" t="s">
        <v>769</v>
      </c>
      <c r="F31" s="810" t="s">
        <v>539</v>
      </c>
      <c r="G31" s="763"/>
      <c r="H31" s="2222"/>
      <c r="I31" s="2223"/>
      <c r="J31" s="2223"/>
      <c r="K31" s="2223"/>
    </row>
    <row r="32" spans="1:11" x14ac:dyDescent="0.2">
      <c r="A32" s="808"/>
      <c r="B32" s="237"/>
      <c r="C32" s="237"/>
      <c r="D32" s="237"/>
      <c r="E32" s="804"/>
      <c r="F32" s="810" t="s">
        <v>540</v>
      </c>
      <c r="G32" s="763"/>
      <c r="H32" s="2224"/>
      <c r="I32" s="2223"/>
      <c r="J32" s="2223"/>
      <c r="K32" s="2223"/>
    </row>
    <row r="33" spans="1:11" ht="1.5" customHeight="1" x14ac:dyDescent="0.2">
      <c r="A33" s="811" t="s">
        <v>1169</v>
      </c>
      <c r="B33" s="364"/>
      <c r="C33" s="364"/>
      <c r="D33" s="364"/>
      <c r="E33" s="364"/>
      <c r="F33" s="364"/>
      <c r="G33" s="812"/>
      <c r="H33" s="2224"/>
      <c r="I33" s="2223"/>
      <c r="J33" s="2223"/>
      <c r="K33" s="2223"/>
    </row>
    <row r="34" spans="1:11" x14ac:dyDescent="0.2">
      <c r="A34" s="813" t="s">
        <v>1816</v>
      </c>
      <c r="B34" s="364"/>
      <c r="C34" s="364"/>
      <c r="D34" s="364"/>
      <c r="E34" s="364"/>
      <c r="F34" s="364"/>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v>204643</v>
      </c>
    </row>
    <row r="37" spans="1:11" x14ac:dyDescent="0.2">
      <c r="A37" s="819" t="s">
        <v>896</v>
      </c>
      <c r="B37" s="817"/>
      <c r="C37" s="817"/>
      <c r="D37" s="817"/>
      <c r="E37" s="817"/>
      <c r="F37" s="818"/>
      <c r="G37" s="764">
        <v>7826</v>
      </c>
    </row>
    <row r="38" spans="1:11" x14ac:dyDescent="0.2">
      <c r="A38" s="819" t="s">
        <v>993</v>
      </c>
      <c r="B38" s="817"/>
      <c r="C38" s="817"/>
      <c r="D38" s="817"/>
      <c r="E38" s="817"/>
      <c r="F38" s="818"/>
      <c r="G38" s="764">
        <v>177512</v>
      </c>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9" t="s">
        <v>541</v>
      </c>
      <c r="B41" s="2232"/>
      <c r="C41" s="2232"/>
      <c r="D41" s="2232"/>
      <c r="E41" s="2232"/>
      <c r="F41" s="2233"/>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8" t="s">
        <v>1675</v>
      </c>
    </row>
    <row r="47" spans="1:11" s="822" customFormat="1" ht="12.75" customHeight="1" x14ac:dyDescent="0.2">
      <c r="A47" s="820"/>
      <c r="B47" s="821" t="s">
        <v>1676</v>
      </c>
      <c r="E47" s="821"/>
      <c r="K47" s="823"/>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5"/>
      <c r="E1" s="826"/>
      <c r="F1" s="826"/>
      <c r="G1" s="827"/>
      <c r="H1" s="828"/>
      <c r="I1" s="829"/>
      <c r="J1" s="2252"/>
      <c r="K1" s="2253"/>
      <c r="L1" s="2253"/>
    </row>
    <row r="2" spans="1:14" ht="69.75" customHeight="1" x14ac:dyDescent="0.2">
      <c r="A2" s="830" t="s">
        <v>1678</v>
      </c>
      <c r="B2" s="831" t="s">
        <v>378</v>
      </c>
      <c r="C2" s="832" t="s">
        <v>1966</v>
      </c>
      <c r="D2" s="832" t="s">
        <v>1967</v>
      </c>
      <c r="E2" s="832" t="s">
        <v>1968</v>
      </c>
      <c r="F2" s="832" t="s">
        <v>1969</v>
      </c>
      <c r="G2" s="832" t="s">
        <v>605</v>
      </c>
      <c r="H2" s="832" t="s">
        <v>1970</v>
      </c>
      <c r="I2" s="832" t="s">
        <v>1971</v>
      </c>
      <c r="J2" s="832" t="s">
        <v>1972</v>
      </c>
      <c r="K2" s="832" t="s">
        <v>1973</v>
      </c>
      <c r="L2" s="832" t="s">
        <v>1974</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127188</v>
      </c>
      <c r="D5" s="840"/>
      <c r="E5" s="840"/>
      <c r="F5" s="1759">
        <f>(C5+D5)-E5</f>
        <v>127188</v>
      </c>
      <c r="G5" s="836"/>
      <c r="H5" s="841"/>
      <c r="I5" s="841"/>
      <c r="J5" s="841"/>
      <c r="K5" s="792"/>
      <c r="L5" s="1768">
        <f>F5-K5</f>
        <v>127188</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91753337</v>
      </c>
      <c r="D8" s="843">
        <v>7370069</v>
      </c>
      <c r="E8" s="843"/>
      <c r="F8" s="1759">
        <f>(C8+D8)-E8</f>
        <v>99123406</v>
      </c>
      <c r="G8" s="842">
        <v>50</v>
      </c>
      <c r="H8" s="764">
        <v>27166122</v>
      </c>
      <c r="I8" s="764">
        <v>1829296</v>
      </c>
      <c r="J8" s="764"/>
      <c r="K8" s="1768">
        <f>(H8+I8)-J8</f>
        <v>28995418</v>
      </c>
      <c r="L8" s="1768">
        <f>F8-K8</f>
        <v>70127988</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2914525</v>
      </c>
      <c r="D10" s="845">
        <v>298465</v>
      </c>
      <c r="E10" s="845"/>
      <c r="F10" s="1763">
        <f>(C10+D10)-E10</f>
        <v>3212990</v>
      </c>
      <c r="G10" s="842">
        <v>20</v>
      </c>
      <c r="H10" s="846">
        <v>1005709</v>
      </c>
      <c r="I10" s="846">
        <v>153839</v>
      </c>
      <c r="J10" s="846"/>
      <c r="K10" s="1768">
        <f>(H10+I10)-J10</f>
        <v>1159548</v>
      </c>
      <c r="L10" s="1768">
        <f>F10-K10</f>
        <v>2053442</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29919905</v>
      </c>
      <c r="D12" s="843">
        <v>1998163</v>
      </c>
      <c r="E12" s="843"/>
      <c r="F12" s="1759">
        <f>(C12+D12)-E12</f>
        <v>31918068</v>
      </c>
      <c r="G12" s="842">
        <v>10</v>
      </c>
      <c r="H12" s="764">
        <v>20530513</v>
      </c>
      <c r="I12" s="764">
        <v>2024936</v>
      </c>
      <c r="J12" s="764"/>
      <c r="K12" s="1768">
        <f>(H12+I12)-J12</f>
        <v>22555449</v>
      </c>
      <c r="L12" s="1768">
        <f>F12-K12</f>
        <v>9362619</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124714955</v>
      </c>
      <c r="D16" s="1759">
        <f>SUM(D3,D5:D6,D8:D10,D12:D15)</f>
        <v>9666697</v>
      </c>
      <c r="E16" s="1759">
        <f>SUM(E3,E5:E6,E8:E10,E12:E15)</f>
        <v>0</v>
      </c>
      <c r="F16" s="1759">
        <f>SUM(F3,F5:F6,F8:F10,F12:F15)</f>
        <v>134381652</v>
      </c>
      <c r="G16" s="842"/>
      <c r="H16" s="1759">
        <f>SUM(H3,H6,H8:H10,H12:H14,)</f>
        <v>48702344</v>
      </c>
      <c r="I16" s="1759">
        <f>SUM(I3,I6,I8:I10,I12:I14,)</f>
        <v>4008071</v>
      </c>
      <c r="J16" s="1759">
        <f>SUM(J3,J6,J8:J10,J12:J14,)</f>
        <v>0</v>
      </c>
      <c r="K16" s="1759">
        <f>(H16+I16)-J16</f>
        <v>52710415</v>
      </c>
      <c r="L16" s="1759">
        <f>F16-K16</f>
        <v>81671237</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4008071</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1" activePane="bottomLeft" state="frozen"/>
      <selection activeCell="A47" sqref="A47"/>
      <selection pane="bottomLeft" activeCell="F173" sqref="F173"/>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0" t="s">
        <v>1975</v>
      </c>
      <c r="B1" s="2261"/>
      <c r="C1" s="2261"/>
      <c r="D1" s="2261"/>
      <c r="E1" s="2261"/>
      <c r="F1" s="2262"/>
      <c r="G1" s="854"/>
    </row>
    <row r="2" spans="1:7" ht="15" customHeight="1" thickBot="1" x14ac:dyDescent="0.25">
      <c r="A2" s="2263" t="s">
        <v>477</v>
      </c>
      <c r="B2" s="2264"/>
      <c r="C2" s="2264"/>
      <c r="D2" s="2264"/>
      <c r="E2" s="2264"/>
      <c r="F2" s="226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44641467</v>
      </c>
      <c r="G8" s="864"/>
    </row>
    <row r="9" spans="1:7" x14ac:dyDescent="0.2">
      <c r="A9" s="868" t="s">
        <v>460</v>
      </c>
      <c r="B9" s="869" t="s">
        <v>1877</v>
      </c>
      <c r="C9" s="870"/>
      <c r="D9" s="868" t="s">
        <v>501</v>
      </c>
      <c r="E9" s="867"/>
      <c r="F9" s="1908">
        <f>'Expenditures 15-22'!K151</f>
        <v>5638741</v>
      </c>
      <c r="G9" s="871"/>
    </row>
    <row r="10" spans="1:7" x14ac:dyDescent="0.2">
      <c r="A10" s="868" t="s">
        <v>499</v>
      </c>
      <c r="B10" s="869" t="s">
        <v>1878</v>
      </c>
      <c r="C10" s="870"/>
      <c r="D10" s="868" t="s">
        <v>501</v>
      </c>
      <c r="E10" s="867"/>
      <c r="F10" s="1908">
        <f>'Expenditures 15-22'!K174</f>
        <v>1198828</v>
      </c>
      <c r="G10" s="871"/>
    </row>
    <row r="11" spans="1:7" x14ac:dyDescent="0.2">
      <c r="A11" s="868" t="s">
        <v>461</v>
      </c>
      <c r="B11" s="869" t="s">
        <v>1879</v>
      </c>
      <c r="C11" s="870"/>
      <c r="D11" s="868" t="s">
        <v>501</v>
      </c>
      <c r="E11" s="867"/>
      <c r="F11" s="1908">
        <f>'Expenditures 15-22'!K210</f>
        <v>1424317</v>
      </c>
      <c r="G11" s="871"/>
    </row>
    <row r="12" spans="1:7" x14ac:dyDescent="0.2">
      <c r="A12" s="868" t="s">
        <v>462</v>
      </c>
      <c r="B12" s="869" t="s">
        <v>1880</v>
      </c>
      <c r="C12" s="870"/>
      <c r="D12" s="868" t="s">
        <v>501</v>
      </c>
      <c r="E12" s="867"/>
      <c r="F12" s="1908">
        <f>'Expenditures 15-22'!K295</f>
        <v>1278899</v>
      </c>
      <c r="G12" s="871"/>
    </row>
    <row r="13" spans="1:7" x14ac:dyDescent="0.2">
      <c r="A13" s="868" t="s">
        <v>106</v>
      </c>
      <c r="B13" s="869" t="s">
        <v>1881</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54182252</v>
      </c>
      <c r="G14" s="864"/>
    </row>
    <row r="15" spans="1:7" ht="3.75" customHeight="1" thickTop="1" x14ac:dyDescent="0.2">
      <c r="A15" s="864"/>
      <c r="B15" s="864"/>
      <c r="C15" s="870"/>
      <c r="D15" s="864"/>
      <c r="E15" s="867"/>
      <c r="F15" s="864"/>
      <c r="G15" s="864"/>
    </row>
    <row r="16" spans="1:7" ht="12" customHeight="1" x14ac:dyDescent="0.2">
      <c r="A16" s="873" t="s">
        <v>512</v>
      </c>
      <c r="B16" s="231"/>
      <c r="C16" s="231"/>
      <c r="D16" s="866"/>
      <c r="E16" s="867"/>
      <c r="F16" s="866"/>
      <c r="G16" s="864"/>
    </row>
    <row r="17" spans="1:7" ht="4.5" customHeight="1" x14ac:dyDescent="0.2">
      <c r="A17" s="873"/>
      <c r="B17" s="231"/>
      <c r="C17" s="231"/>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1999</v>
      </c>
      <c r="C30" s="879">
        <f>'Revenues 9-14'!B150</f>
        <v>3499</v>
      </c>
      <c r="D30" s="880" t="str">
        <f>'Revenues 9-14'!A150</f>
        <v>Adult Ed - Other (Describe &amp; Itemize)</v>
      </c>
      <c r="E30" s="867"/>
      <c r="F30" s="1913">
        <f>('Revenues 9-14'!D150+'Revenues 9-14'!F150)</f>
        <v>0</v>
      </c>
      <c r="G30" s="864"/>
    </row>
    <row r="31" spans="1:7" x14ac:dyDescent="0.2">
      <c r="A31" s="868" t="s">
        <v>1097</v>
      </c>
      <c r="B31" s="869" t="s">
        <v>2000</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2001</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2002</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75768</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190505</v>
      </c>
      <c r="G52" s="864"/>
    </row>
    <row r="53" spans="1:7" x14ac:dyDescent="0.2">
      <c r="A53" s="868" t="s">
        <v>459</v>
      </c>
      <c r="B53" s="868" t="s">
        <v>1475</v>
      </c>
      <c r="C53" s="888">
        <f>'Expenditures 15-22'!B102</f>
        <v>4000</v>
      </c>
      <c r="D53" s="887" t="str">
        <f>'Expenditures 15-22'!A102</f>
        <v>Total Payments to Other Govt Units</v>
      </c>
      <c r="E53" s="867"/>
      <c r="F53" s="1912">
        <f>'Expenditures 15-22'!K102</f>
        <v>291735</v>
      </c>
      <c r="G53" s="864"/>
    </row>
    <row r="54" spans="1:7" x14ac:dyDescent="0.2">
      <c r="A54" s="868" t="s">
        <v>459</v>
      </c>
      <c r="B54" s="868" t="s">
        <v>1476</v>
      </c>
      <c r="C54" s="888" t="s">
        <v>982</v>
      </c>
      <c r="D54" s="884" t="s">
        <v>1095</v>
      </c>
      <c r="E54" s="867"/>
      <c r="F54" s="1912">
        <f>'Expenditures 15-22'!G114</f>
        <v>1196012</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1882</v>
      </c>
      <c r="C57" s="888">
        <f>'Expenditures 15-22'!B139</f>
        <v>4000</v>
      </c>
      <c r="D57" s="886" t="str">
        <f>'Expenditures 15-22'!A139</f>
        <v>Total Payments to Other Govt Units</v>
      </c>
      <c r="E57" s="867"/>
      <c r="F57" s="1912">
        <f>'Expenditures 15-22'!K139</f>
        <v>0</v>
      </c>
      <c r="G57" s="864"/>
    </row>
    <row r="58" spans="1:7" x14ac:dyDescent="0.2">
      <c r="A58" s="868" t="s">
        <v>460</v>
      </c>
      <c r="B58" s="868" t="s">
        <v>1883</v>
      </c>
      <c r="C58" s="885" t="s">
        <v>982</v>
      </c>
      <c r="D58" s="884" t="s">
        <v>1095</v>
      </c>
      <c r="E58" s="867"/>
      <c r="F58" s="1914">
        <f>'Expenditures 15-22'!G151</f>
        <v>2317669</v>
      </c>
      <c r="G58" s="864"/>
    </row>
    <row r="59" spans="1:7" x14ac:dyDescent="0.2">
      <c r="A59" s="892" t="s">
        <v>460</v>
      </c>
      <c r="B59" s="855" t="s">
        <v>1884</v>
      </c>
      <c r="C59" s="893" t="s">
        <v>982</v>
      </c>
      <c r="D59" s="855" t="s">
        <v>291</v>
      </c>
      <c r="F59" s="1915">
        <f>'Expenditures 15-22'!I151</f>
        <v>0</v>
      </c>
      <c r="G59" s="864"/>
    </row>
    <row r="60" spans="1:7" x14ac:dyDescent="0.2">
      <c r="A60" s="892" t="s">
        <v>499</v>
      </c>
      <c r="B60" s="855" t="s">
        <v>1885</v>
      </c>
      <c r="C60" s="893">
        <v>4000</v>
      </c>
      <c r="D60" s="855" t="s">
        <v>312</v>
      </c>
      <c r="F60" s="1913">
        <f>'Expenditures 15-22'!K160</f>
        <v>0</v>
      </c>
      <c r="G60" s="864"/>
    </row>
    <row r="61" spans="1:7" x14ac:dyDescent="0.2">
      <c r="A61" s="894" t="s">
        <v>499</v>
      </c>
      <c r="B61" s="894" t="s">
        <v>1886</v>
      </c>
      <c r="C61" s="895" t="str">
        <f>'Expenditures 15-22'!B170</f>
        <v>5300</v>
      </c>
      <c r="D61" s="896" t="s">
        <v>311</v>
      </c>
      <c r="E61" s="878"/>
      <c r="F61" s="1912">
        <f>'Expenditures 15-22'!K170</f>
        <v>440000</v>
      </c>
      <c r="G61" s="864"/>
    </row>
    <row r="62" spans="1:7" x14ac:dyDescent="0.2">
      <c r="A62" s="868" t="s">
        <v>461</v>
      </c>
      <c r="B62" s="868" t="s">
        <v>1887</v>
      </c>
      <c r="C62" s="885">
        <f>'Expenditures 15-22'!B185</f>
        <v>3000</v>
      </c>
      <c r="D62" s="875" t="s">
        <v>449</v>
      </c>
      <c r="E62" s="867"/>
      <c r="F62" s="1912">
        <f>'Expenditures 15-22'!K185-SUM('Expenditures 15-22'!G185,'Expenditures 15-22'!I185)</f>
        <v>0</v>
      </c>
      <c r="G62" s="864"/>
    </row>
    <row r="63" spans="1:7" x14ac:dyDescent="0.2">
      <c r="A63" s="868" t="s">
        <v>461</v>
      </c>
      <c r="B63" s="868" t="s">
        <v>1888</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1889</v>
      </c>
      <c r="C64" s="895" t="str">
        <f>'Expenditures 15-22'!B206</f>
        <v>5300</v>
      </c>
      <c r="D64" s="891" t="s">
        <v>311</v>
      </c>
      <c r="E64" s="867"/>
      <c r="F64" s="1912">
        <f>'Expenditures 15-22'!K206</f>
        <v>0</v>
      </c>
      <c r="G64" s="864"/>
    </row>
    <row r="65" spans="1:8" x14ac:dyDescent="0.2">
      <c r="A65" s="868" t="s">
        <v>461</v>
      </c>
      <c r="B65" s="868" t="s">
        <v>1890</v>
      </c>
      <c r="C65" s="885" t="s">
        <v>982</v>
      </c>
      <c r="D65" s="884" t="s">
        <v>1095</v>
      </c>
      <c r="E65" s="867"/>
      <c r="F65" s="1912">
        <f>'Expenditures 15-22'!G210</f>
        <v>0</v>
      </c>
      <c r="G65" s="864"/>
    </row>
    <row r="66" spans="1:8" x14ac:dyDescent="0.2">
      <c r="A66" s="868" t="s">
        <v>461</v>
      </c>
      <c r="B66" s="868" t="s">
        <v>1891</v>
      </c>
      <c r="C66" s="885" t="s">
        <v>982</v>
      </c>
      <c r="D66" s="884" t="s">
        <v>291</v>
      </c>
      <c r="E66" s="867"/>
      <c r="F66" s="1912">
        <f>'Expenditures 15-22'!I210</f>
        <v>0</v>
      </c>
      <c r="G66" s="864"/>
    </row>
    <row r="67" spans="1:8" x14ac:dyDescent="0.2">
      <c r="A67" s="868" t="s">
        <v>462</v>
      </c>
      <c r="B67" s="868" t="s">
        <v>1892</v>
      </c>
      <c r="C67" s="885" t="str">
        <f>'Expenditures 15-22'!B216</f>
        <v>1125</v>
      </c>
      <c r="D67" s="891" t="str">
        <f>'Expenditures 15-22'!A216</f>
        <v>Pre-K Programs</v>
      </c>
      <c r="E67" s="867"/>
      <c r="F67" s="1912">
        <f>'Expenditures 15-22'!K216</f>
        <v>0</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1893</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1894</v>
      </c>
      <c r="C70" s="885">
        <f>'Expenditures 15-22'!B221</f>
        <v>1300</v>
      </c>
      <c r="D70" s="886" t="str">
        <f>'Expenditures 15-22'!A221</f>
        <v>Adult/Continuing Education Programs</v>
      </c>
      <c r="E70" s="867"/>
      <c r="F70" s="1912">
        <f>'Expenditures 15-22'!K221</f>
        <v>0</v>
      </c>
      <c r="G70" s="864"/>
    </row>
    <row r="71" spans="1:8" x14ac:dyDescent="0.2">
      <c r="A71" s="868" t="s">
        <v>462</v>
      </c>
      <c r="B71" s="868" t="s">
        <v>1895</v>
      </c>
      <c r="C71" s="885">
        <f>'Expenditures 15-22'!B224</f>
        <v>1600</v>
      </c>
      <c r="D71" s="886" t="str">
        <f>'Expenditures 15-22'!A224</f>
        <v>Summer School Programs</v>
      </c>
      <c r="E71" s="867"/>
      <c r="F71" s="1912">
        <f>'Expenditures 15-22'!K224</f>
        <v>5451</v>
      </c>
      <c r="G71" s="864"/>
    </row>
    <row r="72" spans="1:8" x14ac:dyDescent="0.2">
      <c r="A72" s="868" t="s">
        <v>462</v>
      </c>
      <c r="B72" s="868" t="s">
        <v>1896</v>
      </c>
      <c r="C72" s="885">
        <f>'Expenditures 15-22'!B280</f>
        <v>3000</v>
      </c>
      <c r="D72" s="875" t="s">
        <v>449</v>
      </c>
      <c r="E72" s="867"/>
      <c r="F72" s="1912">
        <f>'Expenditures 15-22'!K280</f>
        <v>20612</v>
      </c>
      <c r="G72" s="864"/>
    </row>
    <row r="73" spans="1:8" x14ac:dyDescent="0.2">
      <c r="A73" s="868" t="s">
        <v>462</v>
      </c>
      <c r="B73" s="868" t="s">
        <v>1897</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1898</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1899</v>
      </c>
      <c r="E76" s="1773" t="s">
        <v>958</v>
      </c>
      <c r="F76" s="1777">
        <f>SUM(F18:F74)</f>
        <v>4537752</v>
      </c>
      <c r="G76" s="864"/>
    </row>
    <row r="77" spans="1:8" s="892" customFormat="1" ht="12" customHeight="1" thickTop="1" thickBot="1" x14ac:dyDescent="0.25">
      <c r="A77" s="1778"/>
      <c r="B77" s="1775"/>
      <c r="C77" s="1771"/>
      <c r="D77" s="1776" t="s">
        <v>1900</v>
      </c>
      <c r="E77" s="1773"/>
      <c r="F77" s="1779">
        <f>(F14-F76)</f>
        <v>49644500</v>
      </c>
      <c r="G77" s="868"/>
    </row>
    <row r="78" spans="1:8" s="892" customFormat="1" ht="12" customHeight="1" thickTop="1" x14ac:dyDescent="0.2">
      <c r="A78" s="1780"/>
      <c r="B78" s="1775"/>
      <c r="C78" s="1771"/>
      <c r="D78" s="1776" t="s">
        <v>2062</v>
      </c>
      <c r="E78" s="1773"/>
      <c r="F78" s="897">
        <v>2779.9</v>
      </c>
      <c r="G78" s="898"/>
      <c r="H78" s="868"/>
    </row>
    <row r="79" spans="1:8" s="892" customFormat="1" ht="12" customHeight="1" thickBot="1" x14ac:dyDescent="0.25">
      <c r="A79" s="1781"/>
      <c r="B79" s="1775"/>
      <c r="C79" s="1771"/>
      <c r="D79" s="1776" t="s">
        <v>1901</v>
      </c>
      <c r="E79" s="1773" t="s">
        <v>958</v>
      </c>
      <c r="F79" s="1782">
        <f>IF(F78&gt;0,F77/F78," Complete Line 78")</f>
        <v>17858.376200582756</v>
      </c>
      <c r="G79" s="868"/>
    </row>
    <row r="80" spans="1:8" s="892" customFormat="1" ht="8.25" customHeight="1" thickTop="1" x14ac:dyDescent="0.2">
      <c r="A80" s="899"/>
      <c r="B80" s="868"/>
      <c r="C80" s="870"/>
      <c r="D80" s="900"/>
      <c r="E80" s="867"/>
      <c r="F80" s="901"/>
      <c r="G80" s="868"/>
    </row>
    <row r="81" spans="1:7" s="892" customFormat="1" ht="12" thickBot="1" x14ac:dyDescent="0.25">
      <c r="A81" s="2257" t="s">
        <v>1105</v>
      </c>
      <c r="B81" s="2258"/>
      <c r="C81" s="2258"/>
      <c r="D81" s="2258"/>
      <c r="E81" s="2258"/>
      <c r="F81" s="225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62150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25960</v>
      </c>
      <c r="G94" s="911"/>
    </row>
    <row r="95" spans="1:7" x14ac:dyDescent="0.2">
      <c r="A95" s="907" t="s">
        <v>140</v>
      </c>
      <c r="B95" s="907" t="s">
        <v>175</v>
      </c>
      <c r="C95" s="909">
        <v>1700</v>
      </c>
      <c r="D95" s="917" t="str">
        <f>'Revenues 9-14'!A82</f>
        <v>Total District/School Activity Income</v>
      </c>
      <c r="E95" s="905"/>
      <c r="F95" s="1788">
        <f>SUM('Revenues 9-14'!C82,'Revenues 9-14'!D82)</f>
        <v>135497</v>
      </c>
      <c r="G95" s="911"/>
    </row>
    <row r="96" spans="1:7" x14ac:dyDescent="0.2">
      <c r="A96" s="907" t="s">
        <v>459</v>
      </c>
      <c r="B96" s="907" t="s">
        <v>176</v>
      </c>
      <c r="C96" s="909">
        <f>'Revenues 9-14'!B84</f>
        <v>1811</v>
      </c>
      <c r="D96" s="910" t="str">
        <f>'Revenues 9-14'!A84</f>
        <v>Rentals - Regular Textbooks</v>
      </c>
      <c r="E96" s="905"/>
      <c r="F96" s="1788">
        <f>'Revenues 9-14'!C84</f>
        <v>361527</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19902</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35737</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34215</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2120</v>
      </c>
      <c r="G104" s="911"/>
    </row>
    <row r="105" spans="1:7" x14ac:dyDescent="0.2">
      <c r="A105" s="907" t="s">
        <v>503</v>
      </c>
      <c r="B105" s="907" t="s">
        <v>2003</v>
      </c>
      <c r="C105" s="912">
        <v>3100</v>
      </c>
      <c r="D105" s="918" t="str">
        <f>'Revenues 9-14'!A132</f>
        <v>Total Special Education</v>
      </c>
      <c r="E105" s="905"/>
      <c r="F105" s="1788">
        <f>SUM('Revenues 9-14'!C132:D132,'Revenues 9-14'!F132)</f>
        <v>35684</v>
      </c>
      <c r="G105" s="911"/>
    </row>
    <row r="106" spans="1:7" x14ac:dyDescent="0.2">
      <c r="A106" s="907" t="s">
        <v>673</v>
      </c>
      <c r="B106" s="907" t="s">
        <v>2004</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2005</v>
      </c>
      <c r="C107" s="919">
        <v>3300</v>
      </c>
      <c r="D107" s="910" t="str">
        <f>'Revenues 9-14'!A145</f>
        <v>Total Bilingual Ed</v>
      </c>
      <c r="E107" s="905"/>
      <c r="F107" s="1788">
        <f>SUM('Revenues 9-14'!C145,'Revenues 9-14'!G145)</f>
        <v>0</v>
      </c>
      <c r="G107" s="911"/>
    </row>
    <row r="108" spans="1:7" x14ac:dyDescent="0.2">
      <c r="A108" s="907" t="s">
        <v>459</v>
      </c>
      <c r="B108" s="907" t="s">
        <v>2006</v>
      </c>
      <c r="C108" s="919">
        <f>'Revenues 9-14'!B146</f>
        <v>3360</v>
      </c>
      <c r="D108" s="910" t="str">
        <f>'Revenues 9-14'!A146</f>
        <v>State Free Lunch &amp; Breakfast</v>
      </c>
      <c r="E108" s="905"/>
      <c r="F108" s="1788">
        <f>'Revenues 9-14'!C146</f>
        <v>0</v>
      </c>
      <c r="G108" s="911"/>
    </row>
    <row r="109" spans="1:7" x14ac:dyDescent="0.2">
      <c r="A109" s="907" t="s">
        <v>673</v>
      </c>
      <c r="B109" s="907" t="s">
        <v>2007</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2008</v>
      </c>
      <c r="C110" s="919">
        <f>'Revenues 9-14'!B148</f>
        <v>3370</v>
      </c>
      <c r="D110" s="910" t="str">
        <f>'Revenues 9-14'!A148</f>
        <v>Driver Education</v>
      </c>
      <c r="E110" s="905"/>
      <c r="F110" s="1788">
        <f>SUM('Revenues 9-14'!C148,'Revenues 9-14'!D148)</f>
        <v>0</v>
      </c>
      <c r="G110" s="911"/>
    </row>
    <row r="111" spans="1:7" x14ac:dyDescent="0.2">
      <c r="A111" s="907" t="s">
        <v>668</v>
      </c>
      <c r="B111" s="907" t="s">
        <v>2009</v>
      </c>
      <c r="C111" s="921">
        <v>3500</v>
      </c>
      <c r="D111" s="910" t="str">
        <f>'Revenues 9-14'!A155</f>
        <v>Total Transportation</v>
      </c>
      <c r="E111" s="905"/>
      <c r="F111" s="1788">
        <f>SUM('Revenues 9-14'!C155,'Revenues 9-14'!D155,'Revenues 9-14'!F155,'Revenues 9-14'!G155)</f>
        <v>261618</v>
      </c>
      <c r="G111" s="911"/>
    </row>
    <row r="112" spans="1:7" x14ac:dyDescent="0.2">
      <c r="A112" s="907" t="s">
        <v>459</v>
      </c>
      <c r="B112" s="907" t="s">
        <v>2010</v>
      </c>
      <c r="C112" s="919">
        <f>'Revenues 9-14'!B156</f>
        <v>3610</v>
      </c>
      <c r="D112" s="910" t="str">
        <f>'Revenues 9-14'!A156</f>
        <v>Learning Improvement - Change Grants</v>
      </c>
      <c r="E112" s="905"/>
      <c r="F112" s="1788">
        <f>'Revenues 9-14'!C156</f>
        <v>0</v>
      </c>
      <c r="G112" s="911"/>
    </row>
    <row r="113" spans="1:7" x14ac:dyDescent="0.2">
      <c r="A113" s="907" t="s">
        <v>668</v>
      </c>
      <c r="B113" s="907" t="s">
        <v>2011</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2012</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2013</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2014</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2015</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2016</v>
      </c>
      <c r="C118" s="923">
        <f>'Revenues 9-14'!B163</f>
        <v>3780</v>
      </c>
      <c r="D118" s="924" t="str">
        <f>'Revenues 9-14'!A163</f>
        <v>Technology - Technology for Success</v>
      </c>
      <c r="E118" s="905"/>
      <c r="F118" s="1906">
        <f>SUM('Revenues 9-14'!C163:G163)</f>
        <v>0</v>
      </c>
      <c r="G118" s="911"/>
    </row>
    <row r="119" spans="1:7" x14ac:dyDescent="0.2">
      <c r="A119" s="922" t="s">
        <v>504</v>
      </c>
      <c r="B119" s="922" t="s">
        <v>2017</v>
      </c>
      <c r="C119" s="923">
        <f>'Revenues 9-14'!B164</f>
        <v>3815</v>
      </c>
      <c r="D119" s="924" t="str">
        <f>'Revenues 9-14'!A164</f>
        <v>State Charter Schools</v>
      </c>
      <c r="E119" s="905"/>
      <c r="F119" s="1906">
        <f>SUM('Revenues 9-14'!C164,'Revenues 9-14'!F164)</f>
        <v>0</v>
      </c>
      <c r="G119" s="911"/>
    </row>
    <row r="120" spans="1:7" x14ac:dyDescent="0.2">
      <c r="A120" s="926" t="s">
        <v>460</v>
      </c>
      <c r="B120" s="926" t="s">
        <v>2018</v>
      </c>
      <c r="C120" s="927">
        <f>'Revenues 9-14'!B167</f>
        <v>3925</v>
      </c>
      <c r="D120" s="928" t="str">
        <f>'Revenues 9-14'!A167</f>
        <v>School Infrastructure - Maintenance Projects</v>
      </c>
      <c r="E120" s="905"/>
      <c r="F120" s="1788">
        <f>'Revenues 9-14'!D167</f>
        <v>0</v>
      </c>
      <c r="G120" s="929"/>
    </row>
    <row r="121" spans="1:7" x14ac:dyDescent="0.2">
      <c r="A121" s="926" t="s">
        <v>500</v>
      </c>
      <c r="B121" s="926" t="s">
        <v>2019</v>
      </c>
      <c r="C121" s="927">
        <f>'Revenues 9-14'!B168</f>
        <v>3999</v>
      </c>
      <c r="D121" s="928" t="s">
        <v>543</v>
      </c>
      <c r="E121" s="930"/>
      <c r="F121" s="1788">
        <f>SUM('Revenues 9-14'!C168:G168,'Revenues 9-14'!J168)</f>
        <v>2149</v>
      </c>
      <c r="G121" s="929"/>
    </row>
    <row r="122" spans="1:7" x14ac:dyDescent="0.2">
      <c r="A122" s="926" t="s">
        <v>459</v>
      </c>
      <c r="B122" s="926" t="s">
        <v>2020</v>
      </c>
      <c r="C122" s="931">
        <f>'Revenues 9-14'!B177</f>
        <v>4045</v>
      </c>
      <c r="D122" s="928" t="str">
        <f>'Revenues 9-14'!A177 &amp; " (Subtract)"</f>
        <v>Head Start (Subtract)</v>
      </c>
      <c r="E122" s="905"/>
      <c r="F122" s="1788">
        <f>SUM(-'Revenues 9-14'!C177)</f>
        <v>0</v>
      </c>
      <c r="G122" s="929"/>
    </row>
    <row r="123" spans="1:7" x14ac:dyDescent="0.2">
      <c r="A123" s="926" t="s">
        <v>668</v>
      </c>
      <c r="B123" s="926" t="s">
        <v>2021</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2022</v>
      </c>
      <c r="C124" s="931">
        <v>4100</v>
      </c>
      <c r="D124" s="932" t="str">
        <f>'Revenues 9-14'!A188</f>
        <v>Total Title V</v>
      </c>
      <c r="E124" s="905"/>
      <c r="F124" s="1788">
        <f>SUM('Revenues 9-14'!C188,'Revenues 9-14'!D188,'Revenues 9-14'!F188,'Revenues 9-14'!G188)</f>
        <v>0</v>
      </c>
      <c r="G124" s="929"/>
    </row>
    <row r="125" spans="1:7" x14ac:dyDescent="0.2">
      <c r="A125" s="926" t="s">
        <v>664</v>
      </c>
      <c r="B125" s="926" t="s">
        <v>2023</v>
      </c>
      <c r="C125" s="931">
        <v>4200</v>
      </c>
      <c r="D125" s="928" t="str">
        <f>'Revenues 9-14'!A198</f>
        <v>Total Food Service</v>
      </c>
      <c r="E125" s="905"/>
      <c r="F125" s="1788">
        <f>SUM('Revenues 9-14'!C198,'Revenues 9-14'!G198)</f>
        <v>19490</v>
      </c>
      <c r="G125" s="929"/>
    </row>
    <row r="126" spans="1:7" x14ac:dyDescent="0.2">
      <c r="A126" s="926" t="s">
        <v>668</v>
      </c>
      <c r="B126" s="926" t="s">
        <v>2024</v>
      </c>
      <c r="C126" s="931">
        <v>4300</v>
      </c>
      <c r="D126" s="932" t="str">
        <f>'Revenues 9-14'!A204</f>
        <v>Total Title I</v>
      </c>
      <c r="E126" s="905"/>
      <c r="F126" s="1788">
        <f>SUM('Revenues 9-14'!C204,'Revenues 9-14'!D204,'Revenues 9-14'!F204,'Revenues 9-14'!G204)</f>
        <v>96652</v>
      </c>
      <c r="G126" s="929"/>
    </row>
    <row r="127" spans="1:7" x14ac:dyDescent="0.2">
      <c r="A127" s="926" t="s">
        <v>668</v>
      </c>
      <c r="B127" s="926" t="s">
        <v>2025</v>
      </c>
      <c r="C127" s="931">
        <v>4400</v>
      </c>
      <c r="D127" s="932" t="str">
        <f>'Revenues 9-14'!A209</f>
        <v>Total Title IV</v>
      </c>
      <c r="E127" s="905"/>
      <c r="F127" s="1788">
        <f>SUM('Revenues 9-14'!C209,'Revenues 9-14'!D209,'Revenues 9-14'!F209,'Revenues 9-14'!G209)</f>
        <v>0</v>
      </c>
      <c r="G127" s="929"/>
    </row>
    <row r="128" spans="1:7" x14ac:dyDescent="0.2">
      <c r="A128" s="926" t="s">
        <v>668</v>
      </c>
      <c r="B128" s="926" t="s">
        <v>2026</v>
      </c>
      <c r="C128" s="931">
        <f>'Revenues 9-14'!B213</f>
        <v>4620</v>
      </c>
      <c r="D128" s="932" t="str">
        <f>'Revenues 9-14'!A213</f>
        <v>Fed - Spec Education - IDEA - Flow Through</v>
      </c>
      <c r="E128" s="905"/>
      <c r="F128" s="1788">
        <f>SUM('Revenues 9-14'!C213:D213,'Revenues 9-14'!F213:G213)</f>
        <v>528379</v>
      </c>
      <c r="G128" s="929"/>
    </row>
    <row r="129" spans="1:7" x14ac:dyDescent="0.2">
      <c r="A129" s="926" t="s">
        <v>668</v>
      </c>
      <c r="B129" s="926" t="s">
        <v>2027</v>
      </c>
      <c r="C129" s="931">
        <f>'Revenues 9-14'!B214</f>
        <v>4625</v>
      </c>
      <c r="D129" s="932" t="str">
        <f>'Revenues 9-14'!A214</f>
        <v>Fed - Spec Education - IDEA - Room &amp; Board</v>
      </c>
      <c r="E129" s="905"/>
      <c r="F129" s="1788">
        <f>SUM('Revenues 9-14'!C214,'Revenues 9-14'!D214,'Revenues 9-14'!F214,'Revenues 9-14'!G214)</f>
        <v>20866</v>
      </c>
      <c r="G129" s="929"/>
    </row>
    <row r="130" spans="1:7" x14ac:dyDescent="0.2">
      <c r="A130" s="926" t="s">
        <v>668</v>
      </c>
      <c r="B130" s="926" t="s">
        <v>2028</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2029</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2030</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2031</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2032</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2033</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2034</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2035</v>
      </c>
      <c r="C138" s="934" t="s">
        <v>212</v>
      </c>
      <c r="D138" s="935" t="str">
        <f>'Revenues 9-14'!A229</f>
        <v>ARRA - IDEA - Part B - Preschool</v>
      </c>
      <c r="E138" s="936"/>
      <c r="F138" s="1788">
        <v>0</v>
      </c>
      <c r="G138" s="904"/>
    </row>
    <row r="139" spans="1:7" s="866" customFormat="1" hidden="1" x14ac:dyDescent="0.2">
      <c r="A139" s="933" t="s">
        <v>206</v>
      </c>
      <c r="B139" s="933" t="s">
        <v>2036</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2037</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2038</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2039</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2040</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2041</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2042</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2043</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2044</v>
      </c>
      <c r="C157" s="939" t="s">
        <v>841</v>
      </c>
      <c r="D157" s="940" t="s">
        <v>777</v>
      </c>
      <c r="E157" s="941"/>
      <c r="F157" s="1788">
        <f>SUM(F133:F156)</f>
        <v>0</v>
      </c>
      <c r="G157" s="904"/>
    </row>
    <row r="158" spans="1:7" s="866" customFormat="1" x14ac:dyDescent="0.2">
      <c r="A158" s="937" t="s">
        <v>459</v>
      </c>
      <c r="B158" s="938" t="s">
        <v>2045</v>
      </c>
      <c r="C158" s="939" t="s">
        <v>1427</v>
      </c>
      <c r="D158" s="940" t="s">
        <v>1428</v>
      </c>
      <c r="E158" s="941"/>
      <c r="F158" s="1788">
        <f>SUM('Revenues 9-14'!C253)</f>
        <v>0</v>
      </c>
      <c r="G158" s="904"/>
    </row>
    <row r="159" spans="1:7" s="866" customFormat="1" x14ac:dyDescent="0.2">
      <c r="A159" s="937" t="s">
        <v>500</v>
      </c>
      <c r="B159" s="938" t="s">
        <v>2046</v>
      </c>
      <c r="C159" s="939" t="s">
        <v>1466</v>
      </c>
      <c r="D159" s="940" t="s">
        <v>1467</v>
      </c>
      <c r="E159" s="941"/>
      <c r="F159" s="1788">
        <f>SUM('Revenues 9-14'!C254:H254,'Revenues 9-14'!J254:K254)</f>
        <v>0</v>
      </c>
      <c r="G159" s="904"/>
    </row>
    <row r="160" spans="1:7" x14ac:dyDescent="0.2">
      <c r="A160" s="926" t="s">
        <v>5</v>
      </c>
      <c r="B160" s="926" t="s">
        <v>2047</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2048</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2049</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2050</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2051</v>
      </c>
      <c r="C164" s="931">
        <f>'Revenues 9-14'!B259</f>
        <v>4932</v>
      </c>
      <c r="D164" s="932" t="str">
        <f>'Revenues 9-14'!A259</f>
        <v>Title II - Teacher Quality</v>
      </c>
      <c r="E164" s="905"/>
      <c r="F164" s="1906">
        <f>SUM('Revenues 9-14'!C259,'Revenues 9-14'!D259,'Revenues 9-14'!F259,'Revenues 9-14'!G259)</f>
        <v>54460</v>
      </c>
      <c r="G164" s="929"/>
    </row>
    <row r="165" spans="1:7" x14ac:dyDescent="0.2">
      <c r="A165" s="926" t="s">
        <v>668</v>
      </c>
      <c r="B165" s="926" t="s">
        <v>2052</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1997</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1998</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2053</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2054</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2055</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1920</v>
      </c>
      <c r="C171" s="1919">
        <v>3100</v>
      </c>
      <c r="D171" s="1920" t="s">
        <v>1922</v>
      </c>
      <c r="E171" s="905"/>
      <c r="F171" s="1905">
        <v>1141635</v>
      </c>
      <c r="G171" s="926"/>
    </row>
    <row r="172" spans="1:7" x14ac:dyDescent="0.2">
      <c r="A172" s="1917" t="s">
        <v>664</v>
      </c>
      <c r="B172" s="1918" t="s">
        <v>1920</v>
      </c>
      <c r="C172" s="1919">
        <v>3300</v>
      </c>
      <c r="D172" s="1920" t="s">
        <v>1923</v>
      </c>
      <c r="E172" s="905"/>
      <c r="F172" s="1905">
        <v>54</v>
      </c>
      <c r="G172" s="926"/>
    </row>
    <row r="173" spans="1:7" ht="6" customHeight="1" x14ac:dyDescent="0.2">
      <c r="A173" s="926"/>
      <c r="B173" s="926"/>
      <c r="C173" s="948"/>
      <c r="D173" s="926"/>
      <c r="E173" s="905"/>
      <c r="F173" s="949"/>
      <c r="G173" s="946"/>
    </row>
    <row r="174" spans="1:7" x14ac:dyDescent="0.2">
      <c r="A174" s="1769"/>
      <c r="B174" s="1783"/>
      <c r="C174" s="1784"/>
      <c r="D174" s="1785" t="s">
        <v>2056</v>
      </c>
      <c r="E174" s="1786" t="s">
        <v>958</v>
      </c>
      <c r="F174" s="1787">
        <f>SUM(F84:F132,F157:F172)</f>
        <v>2838095</v>
      </c>
    </row>
    <row r="175" spans="1:7" ht="12" customHeight="1" x14ac:dyDescent="0.2">
      <c r="A175" s="1769"/>
      <c r="B175" s="1783"/>
      <c r="C175" s="1784"/>
      <c r="D175" s="1785" t="s">
        <v>2057</v>
      </c>
      <c r="E175" s="1786"/>
      <c r="F175" s="1788">
        <f>'PCTC-OEPP 27-28'!F77-F174</f>
        <v>46806405</v>
      </c>
    </row>
    <row r="176" spans="1:7" ht="12" customHeight="1" x14ac:dyDescent="0.2">
      <c r="A176" s="1769"/>
      <c r="B176" s="1783"/>
      <c r="C176" s="1784"/>
      <c r="D176" s="1785" t="s">
        <v>1817</v>
      </c>
      <c r="E176" s="1786"/>
      <c r="F176" s="1788">
        <f>'Cap Outlay Deprec 26'!I18</f>
        <v>4008071</v>
      </c>
    </row>
    <row r="177" spans="1:7" ht="12" customHeight="1" x14ac:dyDescent="0.2">
      <c r="A177" s="1769"/>
      <c r="B177" s="1783"/>
      <c r="C177" s="1784"/>
      <c r="D177" s="1785" t="s">
        <v>2058</v>
      </c>
      <c r="E177" s="1786"/>
      <c r="F177" s="1788">
        <f>F175+F176</f>
        <v>50814476</v>
      </c>
    </row>
    <row r="178" spans="1:7" ht="12" customHeight="1" x14ac:dyDescent="0.2">
      <c r="A178" s="1769"/>
      <c r="B178" s="1789"/>
      <c r="C178" s="1784"/>
      <c r="D178" s="1785" t="str">
        <f>D78</f>
        <v>9 Month ADA from District Average Daily Attendance/Prior General State Aid Inquiry 2018-2019</v>
      </c>
      <c r="E178" s="1786"/>
      <c r="F178" s="1790">
        <f>'PCTC-OEPP 27-28'!F78</f>
        <v>2779.9</v>
      </c>
      <c r="G178" s="929"/>
    </row>
    <row r="179" spans="1:7" ht="12" customHeight="1" thickBot="1" x14ac:dyDescent="0.25">
      <c r="A179" s="1769"/>
      <c r="B179" s="1789"/>
      <c r="C179" s="1784"/>
      <c r="D179" s="1785" t="s">
        <v>2059</v>
      </c>
      <c r="E179" s="1786" t="s">
        <v>1545</v>
      </c>
      <c r="F179" s="1791">
        <f>F177/F178</f>
        <v>18279.24601604374</v>
      </c>
      <c r="G179" s="855">
        <v>6323</v>
      </c>
    </row>
    <row r="180" spans="1:7" ht="12" thickTop="1" x14ac:dyDescent="0.2">
      <c r="B180" s="929"/>
      <c r="C180" s="948"/>
      <c r="D180" s="929"/>
      <c r="E180" s="948"/>
      <c r="F180" s="929"/>
      <c r="G180" s="950">
        <v>6326</v>
      </c>
    </row>
    <row r="181" spans="1:7" ht="12.2" customHeight="1" x14ac:dyDescent="0.2">
      <c r="A181" s="929" t="s">
        <v>1921</v>
      </c>
      <c r="B181" s="929"/>
      <c r="C181" s="948"/>
      <c r="D181" s="929"/>
      <c r="E181" s="948"/>
      <c r="F181" s="929"/>
      <c r="G181" s="929"/>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8"/>
      <c r="D184" s="929"/>
      <c r="E184" s="948"/>
      <c r="F184" s="929"/>
      <c r="G184" s="929"/>
    </row>
    <row r="185" spans="1:7" x14ac:dyDescent="0.2">
      <c r="A185" s="1925" t="s">
        <v>1925</v>
      </c>
      <c r="B185" s="1926" t="s">
        <v>1924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4" sqref="D24"/>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3" t="s">
        <v>1819</v>
      </c>
      <c r="B6" s="1534"/>
      <c r="C6" s="1534"/>
      <c r="D6" s="1534"/>
      <c r="E6" s="1534"/>
      <c r="F6" s="1534"/>
      <c r="G6" s="1535"/>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6" t="s">
        <v>1820</v>
      </c>
      <c r="B10" s="1537"/>
      <c r="C10" s="1537"/>
      <c r="D10" s="1537"/>
      <c r="E10" s="1537"/>
      <c r="F10" s="1537"/>
      <c r="G10" s="1538"/>
    </row>
    <row r="11" spans="1:7" ht="17.25" customHeight="1" x14ac:dyDescent="0.25">
      <c r="A11" s="2277" t="s">
        <v>1934</v>
      </c>
      <c r="B11" s="2278"/>
      <c r="C11" s="2278"/>
      <c r="D11" s="2278"/>
      <c r="E11" s="2278"/>
      <c r="F11" s="2278"/>
      <c r="G11" s="2279"/>
    </row>
    <row r="12" spans="1:7" ht="15" customHeight="1" x14ac:dyDescent="0.25">
      <c r="A12" s="1536" t="s">
        <v>1825</v>
      </c>
      <c r="B12" s="1537"/>
      <c r="C12" s="1537"/>
      <c r="D12" s="1537"/>
      <c r="E12" s="1537"/>
      <c r="F12" s="1537"/>
      <c r="G12" s="1538"/>
    </row>
    <row r="13" spans="1:7" ht="32.25" customHeight="1" x14ac:dyDescent="0.25">
      <c r="A13" s="2268" t="s">
        <v>1976</v>
      </c>
      <c r="B13" s="2269"/>
      <c r="C13" s="2269"/>
      <c r="D13" s="2269"/>
      <c r="E13" s="2269"/>
      <c r="F13" s="2269"/>
      <c r="G13" s="2270"/>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9" t="s">
        <v>2136</v>
      </c>
      <c r="B17" s="1940" t="s">
        <v>2137</v>
      </c>
      <c r="C17" s="1941" t="s">
        <v>2138</v>
      </c>
      <c r="D17" s="1843">
        <v>953712</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928712</v>
      </c>
      <c r="H17" s="1646"/>
    </row>
    <row r="18" spans="1:8" x14ac:dyDescent="0.25">
      <c r="A18" s="1939" t="s">
        <v>2139</v>
      </c>
      <c r="B18" s="1940" t="s">
        <v>2140</v>
      </c>
      <c r="C18" s="1941" t="s">
        <v>2141</v>
      </c>
      <c r="D18" s="1843">
        <v>106500</v>
      </c>
      <c r="E18" s="1539">
        <f t="shared" ref="E18:E140" si="2">IF(D18&lt;=25000,D18,IF(D18&gt;25000,25000,0))</f>
        <v>25000</v>
      </c>
      <c r="F18" s="1931">
        <f t="shared" si="1"/>
        <v>25000</v>
      </c>
      <c r="G18" s="1792">
        <f t="shared" ref="G18:G140" si="3">IF(F18=0,0,D18-F18)</f>
        <v>81500</v>
      </c>
    </row>
    <row r="19" spans="1:8" x14ac:dyDescent="0.25">
      <c r="A19" s="1939" t="s">
        <v>2142</v>
      </c>
      <c r="B19" s="1940" t="s">
        <v>2143</v>
      </c>
      <c r="C19" s="1941" t="s">
        <v>2144</v>
      </c>
      <c r="D19" s="1843">
        <v>122981</v>
      </c>
      <c r="E19" s="1539">
        <f t="shared" si="2"/>
        <v>25000</v>
      </c>
      <c r="F19" s="1931">
        <f t="shared" si="1"/>
        <v>25000</v>
      </c>
      <c r="G19" s="1792">
        <f t="shared" si="3"/>
        <v>97981</v>
      </c>
    </row>
    <row r="20" spans="1:8" x14ac:dyDescent="0.25">
      <c r="A20" s="1939" t="s">
        <v>2139</v>
      </c>
      <c r="B20" s="1940" t="s">
        <v>2140</v>
      </c>
      <c r="C20" s="1941" t="s">
        <v>2145</v>
      </c>
      <c r="D20" s="1843">
        <v>51735</v>
      </c>
      <c r="E20" s="1539">
        <f t="shared" si="2"/>
        <v>25000</v>
      </c>
      <c r="F20" s="1931">
        <f t="shared" si="1"/>
        <v>25000</v>
      </c>
      <c r="G20" s="1792">
        <f t="shared" si="3"/>
        <v>26735</v>
      </c>
    </row>
    <row r="21" spans="1:8" x14ac:dyDescent="0.25">
      <c r="A21" s="1939" t="s">
        <v>2146</v>
      </c>
      <c r="B21" s="1940" t="s">
        <v>2147</v>
      </c>
      <c r="C21" s="1941" t="s">
        <v>2148</v>
      </c>
      <c r="D21" s="1843">
        <v>917767</v>
      </c>
      <c r="E21" s="1539">
        <f t="shared" si="2"/>
        <v>25000</v>
      </c>
      <c r="F21" s="1931">
        <f t="shared" si="1"/>
        <v>25000</v>
      </c>
      <c r="G21" s="1792">
        <f t="shared" si="3"/>
        <v>892767</v>
      </c>
    </row>
    <row r="22" spans="1:8" x14ac:dyDescent="0.25">
      <c r="A22" s="1939" t="s">
        <v>2146</v>
      </c>
      <c r="B22" s="1940" t="s">
        <v>2147</v>
      </c>
      <c r="C22" s="1941" t="s">
        <v>2149</v>
      </c>
      <c r="D22" s="1843">
        <v>528561</v>
      </c>
      <c r="E22" s="1539">
        <f t="shared" si="2"/>
        <v>25000</v>
      </c>
      <c r="F22" s="1931">
        <f t="shared" si="1"/>
        <v>25000</v>
      </c>
      <c r="G22" s="1792">
        <f t="shared" si="3"/>
        <v>503561</v>
      </c>
    </row>
    <row r="23" spans="1:8" x14ac:dyDescent="0.25">
      <c r="A23" s="1939" t="s">
        <v>2150</v>
      </c>
      <c r="B23" s="1940" t="s">
        <v>2151</v>
      </c>
      <c r="C23" s="1941" t="s">
        <v>2152</v>
      </c>
      <c r="D23" s="1843">
        <v>1312276</v>
      </c>
      <c r="E23" s="1539">
        <f t="shared" si="2"/>
        <v>25000</v>
      </c>
      <c r="F23" s="1931">
        <f t="shared" si="1"/>
        <v>25000</v>
      </c>
      <c r="G23" s="1792">
        <f t="shared" si="3"/>
        <v>1287276</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3993532</v>
      </c>
      <c r="E141" s="1540">
        <f t="shared" si="0"/>
        <v>25000</v>
      </c>
      <c r="F141" s="1932">
        <f>SUM(F17:F140)</f>
        <v>175000</v>
      </c>
      <c r="G141" s="1794">
        <f>SUM(G17:G140)</f>
        <v>3818532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908</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1933</v>
      </c>
      <c r="B10" s="970"/>
      <c r="C10" s="975"/>
      <c r="D10" s="971"/>
      <c r="E10" s="972">
        <v>30483</v>
      </c>
      <c r="F10" s="973"/>
      <c r="G10" s="974"/>
      <c r="H10" s="162"/>
      <c r="I10" s="162"/>
    </row>
    <row r="11" spans="1:9" s="668" customFormat="1" ht="22.5" customHeight="1" x14ac:dyDescent="0.2">
      <c r="A11" s="2288" t="s">
        <v>1977</v>
      </c>
      <c r="B11" s="2289"/>
      <c r="C11" s="2289"/>
      <c r="D11" s="2290"/>
      <c r="E11" s="976"/>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371</v>
      </c>
      <c r="B15" s="966"/>
      <c r="C15" s="966"/>
      <c r="D15" s="966"/>
      <c r="E15" s="966"/>
      <c r="F15" s="966"/>
      <c r="G15" s="980"/>
      <c r="H15" s="162"/>
      <c r="I15" s="162"/>
    </row>
    <row r="16" spans="1:9" s="668" customFormat="1" x14ac:dyDescent="0.2">
      <c r="A16" s="981" t="s">
        <v>1376</v>
      </c>
      <c r="B16" s="982"/>
      <c r="C16" s="983"/>
      <c r="D16" s="962"/>
      <c r="E16" s="957"/>
      <c r="F16" s="957"/>
      <c r="G16" s="958"/>
      <c r="H16" s="162"/>
      <c r="I16" s="162"/>
    </row>
    <row r="17" spans="1:9" s="668" customFormat="1" ht="12" customHeight="1" x14ac:dyDescent="0.2">
      <c r="A17" s="984"/>
      <c r="B17" s="985"/>
      <c r="C17" s="329"/>
      <c r="D17" s="1637" t="s">
        <v>532</v>
      </c>
      <c r="E17" s="1638"/>
      <c r="F17" s="1637" t="s">
        <v>433</v>
      </c>
      <c r="G17" s="1639"/>
      <c r="H17" s="162"/>
      <c r="I17" s="162"/>
    </row>
    <row r="18" spans="1:9" s="259" customFormat="1" ht="11.25" x14ac:dyDescent="0.2">
      <c r="A18" s="987"/>
      <c r="C18" s="988" t="s">
        <v>434</v>
      </c>
      <c r="D18" s="1640" t="s">
        <v>435</v>
      </c>
      <c r="E18" s="1640" t="s">
        <v>53</v>
      </c>
      <c r="F18" s="1640" t="s">
        <v>435</v>
      </c>
      <c r="G18" s="1640" t="s">
        <v>53</v>
      </c>
      <c r="H18" s="178"/>
      <c r="I18" s="178"/>
    </row>
    <row r="19" spans="1:9" s="668" customFormat="1" ht="12" customHeight="1" x14ac:dyDescent="0.2">
      <c r="A19" s="989" t="s">
        <v>456</v>
      </c>
      <c r="B19" s="990"/>
      <c r="C19" s="991" t="s">
        <v>570</v>
      </c>
      <c r="D19" s="1798"/>
      <c r="E19" s="1799">
        <f>'Expenditures 15-22'!K33-SUM('Expenditures 15-22'!G33,'Expenditures 15-22'!I33)+'Expenditures 15-22'!D229</f>
        <v>29878154</v>
      </c>
      <c r="F19" s="1798"/>
      <c r="G19" s="1800">
        <f>'Expenditures 15-22'!K33-SUM('Expenditures 15-22'!G33,'Expenditures 15-22'!I33)+'Expenditures 15-22'!D229</f>
        <v>29878154</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2964084</v>
      </c>
      <c r="F21" s="1801"/>
      <c r="G21" s="1804">
        <f>'Expenditures 15-22'!K42-SUM('Expenditures 15-22'!G42,'Expenditures 15-22'!I42)+'Expenditures 15-22'!K120-SUM('Expenditures 15-22'!G120,'Expenditures 15-22'!I120)+'Expenditures 15-22'!K180-SUM('Expenditures 15-22'!G180,'Expenditures 15-22'!I180)+'Expenditures 15-22'!D238</f>
        <v>2964084</v>
      </c>
      <c r="H21" s="986"/>
      <c r="I21" s="162"/>
    </row>
    <row r="22" spans="1:9" s="668" customFormat="1" ht="12" customHeight="1" x14ac:dyDescent="0.2">
      <c r="A22" s="993" t="s">
        <v>564</v>
      </c>
      <c r="B22" s="994"/>
      <c r="C22" s="992">
        <v>2200</v>
      </c>
      <c r="D22" s="1801"/>
      <c r="E22" s="1803">
        <f>'Expenditures 15-22'!K47-SUM('Expenditures 15-22'!G47,'Expenditures 15-22'!I47)+'Expenditures 15-22'!D243</f>
        <v>3462985</v>
      </c>
      <c r="F22" s="1801"/>
      <c r="G22" s="1804">
        <f>'Expenditures 15-22'!K47-SUM('Expenditures 15-22'!G47,'Expenditures 15-22'!I47)+'Expenditures 15-22'!D243</f>
        <v>3462985</v>
      </c>
      <c r="H22" s="986"/>
      <c r="I22" s="162"/>
    </row>
    <row r="23" spans="1:9" s="668"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1795838</v>
      </c>
      <c r="F23" s="1801"/>
      <c r="G23" s="1803">
        <f>'Expenditures 15-22'!K53-SUM('Expenditures 15-22'!G53,'Expenditures 15-22'!I53)+'Expenditures 15-22'!D257+'Expenditures 15-22'!K330-SUM('Expenditures 15-22'!G330,'Expenditures 15-22'!I330)</f>
        <v>1795838</v>
      </c>
      <c r="H23" s="986"/>
      <c r="I23" s="162"/>
    </row>
    <row r="24" spans="1:9" s="668" customFormat="1" ht="12" customHeight="1" x14ac:dyDescent="0.2">
      <c r="A24" s="993" t="s">
        <v>566</v>
      </c>
      <c r="B24" s="994"/>
      <c r="C24" s="992">
        <v>2400</v>
      </c>
      <c r="D24" s="1801"/>
      <c r="E24" s="1803">
        <f>'Expenditures 15-22'!K57-SUM('Expenditures 15-22'!G57,'Expenditures 15-22'!I57)+'Expenditures 15-22'!D261</f>
        <v>2496754</v>
      </c>
      <c r="F24" s="1801"/>
      <c r="G24" s="1804">
        <f>'Expenditures 15-22'!K57-SUM('Expenditures 15-22'!G57,'Expenditures 15-22'!I57)+'Expenditures 15-22'!D261</f>
        <v>2496754</v>
      </c>
      <c r="H24" s="986"/>
      <c r="I24" s="162"/>
    </row>
    <row r="25" spans="1:9" s="668" customFormat="1" ht="12" customHeight="1" x14ac:dyDescent="0.2">
      <c r="A25" s="989" t="s">
        <v>567</v>
      </c>
      <c r="B25" s="995"/>
      <c r="C25" s="992"/>
      <c r="D25" s="1801"/>
      <c r="E25" s="1803"/>
      <c r="F25" s="1801"/>
      <c r="G25" s="1804"/>
      <c r="H25" s="986"/>
      <c r="I25" s="162"/>
    </row>
    <row r="26" spans="1:9" s="668" customFormat="1" ht="12" customHeight="1" x14ac:dyDescent="0.2">
      <c r="A26" s="993" t="s">
        <v>515</v>
      </c>
      <c r="B26" s="996"/>
      <c r="C26" s="992">
        <v>2510</v>
      </c>
      <c r="D26" s="1803">
        <f>'Expenditures 15-22'!K59-SUM('Expenditures 15-22'!G59,'Expenditures 15-22'!I59)+'Expenditures 15-22'!D263-E7</f>
        <v>744061</v>
      </c>
      <c r="E26" s="1803">
        <f>'Expenditures 15-22'!K122-SUM('Expenditures 15-22'!G122,'Expenditures 15-22'!I122)+E7</f>
        <v>0</v>
      </c>
      <c r="F26" s="1803">
        <f>'Expenditures 15-22'!K59-SUM('Expenditures 15-22'!G59,'Expenditures 15-22'!I59)+'Expenditures 15-22'!D263-E7</f>
        <v>744061</v>
      </c>
      <c r="G26" s="1804">
        <f>'Expenditures 15-22'!K122-SUM('Expenditures 15-22'!G122,'Expenditures 15-22'!I122)+E7</f>
        <v>0</v>
      </c>
      <c r="H26" s="986"/>
      <c r="I26" s="162"/>
    </row>
    <row r="27" spans="1:9" s="668" customFormat="1" ht="12" customHeight="1" x14ac:dyDescent="0.2">
      <c r="A27" s="993" t="s">
        <v>463</v>
      </c>
      <c r="B27" s="996"/>
      <c r="C27" s="992">
        <v>2520</v>
      </c>
      <c r="D27" s="1803">
        <f>'Expenditures 15-22'!K60-SUM('Expenditures 15-22'!G60,'Expenditures 15-22'!I60)+'Expenditures 15-22'!D264-E8</f>
        <v>0</v>
      </c>
      <c r="E27" s="1803">
        <f>E8</f>
        <v>0</v>
      </c>
      <c r="F27" s="1803">
        <f>'Expenditures 15-22'!K60-SUM('Expenditures 15-22'!G60,'Expenditures 15-22'!I60)+'Expenditures 15-22'!D264-E8</f>
        <v>0</v>
      </c>
      <c r="G27" s="1804">
        <f>E8</f>
        <v>0</v>
      </c>
      <c r="H27" s="986"/>
      <c r="I27" s="162"/>
    </row>
    <row r="28" spans="1:9" s="668"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3401446</v>
      </c>
      <c r="F28" s="1805">
        <f>'Expenditures 15-22'!K61-SUM('Expenditures 15-22'!G61,'Expenditures 15-22'!I61)+'Expenditures 15-22'!K124-SUM('Expenditures 15-22'!G124,'Expenditures 15-22'!I124)+'Expenditures 15-22'!D266-E9</f>
        <v>3401446</v>
      </c>
      <c r="G28" s="1804">
        <f>E9</f>
        <v>0</v>
      </c>
      <c r="H28" s="986"/>
      <c r="I28" s="162"/>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1433519</v>
      </c>
      <c r="F29" s="1801"/>
      <c r="G29" s="1804">
        <f>'Expenditures 15-22'!K62-SUM('Expenditures 15-22'!G62,'Expenditures 15-22'!I62)+'Expenditures 15-22'!K125-SUM('Expenditures 15-22'!G125,'Expenditures 15-22'!I125)+'Expenditures 15-22'!K182-SUM('Expenditures 15-22'!G182,'Expenditures 15-22'!I182)+'Expenditures 15-22'!D267</f>
        <v>1433519</v>
      </c>
      <c r="H29" s="984"/>
    </row>
    <row r="30" spans="1:9" ht="12" customHeight="1" x14ac:dyDescent="0.2">
      <c r="A30" s="993" t="s">
        <v>100</v>
      </c>
      <c r="B30" s="996"/>
      <c r="C30" s="992">
        <v>2560</v>
      </c>
      <c r="D30" s="1801"/>
      <c r="E30" s="1803">
        <f>'Expenditures 15-22'!K63-SUM('Expenditures 15-22'!G63,'Expenditures 15-22'!I63)+'Expenditures 15-22'!D268-E10</f>
        <v>360150</v>
      </c>
      <c r="F30" s="1801"/>
      <c r="G30" s="1803">
        <f>'Expenditures 15-22'!K63-SUM('Expenditures 15-22'!G63,'Expenditures 15-22'!I63)+'Expenditures 15-22'!D268-E10</f>
        <v>360150</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2368278</v>
      </c>
      <c r="F35" s="1801"/>
      <c r="G35" s="1803">
        <f>'Expenditures 15-22'!K69-SUM('Expenditures 15-22'!G69,'Expenditures 15-22'!I69)+'Expenditures 15-22'!D274</f>
        <v>2368278</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31139</v>
      </c>
      <c r="E37" s="1803">
        <f>E14</f>
        <v>0</v>
      </c>
      <c r="F37" s="1803">
        <f>'Expenditures 15-22'!K71-SUM('Expenditures 15-22'!G71,'Expenditures 15-22'!I71)+'Expenditures 15-22'!D276-E14</f>
        <v>31139</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211117</v>
      </c>
      <c r="F39" s="1801"/>
      <c r="G39" s="1803">
        <f>'Expenditures 15-22'!K75-SUM('Expenditures 15-22'!G75,'Expenditures 15-22'!I75)+'Expenditures 15-22'!K130-SUM('Expenditures 15-22'!G130,'Expenditures 15-22'!I130)+'Expenditures 15-22'!K185-SUM('Expenditures 15-22'!G185,'Expenditures 15-22'!I185)+'Expenditures 15-22'!D280</f>
        <v>211117</v>
      </c>
    </row>
    <row r="40" spans="1:7" ht="12" customHeight="1" x14ac:dyDescent="0.2">
      <c r="A40" s="989" t="s">
        <v>1823</v>
      </c>
      <c r="B40" s="990"/>
      <c r="C40" s="992"/>
      <c r="D40" s="1801"/>
      <c r="E40" s="1805">
        <f>-'Contracts Paid in CY 29'!G141</f>
        <v>-3818532</v>
      </c>
      <c r="F40" s="1801"/>
      <c r="G40" s="1805">
        <f>-'Contracts Paid in CY 29'!G141</f>
        <v>-3818532</v>
      </c>
    </row>
    <row r="41" spans="1:7" ht="12" customHeight="1" x14ac:dyDescent="0.2">
      <c r="A41" s="997" t="s">
        <v>156</v>
      </c>
      <c r="B41" s="998"/>
      <c r="C41" s="999"/>
      <c r="D41" s="1805">
        <f>SUM(D19:D39)</f>
        <v>775200</v>
      </c>
      <c r="E41" s="1805">
        <f>SUM(E19:E40)</f>
        <v>44553793</v>
      </c>
      <c r="F41" s="1805">
        <f>SUM(F19:F39)</f>
        <v>4176646</v>
      </c>
      <c r="G41" s="1805">
        <f>SUM(G19:G40)</f>
        <v>41152347</v>
      </c>
    </row>
    <row r="42" spans="1:7" x14ac:dyDescent="0.2">
      <c r="A42" s="986"/>
      <c r="B42" s="162"/>
      <c r="C42" s="1000"/>
      <c r="D42" s="2286" t="s">
        <v>522</v>
      </c>
      <c r="E42" s="2287"/>
      <c r="F42" s="1001" t="s">
        <v>523</v>
      </c>
      <c r="G42" s="1002"/>
    </row>
    <row r="43" spans="1:7" ht="12" customHeight="1" x14ac:dyDescent="0.2">
      <c r="A43" s="986"/>
      <c r="B43" s="162"/>
      <c r="C43" s="1000"/>
      <c r="D43" s="1806" t="s">
        <v>473</v>
      </c>
      <c r="E43" s="1807">
        <f>D41</f>
        <v>775200</v>
      </c>
      <c r="F43" s="1806" t="s">
        <v>473</v>
      </c>
      <c r="G43" s="1807">
        <f>F41</f>
        <v>4176646</v>
      </c>
    </row>
    <row r="44" spans="1:7" ht="12" customHeight="1" x14ac:dyDescent="0.2">
      <c r="A44" s="986"/>
      <c r="B44" s="162"/>
      <c r="C44" s="1000"/>
      <c r="D44" s="1806" t="s">
        <v>474</v>
      </c>
      <c r="E44" s="1807">
        <f>E41</f>
        <v>44553793</v>
      </c>
      <c r="F44" s="1806" t="s">
        <v>474</v>
      </c>
      <c r="G44" s="1807">
        <f>G41</f>
        <v>41152347</v>
      </c>
    </row>
    <row r="45" spans="1:7" ht="12" customHeight="1" x14ac:dyDescent="0.2">
      <c r="A45" s="986"/>
      <c r="B45" s="162"/>
      <c r="C45" s="162"/>
      <c r="D45" s="1808" t="s">
        <v>1006</v>
      </c>
      <c r="E45" s="1809">
        <f>(E43/E44)</f>
        <v>1.7399192028386898E-2</v>
      </c>
      <c r="F45" s="1808" t="s">
        <v>1006</v>
      </c>
      <c r="G45" s="1809">
        <f>(G43/G44)</f>
        <v>0.10149229155751432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30" sqref="F30"/>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5" t="s">
        <v>1379</v>
      </c>
      <c r="B1" s="2305"/>
      <c r="C1" s="2305"/>
      <c r="D1" s="2305"/>
      <c r="E1" s="2305"/>
      <c r="F1" s="2305"/>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6" t="s">
        <v>1546</v>
      </c>
      <c r="B5" s="2307"/>
      <c r="C5" s="2308"/>
      <c r="D5" s="2308"/>
      <c r="E5" s="2308"/>
      <c r="F5" s="2308"/>
    </row>
    <row r="6" spans="1:10" ht="12" customHeight="1" x14ac:dyDescent="0.25">
      <c r="A6" s="1849"/>
      <c r="B6" s="1850"/>
      <c r="C6" s="2309" t="str">
        <f>COVER!A17</f>
        <v>Deerfield SD 109</v>
      </c>
      <c r="D6" s="2309"/>
      <c r="E6" s="2309"/>
      <c r="F6" s="1851"/>
    </row>
    <row r="7" spans="1:10" ht="11.25" customHeight="1" thickBot="1" x14ac:dyDescent="0.3">
      <c r="A7" s="1849"/>
      <c r="B7" s="1850"/>
      <c r="C7" s="2310">
        <f>COVER!A13</f>
        <v>34049109002</v>
      </c>
      <c r="D7" s="2310"/>
      <c r="E7" s="2310"/>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t="s">
        <v>2064</v>
      </c>
      <c r="D14" s="1864" t="s">
        <v>2064</v>
      </c>
      <c r="E14" s="1867" t="s">
        <v>2088</v>
      </c>
      <c r="F14" s="1866" t="s">
        <v>2089</v>
      </c>
      <c r="H14" s="1877">
        <f t="shared" si="0"/>
        <v>5</v>
      </c>
      <c r="I14" s="1877">
        <f t="shared" si="1"/>
        <v>5</v>
      </c>
      <c r="J14" s="1877">
        <f t="shared" si="2"/>
        <v>0</v>
      </c>
    </row>
    <row r="15" spans="1:10" ht="12" customHeight="1" x14ac:dyDescent="0.2">
      <c r="A15" s="1862" t="s">
        <v>1387</v>
      </c>
      <c r="B15" s="1863"/>
      <c r="C15" s="1864" t="s">
        <v>2064</v>
      </c>
      <c r="D15" s="1864" t="s">
        <v>2064</v>
      </c>
      <c r="E15" s="1867"/>
      <c r="F15" s="1866" t="s">
        <v>2090</v>
      </c>
      <c r="H15" s="1877">
        <f t="shared" si="0"/>
        <v>5</v>
      </c>
      <c r="I15" s="1877">
        <f t="shared" si="1"/>
        <v>5</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2064</v>
      </c>
      <c r="D19" s="1864" t="s">
        <v>2064</v>
      </c>
      <c r="E19" s="1867"/>
      <c r="F19" s="1866" t="s">
        <v>2091</v>
      </c>
      <c r="H19" s="1877">
        <f t="shared" si="0"/>
        <v>5</v>
      </c>
      <c r="I19" s="1877">
        <f t="shared" si="1"/>
        <v>5</v>
      </c>
      <c r="J19" s="1877">
        <f t="shared" si="2"/>
        <v>0</v>
      </c>
    </row>
    <row r="20" spans="1:12" ht="12" customHeight="1" x14ac:dyDescent="0.2">
      <c r="A20" s="1862" t="s">
        <v>1528</v>
      </c>
      <c r="B20" s="1863"/>
      <c r="C20" s="1864" t="s">
        <v>2064</v>
      </c>
      <c r="D20" s="1864" t="s">
        <v>2064</v>
      </c>
      <c r="E20" s="1867"/>
      <c r="F20" s="1866" t="s">
        <v>2092</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c r="F26" s="1866" t="s">
        <v>2093</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t="s">
        <v>2064</v>
      </c>
      <c r="D28" s="1864" t="s">
        <v>2064</v>
      </c>
      <c r="E28" s="1867" t="s">
        <v>2088</v>
      </c>
      <c r="F28" s="1866" t="s">
        <v>2094</v>
      </c>
      <c r="H28" s="1877">
        <f t="shared" si="0"/>
        <v>5</v>
      </c>
      <c r="I28" s="1877">
        <f t="shared" si="1"/>
        <v>5</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30</v>
      </c>
      <c r="I34" s="1877">
        <f>SUM(I11:I32)</f>
        <v>30</v>
      </c>
      <c r="J34" s="1877">
        <f>SUM(J11:J32)</f>
        <v>0</v>
      </c>
      <c r="K34" s="1877">
        <f>SUM(H34:J34)</f>
        <v>60</v>
      </c>
    </row>
    <row r="35" spans="1:11" ht="12" customHeight="1" x14ac:dyDescent="0.2">
      <c r="A35" s="1870" t="s">
        <v>1392</v>
      </c>
      <c r="B35" s="1871"/>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2"/>
      <c r="B39" s="1872"/>
      <c r="C39" s="1872"/>
      <c r="D39" s="1872"/>
      <c r="E39" s="1872"/>
      <c r="F39" s="1872"/>
    </row>
    <row r="40" spans="1:11" s="1869" customFormat="1" ht="12" customHeight="1" x14ac:dyDescent="0.25">
      <c r="A40" s="1873" t="s">
        <v>1391</v>
      </c>
      <c r="B40" s="1874"/>
      <c r="C40" s="2300"/>
      <c r="D40" s="2300"/>
      <c r="E40" s="2300"/>
      <c r="F40" s="2301"/>
      <c r="H40" s="1878"/>
      <c r="I40" s="1878"/>
      <c r="J40" s="1878"/>
      <c r="K40" s="1878"/>
    </row>
    <row r="41" spans="1:11" s="1869" customFormat="1" ht="12" customHeight="1" x14ac:dyDescent="0.25">
      <c r="A41" s="2302"/>
      <c r="B41" s="2303"/>
      <c r="C41" s="2303"/>
      <c r="D41" s="2303"/>
      <c r="E41" s="2303"/>
      <c r="F41" s="2304"/>
      <c r="H41" s="1878"/>
      <c r="I41" s="1878"/>
      <c r="J41" s="1878"/>
      <c r="K41" s="1878"/>
    </row>
    <row r="42" spans="1:11" s="1869" customFormat="1" ht="12" customHeight="1" x14ac:dyDescent="0.25">
      <c r="A42" s="2302"/>
      <c r="B42" s="2303"/>
      <c r="C42" s="2303"/>
      <c r="D42" s="2303"/>
      <c r="E42" s="2303"/>
      <c r="F42" s="2304"/>
      <c r="H42" s="1878"/>
      <c r="I42" s="1878"/>
      <c r="J42" s="1878"/>
      <c r="K42" s="1878"/>
    </row>
    <row r="43" spans="1:11" s="1869" customFormat="1" ht="15" x14ac:dyDescent="0.25">
      <c r="A43" s="2291"/>
      <c r="B43" s="2292"/>
      <c r="C43" s="2292"/>
      <c r="D43" s="2292"/>
      <c r="E43" s="2292"/>
      <c r="F43" s="2293"/>
      <c r="H43" s="1878"/>
      <c r="I43" s="1878"/>
      <c r="J43" s="1878"/>
      <c r="K43" s="1878"/>
    </row>
    <row r="44" spans="1:11" s="1869" customFormat="1" ht="12" hidden="1" customHeight="1" x14ac:dyDescent="0.25">
      <c r="A44" s="2291"/>
      <c r="B44" s="2292"/>
      <c r="C44" s="2292"/>
      <c r="D44" s="2292"/>
      <c r="E44" s="2292"/>
      <c r="F44" s="229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8" t="str">
        <f>COVER!A17</f>
        <v>Deerfield SD 109</v>
      </c>
      <c r="J6" s="2319"/>
      <c r="Q6" s="1663"/>
    </row>
    <row r="7" spans="1:17" x14ac:dyDescent="0.2">
      <c r="A7" s="2320" t="s">
        <v>869</v>
      </c>
      <c r="B7" s="2321"/>
      <c r="C7" s="2321"/>
      <c r="D7" s="2321"/>
      <c r="E7" s="2322"/>
      <c r="F7" s="1016"/>
      <c r="G7" s="1008"/>
      <c r="H7" s="1015" t="s">
        <v>372</v>
      </c>
      <c r="I7" s="2323">
        <f>COVER!A13</f>
        <v>34049109002</v>
      </c>
      <c r="J7" s="232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1979</v>
      </c>
      <c r="F9" s="1022"/>
      <c r="G9" s="1022"/>
      <c r="H9" s="1895" t="s">
        <v>1980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4" t="s">
        <v>481</v>
      </c>
      <c r="B11" s="2325"/>
      <c r="C11" s="232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997605</v>
      </c>
      <c r="F12" s="1038"/>
      <c r="G12" s="1810">
        <f t="shared" ref="G12:G18" si="0">SUM(E12:F12)</f>
        <v>997605</v>
      </c>
      <c r="H12" s="1039">
        <v>1052678</v>
      </c>
      <c r="I12" s="1038"/>
      <c r="J12" s="1810">
        <f t="shared" ref="J12:J18" si="1">SUM(H12:I12)</f>
        <v>1052678</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711631</v>
      </c>
      <c r="F15" s="1810">
        <f>'Expenditures 15-22'!K122</f>
        <v>0</v>
      </c>
      <c r="G15" s="1810">
        <f t="shared" si="0"/>
        <v>711631</v>
      </c>
      <c r="H15" s="1039">
        <v>696858</v>
      </c>
      <c r="I15" s="1039"/>
      <c r="J15" s="1810">
        <f t="shared" si="1"/>
        <v>696858</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7" t="s">
        <v>7</v>
      </c>
      <c r="C18" s="2328"/>
      <c r="D18" s="2329"/>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1709236</v>
      </c>
      <c r="F19" s="1812">
        <f t="shared" si="2"/>
        <v>0</v>
      </c>
      <c r="G19" s="1812">
        <f t="shared" si="2"/>
        <v>1709236</v>
      </c>
      <c r="H19" s="1812">
        <f t="shared" si="2"/>
        <v>1749536</v>
      </c>
      <c r="I19" s="1812">
        <f t="shared" si="2"/>
        <v>0</v>
      </c>
      <c r="J19" s="1812">
        <f t="shared" si="2"/>
        <v>1749536</v>
      </c>
    </row>
    <row r="20" spans="1:10" ht="13.5" thickTop="1" x14ac:dyDescent="0.2">
      <c r="A20" s="1034">
        <v>9</v>
      </c>
      <c r="B20" s="2330" t="s">
        <v>1981</v>
      </c>
      <c r="C20" s="2330"/>
      <c r="D20" s="2331"/>
      <c r="E20" s="1045"/>
      <c r="F20" s="1045"/>
      <c r="G20" s="1045"/>
      <c r="H20" s="1045"/>
      <c r="I20" s="1045"/>
      <c r="J20" s="1813">
        <f>IF(AND(G19&gt;0,J19&gt;0),(((J19-G19)/G19)),"Enter Budget Data")</f>
        <v>2.3577785630539024E-2</v>
      </c>
    </row>
    <row r="21" spans="1:10" ht="9" customHeight="1" x14ac:dyDescent="0.2">
      <c r="B21" s="1046"/>
    </row>
    <row r="22" spans="1:10" x14ac:dyDescent="0.2">
      <c r="A22" s="1047" t="s">
        <v>133</v>
      </c>
      <c r="B22" s="1046"/>
    </row>
    <row r="23" spans="1:10" x14ac:dyDescent="0.2">
      <c r="A23" s="1010" t="s">
        <v>1982</v>
      </c>
      <c r="B23" s="1046"/>
    </row>
    <row r="24" spans="1:10" x14ac:dyDescent="0.2">
      <c r="A24" s="1010" t="s">
        <v>1995</v>
      </c>
      <c r="B24" s="1046"/>
    </row>
    <row r="25" spans="1:10" x14ac:dyDescent="0.2">
      <c r="A25" s="1048"/>
      <c r="B25" s="1046"/>
    </row>
    <row r="26" spans="1:10" ht="20.100000000000001" customHeight="1" x14ac:dyDescent="0.2">
      <c r="B26" s="1046"/>
      <c r="C26" s="2336"/>
      <c r="D26" s="2336"/>
      <c r="E26" s="1049"/>
      <c r="F26" s="2335"/>
      <c r="G26" s="2335"/>
    </row>
    <row r="27" spans="1:10" x14ac:dyDescent="0.2">
      <c r="B27" s="1046"/>
      <c r="C27" s="1050" t="s">
        <v>1033</v>
      </c>
      <c r="D27" s="1051"/>
      <c r="E27" s="1052"/>
      <c r="F27" s="2332" t="s">
        <v>1509</v>
      </c>
      <c r="G27" s="2332"/>
    </row>
    <row r="28" spans="1:10" ht="28.5" customHeight="1" x14ac:dyDescent="0.2">
      <c r="B28" s="1046"/>
      <c r="C28" s="2334"/>
      <c r="D28" s="2334"/>
      <c r="E28" s="1053"/>
      <c r="F28" s="2334"/>
      <c r="G28" s="2334"/>
    </row>
    <row r="29" spans="1:10" x14ac:dyDescent="0.2">
      <c r="B29" s="1046"/>
      <c r="C29" s="1054" t="s">
        <v>1561</v>
      </c>
      <c r="E29" s="1055"/>
      <c r="F29" s="2333" t="s">
        <v>1510</v>
      </c>
      <c r="G29" s="233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1"/>
    </row>
    <row r="36" spans="1:10" ht="13.5" customHeight="1" x14ac:dyDescent="0.2">
      <c r="B36" s="1060"/>
      <c r="C36" s="2317" t="s">
        <v>1983</v>
      </c>
      <c r="D36" s="2316"/>
      <c r="E36" s="2316"/>
      <c r="F36" s="2316"/>
      <c r="G36" s="2316"/>
      <c r="H36" s="2316"/>
      <c r="I36" s="2316"/>
      <c r="J36" s="1062"/>
    </row>
    <row r="37" spans="1:10" ht="22.5" customHeight="1" x14ac:dyDescent="0.2">
      <c r="C37" s="2316"/>
      <c r="D37" s="2316"/>
      <c r="E37" s="2316"/>
      <c r="F37" s="2316"/>
      <c r="G37" s="2316"/>
      <c r="H37" s="2316"/>
      <c r="I37" s="2316"/>
      <c r="J37" s="1062"/>
    </row>
    <row r="38" spans="1:10" ht="7.5" customHeight="1" x14ac:dyDescent="0.2">
      <c r="C38" s="1061"/>
      <c r="D38" s="1063"/>
      <c r="E38" s="1064"/>
      <c r="F38" s="1065"/>
      <c r="G38" s="1064"/>
    </row>
    <row r="39" spans="1:10" ht="13.5" customHeight="1" x14ac:dyDescent="0.2">
      <c r="B39" s="1060"/>
      <c r="C39" s="2313" t="s">
        <v>882</v>
      </c>
      <c r="D39" s="2314"/>
      <c r="E39" s="2314"/>
      <c r="F39" s="2314"/>
      <c r="G39" s="2314"/>
      <c r="H39" s="2314"/>
      <c r="I39" s="231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23" zoomScale="110" zoomScaleNormal="110" workbookViewId="0">
      <selection activeCell="B47" sqref="B4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v>1</v>
      </c>
      <c r="B5" s="1938" t="s">
        <v>64</v>
      </c>
    </row>
    <row r="6" spans="1:2" x14ac:dyDescent="0.2">
      <c r="A6" s="1067"/>
      <c r="B6" s="329" t="s">
        <v>2097</v>
      </c>
    </row>
    <row r="7" spans="1:2" x14ac:dyDescent="0.2">
      <c r="A7" s="1067"/>
      <c r="B7" s="329" t="s">
        <v>2098</v>
      </c>
    </row>
    <row r="8" spans="1:2" x14ac:dyDescent="0.2">
      <c r="A8" s="1067"/>
    </row>
    <row r="9" spans="1:2" x14ac:dyDescent="0.2">
      <c r="A9" s="1067"/>
      <c r="B9" s="329" t="s">
        <v>2099</v>
      </c>
    </row>
    <row r="10" spans="1:2" x14ac:dyDescent="0.2">
      <c r="A10" s="1067"/>
    </row>
    <row r="11" spans="1:2" x14ac:dyDescent="0.2">
      <c r="A11" s="1067"/>
    </row>
    <row r="12" spans="1:2" x14ac:dyDescent="0.2">
      <c r="A12" s="1067"/>
    </row>
    <row r="13" spans="1:2" x14ac:dyDescent="0.2">
      <c r="A13" s="1067"/>
    </row>
    <row r="14" spans="1:2" x14ac:dyDescent="0.2">
      <c r="A14" s="1067"/>
    </row>
    <row r="15" spans="1:2" x14ac:dyDescent="0.2">
      <c r="A15" s="1067">
        <v>2</v>
      </c>
      <c r="B15" s="1938" t="s">
        <v>6</v>
      </c>
    </row>
    <row r="16" spans="1:2" x14ac:dyDescent="0.2">
      <c r="A16" s="1067"/>
    </row>
    <row r="17" spans="1:2" x14ac:dyDescent="0.2">
      <c r="A17" s="1067"/>
    </row>
    <row r="18" spans="1:2" x14ac:dyDescent="0.2">
      <c r="A18" s="1067"/>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v>3</v>
      </c>
      <c r="B26" s="1938" t="s">
        <v>2095</v>
      </c>
    </row>
    <row r="27" spans="1:2" x14ac:dyDescent="0.2">
      <c r="A27" s="1067"/>
      <c r="B27" s="329" t="s">
        <v>2100</v>
      </c>
    </row>
    <row r="28" spans="1:2" x14ac:dyDescent="0.2">
      <c r="A28" s="1067"/>
    </row>
    <row r="29" spans="1:2" x14ac:dyDescent="0.2">
      <c r="A29" s="1067"/>
    </row>
    <row r="30" spans="1:2" x14ac:dyDescent="0.2">
      <c r="A30" s="1067"/>
    </row>
    <row r="31" spans="1:2" x14ac:dyDescent="0.2">
      <c r="A31" s="1067"/>
    </row>
    <row r="32" spans="1:2" x14ac:dyDescent="0.2">
      <c r="A32" s="1067"/>
    </row>
    <row r="33" spans="1:2" x14ac:dyDescent="0.2">
      <c r="A33" s="1067"/>
    </row>
    <row r="34" spans="1:2" x14ac:dyDescent="0.2">
      <c r="A34" s="1067"/>
    </row>
    <row r="35" spans="1:2" x14ac:dyDescent="0.2">
      <c r="A35" s="1067"/>
    </row>
    <row r="36" spans="1:2" x14ac:dyDescent="0.2">
      <c r="A36" s="1067">
        <v>4</v>
      </c>
    </row>
    <row r="37" spans="1:2" x14ac:dyDescent="0.2">
      <c r="A37" s="1068"/>
    </row>
    <row r="38" spans="1:2" x14ac:dyDescent="0.2">
      <c r="A38" s="1068"/>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v>5</v>
      </c>
      <c r="B45" s="1938" t="s">
        <v>2096</v>
      </c>
    </row>
    <row r="46" spans="1:2" x14ac:dyDescent="0.2">
      <c r="A46" s="1068"/>
      <c r="B46" s="329" t="s">
        <v>2101</v>
      </c>
    </row>
    <row r="47" spans="1:2" x14ac:dyDescent="0.2">
      <c r="A47" s="1068"/>
    </row>
    <row r="48" spans="1:2"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Deerfield SD 109</v>
      </c>
    </row>
    <row r="66" spans="1:2" x14ac:dyDescent="0.2">
      <c r="B66" s="1069">
        <f>COVER!A13</f>
        <v>34049109002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3"/>
      <c r="H2" s="1073"/>
    </row>
    <row r="3" spans="1:8" ht="57" customHeight="1" x14ac:dyDescent="0.2">
      <c r="A3" s="2351" t="s">
        <v>1686</v>
      </c>
      <c r="B3" s="2352"/>
      <c r="C3" s="2352"/>
      <c r="D3" s="2352"/>
      <c r="E3" s="2352"/>
      <c r="F3" s="2353"/>
      <c r="G3" s="1073"/>
      <c r="H3" s="1073"/>
    </row>
    <row r="4" spans="1:8" ht="14.25" customHeight="1" x14ac:dyDescent="0.2">
      <c r="A4" s="2357" t="s">
        <v>1988</v>
      </c>
      <c r="B4" s="2358"/>
      <c r="C4" s="2358"/>
      <c r="D4" s="2358"/>
      <c r="E4" s="2358"/>
      <c r="F4" s="2359"/>
      <c r="G4" s="1073"/>
      <c r="H4" s="1073"/>
    </row>
    <row r="5" spans="1:8" ht="14.25" customHeight="1" x14ac:dyDescent="0.2">
      <c r="A5" s="2360" t="s">
        <v>1984</v>
      </c>
      <c r="B5" s="2361"/>
      <c r="C5" s="2361"/>
      <c r="D5" s="2361"/>
      <c r="E5" s="2361"/>
      <c r="F5" s="2362"/>
      <c r="G5" s="1073"/>
      <c r="H5" s="1073"/>
    </row>
    <row r="6" spans="1:8" s="1074" customFormat="1" ht="41.25" customHeight="1" x14ac:dyDescent="0.2">
      <c r="A6" s="2354" t="s">
        <v>1691</v>
      </c>
      <c r="B6" s="2355"/>
      <c r="C6" s="2355"/>
      <c r="D6" s="2355"/>
      <c r="E6" s="2355"/>
      <c r="F6" s="235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44246507</v>
      </c>
      <c r="C8" s="1814">
        <f>'Acct Summary 7-8'!D8</f>
        <v>6519387</v>
      </c>
      <c r="D8" s="1814">
        <f>'Acct Summary 7-8'!F8</f>
        <v>1680546</v>
      </c>
      <c r="E8" s="1814">
        <f>'Acct Summary 7-8'!I8</f>
        <v>0</v>
      </c>
      <c r="F8" s="1814">
        <f>SUM(B8:E8)</f>
        <v>52446440</v>
      </c>
    </row>
    <row r="9" spans="1:8" s="1078" customFormat="1" ht="14.25" customHeight="1" thickBot="1" x14ac:dyDescent="0.25">
      <c r="A9" s="1077" t="s">
        <v>1369</v>
      </c>
      <c r="B9" s="1815">
        <f>'Acct Summary 7-8'!C17</f>
        <v>44641467</v>
      </c>
      <c r="C9" s="1815">
        <f>'Acct Summary 7-8'!D17</f>
        <v>5638741</v>
      </c>
      <c r="D9" s="1815">
        <f>'Acct Summary 7-8'!F17</f>
        <v>1424317</v>
      </c>
      <c r="E9" s="1814"/>
      <c r="F9" s="1814">
        <f>SUM(B9:E9)</f>
        <v>51704525</v>
      </c>
    </row>
    <row r="10" spans="1:8" s="1078" customFormat="1" ht="14.25" thickTop="1" thickBot="1" x14ac:dyDescent="0.25">
      <c r="A10" s="1079" t="s">
        <v>1370</v>
      </c>
      <c r="B10" s="1816">
        <f>(B8-B9)</f>
        <v>-394960</v>
      </c>
      <c r="C10" s="1816">
        <f>(C8-C9)</f>
        <v>880646</v>
      </c>
      <c r="D10" s="1816">
        <f>(D8-D9)</f>
        <v>256229</v>
      </c>
      <c r="E10" s="1815">
        <f>(E8-E9)</f>
        <v>0</v>
      </c>
      <c r="F10" s="1817">
        <f>SUM(F8-F9)</f>
        <v>741915</v>
      </c>
    </row>
    <row r="11" spans="1:8" s="1078" customFormat="1" ht="14.25" thickTop="1" thickBot="1" x14ac:dyDescent="0.25">
      <c r="A11" s="1080" t="s">
        <v>1985</v>
      </c>
      <c r="B11" s="1818">
        <f>'Acct Summary 7-8'!C81</f>
        <v>12695294</v>
      </c>
      <c r="C11" s="1818">
        <f>'Acct Summary 7-8'!D81</f>
        <v>1985045</v>
      </c>
      <c r="D11" s="1818">
        <f>'Acct Summary 7-8'!F81</f>
        <v>1894797</v>
      </c>
      <c r="E11" s="1818">
        <f>'Acct Summary 7-8'!I81</f>
        <v>0</v>
      </c>
      <c r="F11" s="1819">
        <f>SUM(B11:E11)</f>
        <v>16575136</v>
      </c>
    </row>
    <row r="12" spans="1:8" ht="16.5" customHeight="1" thickTop="1" x14ac:dyDescent="0.2">
      <c r="A12" s="1081"/>
      <c r="B12" s="1082"/>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3"/>
      <c r="B13" s="1084"/>
      <c r="C13" s="2342"/>
      <c r="D13" s="2343"/>
      <c r="E13" s="2343"/>
      <c r="F13" s="2344"/>
      <c r="H13" s="1073"/>
    </row>
    <row r="14" spans="1:8" ht="19.5" customHeight="1" x14ac:dyDescent="0.2">
      <c r="A14" s="1083"/>
      <c r="B14" s="1084"/>
      <c r="C14" s="2342"/>
      <c r="D14" s="2343"/>
      <c r="E14" s="2343"/>
      <c r="F14" s="2344"/>
      <c r="H14" s="1073"/>
    </row>
    <row r="15" spans="1:8" ht="17.25" customHeight="1" x14ac:dyDescent="0.2">
      <c r="A15" s="1083"/>
      <c r="B15" s="1084"/>
      <c r="C15" s="2345"/>
      <c r="D15" s="2346"/>
      <c r="E15" s="2346"/>
      <c r="F15" s="2347"/>
      <c r="H15" s="1073"/>
    </row>
    <row r="16" spans="1:8" s="310" customFormat="1" ht="51.75" hidden="1" customHeight="1" x14ac:dyDescent="0.2">
      <c r="A16" s="2341" t="s">
        <v>1687</v>
      </c>
      <c r="B16" s="2341"/>
      <c r="C16" s="2341"/>
      <c r="D16" s="2341"/>
      <c r="E16" s="234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14" sqref="C14"/>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3" t="s">
        <v>665</v>
      </c>
      <c r="B3" s="2364"/>
      <c r="C3" s="2364"/>
      <c r="D3" s="236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4" t="s">
        <v>1504</v>
      </c>
      <c r="D7" s="2375"/>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8" t="s">
        <v>314</v>
      </c>
      <c r="D21" s="2379"/>
    </row>
    <row r="22" spans="1:10" ht="12.75" x14ac:dyDescent="0.2">
      <c r="A22" s="1138"/>
      <c r="B22" s="1139">
        <v>2</v>
      </c>
      <c r="C22" s="2376" t="s">
        <v>1524</v>
      </c>
      <c r="D22" s="2377"/>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0" t="s">
        <v>536</v>
      </c>
      <c r="D43" s="238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2" t="s">
        <v>784</v>
      </c>
      <c r="D56" s="237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2" t="s">
        <v>1696</v>
      </c>
      <c r="D70" s="237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34049109002</v>
      </c>
    </row>
    <row r="3" spans="1:2" x14ac:dyDescent="0.2">
      <c r="A3" t="s">
        <v>956</v>
      </c>
      <c r="B3" s="138" t="str">
        <f>COVER!A15</f>
        <v>LAKE</v>
      </c>
    </row>
    <row r="4" spans="1:2" x14ac:dyDescent="0.2">
      <c r="A4" t="s">
        <v>1007</v>
      </c>
      <c r="B4" s="138" t="str">
        <f>COVER!A17</f>
        <v>Deerfield SD 109</v>
      </c>
    </row>
    <row r="5" spans="1:2" x14ac:dyDescent="0.2">
      <c r="A5" t="s">
        <v>704</v>
      </c>
      <c r="B5" s="138" t="str">
        <f>COVER!A38</f>
        <v>Dr. Anthony McConnell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066-033289</v>
      </c>
    </row>
    <row r="16" spans="1:2" x14ac:dyDescent="0.2">
      <c r="A16" t="s">
        <v>422</v>
      </c>
      <c r="B16" s="138" t="str">
        <f>COVER!T13</f>
        <v>Evoy, Kamschulte, Jacobs &amp; Co. LLP</v>
      </c>
    </row>
    <row r="17" spans="1:2" x14ac:dyDescent="0.2">
      <c r="A17" t="s">
        <v>884</v>
      </c>
      <c r="B17" s="138" t="str">
        <f>COVER!T15</f>
        <v>John D. Aceto, Jr., CPA</v>
      </c>
    </row>
    <row r="18" spans="1:2" x14ac:dyDescent="0.2">
      <c r="A18" t="s">
        <v>1150</v>
      </c>
      <c r="B18" s="138" t="str">
        <f>COVER!T17</f>
        <v>2122 Yeoman Street</v>
      </c>
    </row>
    <row r="19" spans="1:2" x14ac:dyDescent="0.2">
      <c r="A19" t="s">
        <v>886</v>
      </c>
      <c r="B19" s="138" t="str">
        <f>COVER!T25</f>
        <v>jaceto@ekjllp.com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38718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21874630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59999212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2729260</v>
      </c>
      <c r="D86" s="2" t="str">
        <f t="shared" si="0"/>
        <v>Error?</v>
      </c>
    </row>
    <row r="87" spans="1:4" x14ac:dyDescent="0.2">
      <c r="A87" s="10">
        <v>26</v>
      </c>
      <c r="D87" s="2" t="str">
        <f t="shared" si="0"/>
        <v>OK</v>
      </c>
    </row>
    <row r="88" spans="1:4" x14ac:dyDescent="0.2">
      <c r="A88" s="5">
        <v>27</v>
      </c>
      <c r="B88" s="138">
        <f>'Assets-Liab 5-6'!C32</f>
        <v>44531093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47303918</v>
      </c>
      <c r="C91" s="2" t="s">
        <v>573</v>
      </c>
      <c r="D91" s="2" t="str">
        <f t="shared" si="0"/>
        <v>Error?</v>
      </c>
    </row>
    <row r="92" spans="1:4" x14ac:dyDescent="0.2">
      <c r="A92" s="5">
        <v>31</v>
      </c>
      <c r="B92" s="138">
        <f>'Assets-Liab 5-6'!C39</f>
        <v>12695294</v>
      </c>
      <c r="D92" s="2" t="str">
        <f t="shared" si="0"/>
        <v>Error?</v>
      </c>
    </row>
    <row r="93" spans="1:4" x14ac:dyDescent="0.2">
      <c r="A93" s="5">
        <v>32</v>
      </c>
      <c r="B93" s="138">
        <f>'Assets-Liab 5-6'!C41</f>
        <v>59999212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2689537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7623135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5440525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5638090</v>
      </c>
      <c r="C122" s="2" t="s">
        <v>573</v>
      </c>
      <c r="D122" s="2" t="str">
        <f t="shared" si="0"/>
        <v>Error?</v>
      </c>
    </row>
    <row r="123" spans="1:4" x14ac:dyDescent="0.2">
      <c r="A123" s="5">
        <v>62</v>
      </c>
      <c r="B123" s="138">
        <f>'Assets-Liab 5-6'!D39</f>
        <v>1985045</v>
      </c>
      <c r="D123" s="2" t="str">
        <f t="shared" si="0"/>
        <v>Error?</v>
      </c>
    </row>
    <row r="124" spans="1:4" x14ac:dyDescent="0.2">
      <c r="A124" s="5">
        <v>63</v>
      </c>
      <c r="B124" s="138">
        <f>'Assets-Liab 5-6'!D41</f>
        <v>7623135</v>
      </c>
      <c r="C124" s="2" t="s">
        <v>573</v>
      </c>
      <c r="D124" s="2" t="str">
        <f t="shared" si="0"/>
        <v>Error?</v>
      </c>
    </row>
    <row r="125" spans="1:4" x14ac:dyDescent="0.2">
      <c r="A125" s="10">
        <v>64</v>
      </c>
      <c r="D125" s="2" t="str">
        <f t="shared" si="0"/>
        <v>OK</v>
      </c>
    </row>
    <row r="126" spans="1:4" x14ac:dyDescent="0.2">
      <c r="A126" s="5">
        <v>65</v>
      </c>
      <c r="B126" s="138">
        <f>'Assets-Liab 5-6'!E6</f>
        <v>3782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913211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6490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33368</v>
      </c>
      <c r="C139" s="2" t="s">
        <v>573</v>
      </c>
      <c r="D139" s="2" t="str">
        <f t="shared" si="1"/>
        <v>Error?</v>
      </c>
    </row>
    <row r="140" spans="1:4" x14ac:dyDescent="0.2">
      <c r="A140" s="5">
        <v>79</v>
      </c>
      <c r="B140" s="138">
        <f>'Assets-Liab 5-6'!E39</f>
        <v>879843</v>
      </c>
      <c r="D140" s="2" t="str">
        <f t="shared" si="1"/>
        <v>Error?</v>
      </c>
    </row>
    <row r="141" spans="1:4" x14ac:dyDescent="0.2">
      <c r="A141" s="5">
        <v>80</v>
      </c>
      <c r="B141" s="138">
        <f>'Assets-Liab 5-6'!E41</f>
        <v>913211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562115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3067925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1172478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1173128</v>
      </c>
      <c r="C169" s="2" t="s">
        <v>573</v>
      </c>
      <c r="D169" s="2" t="str">
        <f t="shared" si="1"/>
        <v>Error?</v>
      </c>
    </row>
    <row r="170" spans="1:4" x14ac:dyDescent="0.2">
      <c r="A170" s="5">
        <v>109</v>
      </c>
      <c r="B170" s="138">
        <f>'Assets-Liab 5-6'!F39</f>
        <v>1894797</v>
      </c>
      <c r="D170" s="2" t="str">
        <f t="shared" si="1"/>
        <v>Error?</v>
      </c>
    </row>
    <row r="171" spans="1:4" x14ac:dyDescent="0.2">
      <c r="A171" s="5">
        <v>110</v>
      </c>
      <c r="B171" s="138">
        <f>'Assets-Liab 5-6'!F41</f>
        <v>3067925</v>
      </c>
      <c r="C171" s="2" t="s">
        <v>573</v>
      </c>
      <c r="D171" s="2" t="str">
        <f t="shared" si="1"/>
        <v>Error?</v>
      </c>
    </row>
    <row r="172" spans="1:4" x14ac:dyDescent="0.2">
      <c r="A172" s="10">
        <v>111</v>
      </c>
      <c r="D172" s="2" t="str">
        <f t="shared" si="1"/>
        <v>OK</v>
      </c>
    </row>
    <row r="173" spans="1:4" x14ac:dyDescent="0.2">
      <c r="A173" s="5">
        <v>112</v>
      </c>
      <c r="B173" s="138">
        <f>'Assets-Liab 5-6'!G6</f>
        <v>438476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2004082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72280</v>
      </c>
      <c r="D184" s="2" t="str">
        <f t="shared" si="1"/>
        <v>Error?</v>
      </c>
    </row>
    <row r="185" spans="1:4" x14ac:dyDescent="0.2">
      <c r="A185" s="5">
        <v>124</v>
      </c>
      <c r="B185" s="138">
        <f>'Assets-Liab 5-6'!G32</f>
        <v>886815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1128086</v>
      </c>
      <c r="C188" s="2" t="s">
        <v>573</v>
      </c>
      <c r="D188" s="2" t="str">
        <f t="shared" si="1"/>
        <v>Error?</v>
      </c>
    </row>
    <row r="189" spans="1:4" x14ac:dyDescent="0.2">
      <c r="A189" s="5">
        <v>128</v>
      </c>
      <c r="B189" s="138">
        <f>'Assets-Liab 5-6'!G39</f>
        <v>875996</v>
      </c>
      <c r="D189" s="2" t="str">
        <f t="shared" si="1"/>
        <v>Error?</v>
      </c>
    </row>
    <row r="190" spans="1:4" x14ac:dyDescent="0.2">
      <c r="A190" s="5">
        <v>129</v>
      </c>
      <c r="B190" s="138">
        <f>'Assets-Liab 5-6'!G41</f>
        <v>2004082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7969881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855876</v>
      </c>
      <c r="C211" s="2" t="s">
        <v>573</v>
      </c>
      <c r="D211" s="2" t="str">
        <f t="shared" si="2"/>
        <v>Error?</v>
      </c>
    </row>
    <row r="212" spans="1:4" x14ac:dyDescent="0.2">
      <c r="A212" s="5">
        <v>151</v>
      </c>
      <c r="B212" s="138">
        <f>'Assets-Liab 5-6'!H39</f>
        <v>7114005</v>
      </c>
      <c r="D212" s="2" t="str">
        <f t="shared" si="2"/>
        <v>Error?</v>
      </c>
    </row>
    <row r="213" spans="1:4" x14ac:dyDescent="0.2">
      <c r="A213" s="12">
        <v>152</v>
      </c>
      <c r="B213" s="138">
        <f>'Assets-Liab 5-6'!H41</f>
        <v>7969881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127188</v>
      </c>
      <c r="D273" s="2" t="str">
        <f t="shared" si="3"/>
        <v>Error?</v>
      </c>
    </row>
    <row r="274" spans="1:4" x14ac:dyDescent="0.2">
      <c r="A274" s="5">
        <v>213</v>
      </c>
      <c r="B274" s="138">
        <f>'Assets-Liab 5-6'!M17</f>
        <v>99123406</v>
      </c>
      <c r="D274" s="2" t="str">
        <f t="shared" si="3"/>
        <v>Error?</v>
      </c>
    </row>
    <row r="275" spans="1:4" x14ac:dyDescent="0.2">
      <c r="A275" s="5">
        <v>214</v>
      </c>
      <c r="B275" s="138">
        <f>'Assets-Liab 5-6'!M18</f>
        <v>3212990</v>
      </c>
      <c r="D275" s="2" t="str">
        <f t="shared" si="3"/>
        <v>Error?</v>
      </c>
    </row>
    <row r="276" spans="1:4" x14ac:dyDescent="0.2">
      <c r="A276" s="5">
        <v>215</v>
      </c>
      <c r="B276" s="138">
        <f>'Assets-Liab 5-6'!M19</f>
        <v>31918068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134381652</v>
      </c>
      <c r="C279" s="2" t="s">
        <v>573</v>
      </c>
      <c r="D279" s="2" t="str">
        <f t="shared" si="3"/>
        <v>Error?</v>
      </c>
    </row>
    <row r="280" spans="1:4" x14ac:dyDescent="0.2">
      <c r="A280" s="5">
        <v>219</v>
      </c>
      <c r="B280" s="138">
        <f>'Assets-Liab 5-6'!M40</f>
        <v>134381652</v>
      </c>
      <c r="D280" s="2" t="str">
        <f t="shared" si="3"/>
        <v>Error?</v>
      </c>
    </row>
    <row r="281" spans="1:4" x14ac:dyDescent="0.2">
      <c r="A281" s="5">
        <v>220</v>
      </c>
      <c r="B281" s="138">
        <f>'Assets-Liab 5-6'!M41</f>
        <v>134381652</v>
      </c>
      <c r="C281" s="2" t="s">
        <v>573</v>
      </c>
      <c r="D281" s="2" t="str">
        <f t="shared" si="3"/>
        <v>Error?</v>
      </c>
    </row>
    <row r="282" spans="1:4" x14ac:dyDescent="0.2">
      <c r="A282" s="5">
        <v>221</v>
      </c>
      <c r="B282" s="138">
        <f>'Assets-Liab 5-6'!N21</f>
        <v>879843</v>
      </c>
      <c r="D282" s="2" t="str">
        <f t="shared" si="3"/>
        <v>Error?</v>
      </c>
    </row>
    <row r="283" spans="1:4" x14ac:dyDescent="0.2">
      <c r="A283" s="5">
        <v>222</v>
      </c>
      <c r="B283" s="138">
        <f>'Assets-Liab 5-6'!N22</f>
        <v>19310157</v>
      </c>
      <c r="D283" s="2" t="str">
        <f t="shared" si="3"/>
        <v>Error?</v>
      </c>
    </row>
    <row r="284" spans="1:4" x14ac:dyDescent="0.2">
      <c r="A284" s="5">
        <v>223</v>
      </c>
      <c r="B284" s="138">
        <f>'Assets-Liab 5-6'!N23</f>
        <v>20190000</v>
      </c>
      <c r="C284" s="2" t="s">
        <v>573</v>
      </c>
      <c r="D284" s="2" t="str">
        <f t="shared" si="3"/>
        <v>Error?</v>
      </c>
    </row>
    <row r="285" spans="1:4" x14ac:dyDescent="0.2">
      <c r="A285" s="5">
        <v>224</v>
      </c>
      <c r="B285" s="138">
        <f>'Assets-Liab 5-6'!N36</f>
        <v>20190000</v>
      </c>
      <c r="D285" s="2" t="str">
        <f t="shared" si="3"/>
        <v>Error?</v>
      </c>
    </row>
    <row r="286" spans="1:4" x14ac:dyDescent="0.2">
      <c r="A286" s="10">
        <v>225</v>
      </c>
      <c r="D286" s="2" t="str">
        <f t="shared" si="3"/>
        <v>OK</v>
      </c>
    </row>
    <row r="287" spans="1:4" x14ac:dyDescent="0.2">
      <c r="A287" s="5">
        <v>226</v>
      </c>
      <c r="B287" s="138">
        <f>'Assets-Liab 5-6'!N37</f>
        <v>20190000</v>
      </c>
      <c r="C287" s="2" t="s">
        <v>573</v>
      </c>
      <c r="D287" s="2" t="str">
        <f t="shared" si="3"/>
        <v>Error?</v>
      </c>
    </row>
    <row r="288" spans="1:4" x14ac:dyDescent="0.2">
      <c r="A288" s="5">
        <v>227</v>
      </c>
      <c r="B288" s="138">
        <f>'Assets-Liab 5-6'!N41</f>
        <v>20190000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17242685</v>
      </c>
      <c r="D705" s="2" t="str">
        <f t="shared" si="10"/>
        <v>Error?</v>
      </c>
    </row>
    <row r="706" spans="1:4" x14ac:dyDescent="0.2">
      <c r="A706" s="5">
        <v>645</v>
      </c>
      <c r="B706" s="138">
        <f>'Expenditures 15-22'!C16</f>
        <v>700746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454574</v>
      </c>
      <c r="D718" s="2" t="str">
        <f t="shared" si="10"/>
        <v>Error?</v>
      </c>
    </row>
    <row r="719" spans="1:4" x14ac:dyDescent="0.2">
      <c r="A719" s="5">
        <v>658</v>
      </c>
      <c r="B719" s="138">
        <f>'Expenditures 15-22'!C15</f>
        <v>75240</v>
      </c>
      <c r="D719" s="2" t="str">
        <f t="shared" si="10"/>
        <v>Error?</v>
      </c>
    </row>
    <row r="720" spans="1:4" x14ac:dyDescent="0.2">
      <c r="A720" s="5">
        <v>659</v>
      </c>
      <c r="B720" s="138">
        <f>'Expenditures 15-22'!C33</f>
        <v>23646751</v>
      </c>
      <c r="C720" s="2" t="s">
        <v>573</v>
      </c>
      <c r="D720" s="2" t="str">
        <f t="shared" si="10"/>
        <v>Error?</v>
      </c>
    </row>
    <row r="721" spans="1:4" x14ac:dyDescent="0.2">
      <c r="A721" s="5">
        <v>660</v>
      </c>
      <c r="B721" s="138">
        <f>'Expenditures 15-22'!C36</f>
        <v>597975</v>
      </c>
      <c r="D721" s="2" t="str">
        <f t="shared" si="10"/>
        <v>Error?</v>
      </c>
    </row>
    <row r="722" spans="1:4" x14ac:dyDescent="0.2">
      <c r="A722" s="5">
        <v>661</v>
      </c>
      <c r="B722" s="138">
        <f>'Expenditures 15-22'!C37</f>
        <v>346835</v>
      </c>
      <c r="D722" s="2" t="str">
        <f t="shared" si="10"/>
        <v>Error?</v>
      </c>
    </row>
    <row r="723" spans="1:4" x14ac:dyDescent="0.2">
      <c r="A723" s="5">
        <v>662</v>
      </c>
      <c r="B723" s="138">
        <f>'Expenditures 15-22'!C38</f>
        <v>322929</v>
      </c>
      <c r="D723" s="2" t="str">
        <f t="shared" si="10"/>
        <v>Error?</v>
      </c>
    </row>
    <row r="724" spans="1:4" x14ac:dyDescent="0.2">
      <c r="A724" s="5">
        <v>663</v>
      </c>
      <c r="B724" s="138">
        <f>'Expenditures 15-22'!C39</f>
        <v>233832</v>
      </c>
      <c r="D724" s="2" t="str">
        <f t="shared" si="10"/>
        <v>Error?</v>
      </c>
    </row>
    <row r="725" spans="1:4" x14ac:dyDescent="0.2">
      <c r="A725" s="5">
        <v>664</v>
      </c>
      <c r="B725" s="138">
        <f>'Expenditures 15-22'!C40</f>
        <v>945130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2446701</v>
      </c>
      <c r="C727" s="2" t="s">
        <v>573</v>
      </c>
      <c r="D727" s="2" t="str">
        <f t="shared" si="10"/>
        <v>Error?</v>
      </c>
    </row>
    <row r="728" spans="1:4" x14ac:dyDescent="0.2">
      <c r="A728" s="5">
        <v>667</v>
      </c>
      <c r="B728" s="138">
        <f>'Expenditures 15-22'!C44</f>
        <v>1224683</v>
      </c>
      <c r="D728" s="2" t="str">
        <f t="shared" si="10"/>
        <v>Error?</v>
      </c>
    </row>
    <row r="729" spans="1:4" x14ac:dyDescent="0.2">
      <c r="A729" s="5">
        <v>668</v>
      </c>
      <c r="B729" s="138">
        <f>'Expenditures 15-22'!C45</f>
        <v>739256</v>
      </c>
      <c r="D729" s="2" t="str">
        <f t="shared" si="10"/>
        <v>Error?</v>
      </c>
    </row>
    <row r="730" spans="1:4" x14ac:dyDescent="0.2">
      <c r="A730" s="5">
        <v>669</v>
      </c>
      <c r="B730" s="138">
        <f>'Expenditures 15-22'!C46</f>
        <v>386756</v>
      </c>
      <c r="D730" s="2" t="str">
        <f t="shared" si="10"/>
        <v>Error?</v>
      </c>
    </row>
    <row r="731" spans="1:4" x14ac:dyDescent="0.2">
      <c r="A731" s="5">
        <v>670</v>
      </c>
      <c r="B731" s="138">
        <f>'Expenditures 15-22'!C47</f>
        <v>2350695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662180</v>
      </c>
      <c r="D733" s="2" t="str">
        <f t="shared" si="10"/>
        <v>Error?</v>
      </c>
    </row>
    <row r="734" spans="1:4" x14ac:dyDescent="0.2">
      <c r="A734" s="5">
        <v>673</v>
      </c>
      <c r="B734" s="138">
        <f>'Expenditures 15-22'!C53</f>
        <v>662180</v>
      </c>
      <c r="C734" s="2" t="s">
        <v>573</v>
      </c>
      <c r="D734" s="2" t="str">
        <f t="shared" si="10"/>
        <v>Error?</v>
      </c>
    </row>
    <row r="735" spans="1:4" x14ac:dyDescent="0.2">
      <c r="A735" s="5">
        <v>674</v>
      </c>
      <c r="B735" s="138">
        <f>'Expenditures 15-22'!C55</f>
        <v>1830170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1830170</v>
      </c>
      <c r="C737" s="2" t="s">
        <v>573</v>
      </c>
      <c r="D737" s="2" t="str">
        <f t="shared" si="10"/>
        <v>Error?</v>
      </c>
    </row>
    <row r="738" spans="1:4" x14ac:dyDescent="0.2">
      <c r="A738" s="5">
        <v>677</v>
      </c>
      <c r="B738" s="138">
        <f>'Expenditures 15-22'!C59</f>
        <v>566836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331443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898279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8188025</v>
      </c>
      <c r="C755" s="2" t="s">
        <v>573</v>
      </c>
      <c r="D755" s="2" t="str">
        <f t="shared" si="10"/>
        <v>Error?</v>
      </c>
    </row>
    <row r="756" spans="1:4" x14ac:dyDescent="0.2">
      <c r="A756" s="5">
        <v>695</v>
      </c>
      <c r="B756" s="138">
        <f>'Expenditures 15-22'!C75</f>
        <v>155977</v>
      </c>
      <c r="D756" s="2" t="str">
        <f t="shared" si="10"/>
        <v>Error?</v>
      </c>
    </row>
    <row r="757" spans="1:4" x14ac:dyDescent="0.2">
      <c r="A757" s="5">
        <v>696</v>
      </c>
      <c r="B757" s="138">
        <f>'Expenditures 15-22'!C114</f>
        <v>31990753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2642884</v>
      </c>
      <c r="D763" s="2" t="str">
        <f t="shared" si="10"/>
        <v>Error?</v>
      </c>
    </row>
    <row r="764" spans="1:4" x14ac:dyDescent="0.2">
      <c r="A764" s="5">
        <v>703</v>
      </c>
      <c r="B764" s="138">
        <f>'Expenditures 15-22'!D16</f>
        <v>124254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8249</v>
      </c>
      <c r="D776" s="2" t="str">
        <f t="shared" si="11"/>
        <v>Error?</v>
      </c>
    </row>
    <row r="777" spans="1:4" x14ac:dyDescent="0.2">
      <c r="A777" s="5">
        <v>716</v>
      </c>
      <c r="B777" s="138">
        <f>'Expenditures 15-22'!D15</f>
        <v>528</v>
      </c>
      <c r="D777" s="2" t="str">
        <f t="shared" si="11"/>
        <v>Error?</v>
      </c>
    </row>
    <row r="778" spans="1:4" x14ac:dyDescent="0.2">
      <c r="A778" s="5">
        <v>717</v>
      </c>
      <c r="B778" s="138">
        <f>'Expenditures 15-22'!D33</f>
        <v>4192374</v>
      </c>
      <c r="C778" s="2" t="s">
        <v>573</v>
      </c>
      <c r="D778" s="2" t="str">
        <f t="shared" si="11"/>
        <v>Error?</v>
      </c>
    </row>
    <row r="779" spans="1:4" x14ac:dyDescent="0.2">
      <c r="A779" s="5">
        <v>718</v>
      </c>
      <c r="B779" s="138">
        <f>'Expenditures 15-22'!D36</f>
        <v>106985</v>
      </c>
      <c r="D779" s="2" t="str">
        <f t="shared" si="11"/>
        <v>Error?</v>
      </c>
    </row>
    <row r="780" spans="1:4" x14ac:dyDescent="0.2">
      <c r="A780" s="5">
        <v>719</v>
      </c>
      <c r="B780" s="138">
        <f>'Expenditures 15-22'!D37</f>
        <v>48961</v>
      </c>
      <c r="D780" s="2" t="str">
        <f t="shared" si="11"/>
        <v>Error?</v>
      </c>
    </row>
    <row r="781" spans="1:4" x14ac:dyDescent="0.2">
      <c r="A781" s="5">
        <v>720</v>
      </c>
      <c r="B781" s="138">
        <f>'Expenditures 15-22'!D38</f>
        <v>81331</v>
      </c>
      <c r="D781" s="2" t="str">
        <f t="shared" si="11"/>
        <v>Error?</v>
      </c>
    </row>
    <row r="782" spans="1:4" x14ac:dyDescent="0.2">
      <c r="A782" s="5">
        <v>721</v>
      </c>
      <c r="B782" s="138">
        <f>'Expenditures 15-22'!D39</f>
        <v>32020</v>
      </c>
      <c r="D782" s="2" t="str">
        <f t="shared" si="11"/>
        <v>Error?</v>
      </c>
    </row>
    <row r="783" spans="1:4" x14ac:dyDescent="0.2">
      <c r="A783" s="5">
        <v>722</v>
      </c>
      <c r="B783" s="138">
        <f>'Expenditures 15-22'!D40</f>
        <v>134560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403857</v>
      </c>
      <c r="C785" s="2" t="s">
        <v>573</v>
      </c>
      <c r="D785" s="2" t="str">
        <f t="shared" si="11"/>
        <v>Error?</v>
      </c>
    </row>
    <row r="786" spans="1:4" x14ac:dyDescent="0.2">
      <c r="A786" s="5">
        <v>725</v>
      </c>
      <c r="B786" s="138">
        <f>'Expenditures 15-22'!D44</f>
        <v>144816</v>
      </c>
      <c r="D786" s="2" t="str">
        <f t="shared" si="11"/>
        <v>Error?</v>
      </c>
    </row>
    <row r="787" spans="1:4" x14ac:dyDescent="0.2">
      <c r="A787" s="5">
        <v>726</v>
      </c>
      <c r="B787" s="138">
        <f>'Expenditures 15-22'!D45</f>
        <v>154249</v>
      </c>
      <c r="D787" s="2" t="str">
        <f t="shared" si="11"/>
        <v>Error?</v>
      </c>
    </row>
    <row r="788" spans="1:4" x14ac:dyDescent="0.2">
      <c r="A788" s="5">
        <v>727</v>
      </c>
      <c r="B788" s="138">
        <f>'Expenditures 15-22'!D46</f>
        <v>80150</v>
      </c>
      <c r="D788" s="2" t="str">
        <f t="shared" si="11"/>
        <v>Error?</v>
      </c>
    </row>
    <row r="789" spans="1:4" x14ac:dyDescent="0.2">
      <c r="A789" s="5">
        <v>728</v>
      </c>
      <c r="B789" s="138">
        <f>'Expenditures 15-22'!D47</f>
        <v>379215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123657</v>
      </c>
      <c r="D791" s="2" t="str">
        <f t="shared" si="11"/>
        <v>Error?</v>
      </c>
    </row>
    <row r="792" spans="1:4" x14ac:dyDescent="0.2">
      <c r="A792" s="5">
        <v>731</v>
      </c>
      <c r="B792" s="138">
        <f>'Expenditures 15-22'!D53</f>
        <v>123657</v>
      </c>
      <c r="C792" s="2" t="s">
        <v>573</v>
      </c>
      <c r="D792" s="2" t="str">
        <f t="shared" si="11"/>
        <v>Error?</v>
      </c>
    </row>
    <row r="793" spans="1:4" x14ac:dyDescent="0.2">
      <c r="A793" s="5">
        <v>732</v>
      </c>
      <c r="B793" s="138">
        <f>'Expenditures 15-22'!D55</f>
        <v>552360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552360</v>
      </c>
      <c r="C795" s="2" t="s">
        <v>573</v>
      </c>
      <c r="D795" s="2" t="str">
        <f t="shared" si="11"/>
        <v>Error?</v>
      </c>
    </row>
    <row r="796" spans="1:4" x14ac:dyDescent="0.2">
      <c r="A796" s="5">
        <v>735</v>
      </c>
      <c r="B796" s="138">
        <f>'Expenditures 15-22'!D59</f>
        <v>103013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103798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1562887</v>
      </c>
      <c r="C813" s="2" t="s">
        <v>573</v>
      </c>
      <c r="D813" s="2" t="str">
        <f t="shared" si="11"/>
        <v>Error?</v>
      </c>
    </row>
    <row r="814" spans="1:4" x14ac:dyDescent="0.2">
      <c r="A814" s="5">
        <v>753</v>
      </c>
      <c r="B814" s="138">
        <f>'Expenditures 15-22'!D75</f>
        <v>24922</v>
      </c>
      <c r="D814" s="2" t="str">
        <f t="shared" si="11"/>
        <v>Error?</v>
      </c>
    </row>
    <row r="815" spans="1:4" x14ac:dyDescent="0.2">
      <c r="A815" s="5">
        <v>754</v>
      </c>
      <c r="B815" s="138">
        <f>'Expenditures 15-22'!D114</f>
        <v>5780183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169327</v>
      </c>
      <c r="D821" s="2" t="str">
        <f t="shared" si="11"/>
        <v>Error?</v>
      </c>
    </row>
    <row r="822" spans="1:4" x14ac:dyDescent="0.2">
      <c r="A822" s="5">
        <v>761</v>
      </c>
      <c r="B822" s="138">
        <f>'Expenditures 15-22'!E16</f>
        <v>260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15006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286571</v>
      </c>
      <c r="C836" s="2" t="s">
        <v>573</v>
      </c>
      <c r="D836" s="2" t="str">
        <f t="shared" si="12"/>
        <v>Error?</v>
      </c>
    </row>
    <row r="837" spans="1:4" x14ac:dyDescent="0.2">
      <c r="A837" s="5">
        <v>776</v>
      </c>
      <c r="B837" s="138">
        <f>'Expenditures 15-22'!E36</f>
        <v>2692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18140</v>
      </c>
      <c r="D840" s="2" t="str">
        <f t="shared" si="12"/>
        <v>Error?</v>
      </c>
    </row>
    <row r="841" spans="1:4" x14ac:dyDescent="0.2">
      <c r="A841" s="5">
        <v>780</v>
      </c>
      <c r="B841" s="138">
        <f>'Expenditures 15-22'!E40</f>
        <v>2227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23059</v>
      </c>
      <c r="C843" s="2" t="s">
        <v>573</v>
      </c>
      <c r="D843" s="2" t="str">
        <f t="shared" si="12"/>
        <v>Error?</v>
      </c>
    </row>
    <row r="844" spans="1:4" x14ac:dyDescent="0.2">
      <c r="A844" s="5">
        <v>783</v>
      </c>
      <c r="B844" s="138">
        <f>'Expenditures 15-22'!E44</f>
        <v>439442</v>
      </c>
      <c r="D844" s="2" t="str">
        <f t="shared" si="12"/>
        <v>Error?</v>
      </c>
    </row>
    <row r="845" spans="1:4" x14ac:dyDescent="0.2">
      <c r="A845" s="5">
        <v>784</v>
      </c>
      <c r="B845" s="138">
        <f>'Expenditures 15-22'!E45</f>
        <v>3472</v>
      </c>
      <c r="D845" s="2" t="str">
        <f t="shared" si="12"/>
        <v>Error?</v>
      </c>
    </row>
    <row r="846" spans="1:4" x14ac:dyDescent="0.2">
      <c r="A846" s="5">
        <v>785</v>
      </c>
      <c r="B846" s="138">
        <f>'Expenditures 15-22'!E46</f>
        <v>115525</v>
      </c>
      <c r="D846" s="2" t="str">
        <f t="shared" si="12"/>
        <v>Error?</v>
      </c>
    </row>
    <row r="847" spans="1:4" x14ac:dyDescent="0.2">
      <c r="A847" s="5">
        <v>786</v>
      </c>
      <c r="B847" s="138">
        <f>'Expenditures 15-22'!E47</f>
        <v>558439</v>
      </c>
      <c r="C847" s="2" t="s">
        <v>573</v>
      </c>
      <c r="D847" s="2" t="str">
        <f t="shared" si="12"/>
        <v>Error?</v>
      </c>
    </row>
    <row r="848" spans="1:4" x14ac:dyDescent="0.2">
      <c r="A848" s="5">
        <v>787</v>
      </c>
      <c r="B848" s="138">
        <f>'Expenditures 15-22'!E49</f>
        <v>759360</v>
      </c>
      <c r="D848" s="2" t="str">
        <f t="shared" si="12"/>
        <v>Error?</v>
      </c>
    </row>
    <row r="849" spans="1:4" x14ac:dyDescent="0.2">
      <c r="A849" s="5">
        <v>788</v>
      </c>
      <c r="B849" s="138">
        <f>'Expenditures 15-22'!E50</f>
        <v>196943</v>
      </c>
      <c r="D849" s="2" t="str">
        <f t="shared" si="12"/>
        <v>Error?</v>
      </c>
    </row>
    <row r="850" spans="1:4" x14ac:dyDescent="0.2">
      <c r="A850" s="5">
        <v>789</v>
      </c>
      <c r="B850" s="138">
        <f>'Expenditures 15-22'!E53</f>
        <v>956303</v>
      </c>
      <c r="C850" s="2" t="s">
        <v>573</v>
      </c>
      <c r="D850" s="2" t="str">
        <f t="shared" si="12"/>
        <v>Error?</v>
      </c>
    </row>
    <row r="851" spans="1:4" x14ac:dyDescent="0.2">
      <c r="A851" s="5">
        <v>790</v>
      </c>
      <c r="B851" s="138">
        <f>'Expenditures 15-22'!E55</f>
        <v>16782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16782</v>
      </c>
      <c r="C853" s="2" t="s">
        <v>573</v>
      </c>
      <c r="D853" s="2" t="str">
        <f t="shared" si="12"/>
        <v>Error?</v>
      </c>
    </row>
    <row r="854" spans="1:4" x14ac:dyDescent="0.2">
      <c r="A854" s="5">
        <v>793</v>
      </c>
      <c r="B854" s="138">
        <f>'Expenditures 15-22'!E59</f>
        <v>36992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30483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67475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1744366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31139</v>
      </c>
      <c r="D867" s="2" t="str">
        <f t="shared" si="12"/>
        <v>Error?</v>
      </c>
    </row>
    <row r="868" spans="1:4" x14ac:dyDescent="0.2">
      <c r="A868" s="10">
        <v>807</v>
      </c>
      <c r="D868" s="2" t="str">
        <f t="shared" si="12"/>
        <v>OK</v>
      </c>
    </row>
    <row r="869" spans="1:4" x14ac:dyDescent="0.2">
      <c r="A869" s="5">
        <v>808</v>
      </c>
      <c r="B869" s="138">
        <f>'Expenditures 15-22'!E72</f>
        <v>1775505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3397563</v>
      </c>
      <c r="C871" s="2" t="s">
        <v>573</v>
      </c>
      <c r="D871" s="2" t="str">
        <f t="shared" si="12"/>
        <v>Error?</v>
      </c>
    </row>
    <row r="872" spans="1:4" x14ac:dyDescent="0.2">
      <c r="A872" s="5">
        <v>811</v>
      </c>
      <c r="B872" s="138">
        <f>'Expenditures 15-22'!E75</f>
        <v>1297</v>
      </c>
      <c r="D872" s="2" t="str">
        <f t="shared" si="12"/>
        <v>Error?</v>
      </c>
    </row>
    <row r="873" spans="1:4" x14ac:dyDescent="0.2">
      <c r="A873" s="5">
        <v>812</v>
      </c>
      <c r="B873" s="138">
        <f>'Expenditures 15-22'!E114</f>
        <v>3904655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669279</v>
      </c>
      <c r="D879" s="2" t="str">
        <f t="shared" si="12"/>
        <v>Error?</v>
      </c>
    </row>
    <row r="880" spans="1:4" x14ac:dyDescent="0.2">
      <c r="A880" s="5">
        <v>819</v>
      </c>
      <c r="B880" s="138">
        <f>'Expenditures 15-22'!F16</f>
        <v>1810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860605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5939</v>
      </c>
      <c r="D897" s="2" t="str">
        <f t="shared" si="13"/>
        <v>Error?</v>
      </c>
    </row>
    <row r="898" spans="1:4" x14ac:dyDescent="0.2">
      <c r="A898" s="5">
        <v>837</v>
      </c>
      <c r="B898" s="138">
        <f>'Expenditures 15-22'!F39</f>
        <v>7896</v>
      </c>
      <c r="D898" s="2" t="str">
        <f t="shared" si="13"/>
        <v>Error?</v>
      </c>
    </row>
    <row r="899" spans="1:4" x14ac:dyDescent="0.2">
      <c r="A899" s="5">
        <v>838</v>
      </c>
      <c r="B899" s="138">
        <f>'Expenditures 15-22'!F40</f>
        <v>5329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19164</v>
      </c>
      <c r="C901" s="2" t="s">
        <v>573</v>
      </c>
      <c r="D901" s="2" t="str">
        <f t="shared" si="13"/>
        <v>Error?</v>
      </c>
    </row>
    <row r="902" spans="1:4" x14ac:dyDescent="0.2">
      <c r="A902" s="5">
        <v>841</v>
      </c>
      <c r="B902" s="138">
        <f>'Expenditures 15-22'!F44</f>
        <v>5472</v>
      </c>
      <c r="D902" s="2" t="str">
        <f t="shared" si="13"/>
        <v>Error?</v>
      </c>
    </row>
    <row r="903" spans="1:4" x14ac:dyDescent="0.2">
      <c r="A903" s="5">
        <v>842</v>
      </c>
      <c r="B903" s="138">
        <f>'Expenditures 15-22'!F45</f>
        <v>45074</v>
      </c>
      <c r="D903" s="2" t="str">
        <f t="shared" si="13"/>
        <v>Error?</v>
      </c>
    </row>
    <row r="904" spans="1:4" x14ac:dyDescent="0.2">
      <c r="A904" s="5">
        <v>843</v>
      </c>
      <c r="B904" s="138">
        <f>'Expenditures 15-22'!F46</f>
        <v>6312</v>
      </c>
      <c r="D904" s="2" t="str">
        <f t="shared" si="13"/>
        <v>Error?</v>
      </c>
    </row>
    <row r="905" spans="1:4" x14ac:dyDescent="0.2">
      <c r="A905" s="5">
        <v>844</v>
      </c>
      <c r="B905" s="138">
        <f>'Expenditures 15-22'!F47</f>
        <v>56858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14791</v>
      </c>
      <c r="D907" s="2" t="str">
        <f t="shared" si="13"/>
        <v>Error?</v>
      </c>
    </row>
    <row r="908" spans="1:4" x14ac:dyDescent="0.2">
      <c r="A908" s="5">
        <v>847</v>
      </c>
      <c r="B908" s="138">
        <f>'Expenditures 15-22'!F53</f>
        <v>14791</v>
      </c>
      <c r="C908" s="2" t="s">
        <v>573</v>
      </c>
      <c r="D908" s="2" t="str">
        <f t="shared" si="13"/>
        <v>Error?</v>
      </c>
    </row>
    <row r="909" spans="1:4" x14ac:dyDescent="0.2">
      <c r="A909" s="5">
        <v>848</v>
      </c>
      <c r="B909" s="138">
        <f>'Expenditures 15-22'!F55</f>
        <v>3291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3291</v>
      </c>
      <c r="C911" s="2" t="s">
        <v>573</v>
      </c>
      <c r="D911" s="2" t="str">
        <f t="shared" si="13"/>
        <v>Error?</v>
      </c>
    </row>
    <row r="912" spans="1:4" x14ac:dyDescent="0.2">
      <c r="A912" s="5">
        <v>851</v>
      </c>
      <c r="B912" s="138">
        <f>'Expenditures 15-22'!F59</f>
        <v>3790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623912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623912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721806</v>
      </c>
      <c r="C929" s="2" t="s">
        <v>573</v>
      </c>
      <c r="D929" s="2" t="str">
        <f t="shared" si="13"/>
        <v>Error?</v>
      </c>
    </row>
    <row r="930" spans="1:4" x14ac:dyDescent="0.2">
      <c r="A930" s="5">
        <v>869</v>
      </c>
      <c r="B930" s="138">
        <f>'Expenditures 15-22'!F75</f>
        <v>7661</v>
      </c>
      <c r="D930" s="2" t="str">
        <f t="shared" si="13"/>
        <v>Error?</v>
      </c>
    </row>
    <row r="931" spans="1:4" x14ac:dyDescent="0.2">
      <c r="A931" s="5">
        <v>870</v>
      </c>
      <c r="B931" s="138">
        <f>'Expenditures 15-22'!F114</f>
        <v>1590072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12902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21340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21340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34</v>
      </c>
      <c r="D965" s="2" t="str">
        <f t="shared" si="14"/>
        <v>Error?</v>
      </c>
    </row>
    <row r="966" spans="1:4" x14ac:dyDescent="0.2">
      <c r="A966" s="5">
        <v>905</v>
      </c>
      <c r="B966" s="138">
        <f>'Expenditures 15-22'!G53</f>
        <v>34</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1000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1160736</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1160736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1183110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1196012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106633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648</v>
      </c>
      <c r="D1046" s="2" t="str">
        <f t="shared" si="15"/>
        <v>Error?</v>
      </c>
    </row>
    <row r="1047" spans="1:4" x14ac:dyDescent="0.2">
      <c r="A1047" s="5">
        <v>986</v>
      </c>
      <c r="B1047" s="138">
        <f>'Expenditures 15-22'!H102</f>
        <v>72511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179792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20728130</v>
      </c>
      <c r="C1093" s="2" t="s">
        <v>573</v>
      </c>
      <c r="D1093" s="2" t="str">
        <f t="shared" si="16"/>
        <v>Error?</v>
      </c>
    </row>
    <row r="1094" spans="1:4" x14ac:dyDescent="0.2">
      <c r="A1094" s="5">
        <v>1033</v>
      </c>
      <c r="B1094" s="138">
        <f>'Expenditures 15-22'!K16</f>
        <v>827070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483125</v>
      </c>
      <c r="C1106" s="2" t="s">
        <v>573</v>
      </c>
      <c r="D1106" s="2" t="str">
        <f t="shared" si="16"/>
        <v>Error?</v>
      </c>
    </row>
    <row r="1107" spans="1:4" x14ac:dyDescent="0.2">
      <c r="A1107" s="5">
        <v>1046</v>
      </c>
      <c r="B1107" s="138">
        <f>'Expenditures 15-22'!K15</f>
        <v>75768</v>
      </c>
      <c r="C1107" s="2" t="s">
        <v>573</v>
      </c>
      <c r="D1107" s="2" t="str">
        <f t="shared" si="16"/>
        <v>Error?</v>
      </c>
    </row>
    <row r="1108" spans="1:4" x14ac:dyDescent="0.2">
      <c r="A1108" s="5">
        <v>1047</v>
      </c>
      <c r="B1108" s="138">
        <f>'Expenditures 15-22'!K33</f>
        <v>29105836</v>
      </c>
      <c r="C1108" s="2" t="s">
        <v>573</v>
      </c>
      <c r="D1108" s="2" t="str">
        <f t="shared" si="16"/>
        <v>Error?</v>
      </c>
    </row>
    <row r="1109" spans="1:4" x14ac:dyDescent="0.2">
      <c r="A1109" s="5">
        <v>1048</v>
      </c>
      <c r="B1109" s="138">
        <f>'Expenditures 15-22'!K36</f>
        <v>707652</v>
      </c>
      <c r="C1109" s="2" t="s">
        <v>573</v>
      </c>
      <c r="D1109" s="2" t="str">
        <f t="shared" si="16"/>
        <v>Error?</v>
      </c>
    </row>
    <row r="1110" spans="1:4" x14ac:dyDescent="0.2">
      <c r="A1110" s="5">
        <v>1049</v>
      </c>
      <c r="B1110" s="138">
        <f>'Expenditures 15-22'!K37</f>
        <v>395796</v>
      </c>
      <c r="C1110" s="2" t="s">
        <v>573</v>
      </c>
      <c r="D1110" s="2" t="str">
        <f t="shared" si="16"/>
        <v>Error?</v>
      </c>
    </row>
    <row r="1111" spans="1:4" x14ac:dyDescent="0.2">
      <c r="A1111" s="5">
        <v>1050</v>
      </c>
      <c r="B1111" s="138">
        <f>'Expenditures 15-22'!K38</f>
        <v>410199</v>
      </c>
      <c r="C1111" s="2" t="s">
        <v>573</v>
      </c>
      <c r="D1111" s="2" t="str">
        <f t="shared" si="16"/>
        <v>Error?</v>
      </c>
    </row>
    <row r="1112" spans="1:4" x14ac:dyDescent="0.2">
      <c r="A1112" s="5">
        <v>1051</v>
      </c>
      <c r="B1112" s="138">
        <f>'Expenditures 15-22'!K39</f>
        <v>291888</v>
      </c>
      <c r="C1112" s="2" t="s">
        <v>573</v>
      </c>
      <c r="D1112" s="2" t="str">
        <f t="shared" si="16"/>
        <v>Error?</v>
      </c>
    </row>
    <row r="1113" spans="1:4" x14ac:dyDescent="0.2">
      <c r="A1113" s="5">
        <v>1052</v>
      </c>
      <c r="B1113" s="138">
        <f>'Expenditures 15-22'!K40</f>
        <v>1087246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2892781</v>
      </c>
      <c r="C1115" s="2" t="s">
        <v>573</v>
      </c>
      <c r="D1115" s="2" t="str">
        <f t="shared" si="16"/>
        <v>Error?</v>
      </c>
    </row>
    <row r="1116" spans="1:4" x14ac:dyDescent="0.2">
      <c r="A1116" s="5">
        <v>1055</v>
      </c>
      <c r="B1116" s="138">
        <f>'Expenditures 15-22'!K44</f>
        <v>1814413</v>
      </c>
      <c r="C1116" s="2" t="s">
        <v>573</v>
      </c>
      <c r="D1116" s="2" t="str">
        <f t="shared" si="16"/>
        <v>Error?</v>
      </c>
    </row>
    <row r="1117" spans="1:4" x14ac:dyDescent="0.2">
      <c r="A1117" s="5">
        <v>1056</v>
      </c>
      <c r="B1117" s="138">
        <f>'Expenditures 15-22'!K45</f>
        <v>963391</v>
      </c>
      <c r="C1117" s="2" t="s">
        <v>573</v>
      </c>
      <c r="D1117" s="2" t="str">
        <f t="shared" si="16"/>
        <v>Error?</v>
      </c>
    </row>
    <row r="1118" spans="1:4" x14ac:dyDescent="0.2">
      <c r="A1118" s="5">
        <v>1057</v>
      </c>
      <c r="B1118" s="138">
        <f>'Expenditures 15-22'!K46</f>
        <v>588743</v>
      </c>
      <c r="C1118" s="2" t="s">
        <v>573</v>
      </c>
      <c r="D1118" s="2" t="str">
        <f t="shared" si="16"/>
        <v>Error?</v>
      </c>
    </row>
    <row r="1119" spans="1:4" x14ac:dyDescent="0.2">
      <c r="A1119" s="5">
        <v>1058</v>
      </c>
      <c r="B1119" s="138">
        <f>'Expenditures 15-22'!K47</f>
        <v>3366547</v>
      </c>
      <c r="C1119" s="2" t="s">
        <v>573</v>
      </c>
      <c r="D1119" s="2" t="str">
        <f t="shared" si="16"/>
        <v>Error?</v>
      </c>
    </row>
    <row r="1120" spans="1:4" x14ac:dyDescent="0.2">
      <c r="A1120" s="5">
        <v>1059</v>
      </c>
      <c r="B1120" s="138">
        <f>'Expenditures 15-22'!K49</f>
        <v>759360</v>
      </c>
      <c r="C1120" s="2" t="s">
        <v>573</v>
      </c>
      <c r="D1120" s="2" t="str">
        <f t="shared" si="16"/>
        <v>Error?</v>
      </c>
    </row>
    <row r="1121" spans="1:4" x14ac:dyDescent="0.2">
      <c r="A1121" s="5">
        <v>1060</v>
      </c>
      <c r="B1121" s="138">
        <f>'Expenditures 15-22'!K50</f>
        <v>997605</v>
      </c>
      <c r="C1121" s="2" t="s">
        <v>573</v>
      </c>
      <c r="D1121" s="2" t="str">
        <f t="shared" si="16"/>
        <v>Error?</v>
      </c>
    </row>
    <row r="1122" spans="1:4" x14ac:dyDescent="0.2">
      <c r="A1122" s="5">
        <v>1061</v>
      </c>
      <c r="B1122" s="138">
        <f>'Expenditures 15-22'!K53</f>
        <v>1756965</v>
      </c>
      <c r="C1122" s="2" t="s">
        <v>573</v>
      </c>
      <c r="D1122" s="2" t="str">
        <f t="shared" si="16"/>
        <v>Error?</v>
      </c>
    </row>
    <row r="1123" spans="1:4" x14ac:dyDescent="0.2">
      <c r="A1123" s="5">
        <v>1062</v>
      </c>
      <c r="B1123" s="138">
        <f>'Expenditures 15-22'!K55</f>
        <v>2402603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2402603</v>
      </c>
      <c r="C1125" s="2" t="s">
        <v>573</v>
      </c>
      <c r="D1125" s="2" t="str">
        <f t="shared" si="16"/>
        <v>Error?</v>
      </c>
    </row>
    <row r="1126" spans="1:4" x14ac:dyDescent="0.2">
      <c r="A1126" s="5">
        <v>1065</v>
      </c>
      <c r="B1126" s="138">
        <f>'Expenditures 15-22'!K59</f>
        <v>711631</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362711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1074342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3529014</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31139</v>
      </c>
      <c r="C1139" s="2" t="s">
        <v>573</v>
      </c>
      <c r="D1139" s="2" t="str">
        <f t="shared" si="16"/>
        <v>Error?</v>
      </c>
    </row>
    <row r="1140" spans="1:4" x14ac:dyDescent="0.2">
      <c r="A1140" s="10">
        <v>1079</v>
      </c>
      <c r="D1140" s="2" t="str">
        <f t="shared" si="16"/>
        <v>OK</v>
      </c>
    </row>
    <row r="1141" spans="1:4" x14ac:dyDescent="0.2">
      <c r="A1141" s="5">
        <v>1080</v>
      </c>
      <c r="B1141" s="138">
        <f>'Expenditures 15-22'!K72</f>
        <v>3560153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15053391</v>
      </c>
      <c r="C1143" s="2" t="s">
        <v>573</v>
      </c>
      <c r="D1143" s="2" t="str">
        <f t="shared" si="16"/>
        <v>Error?</v>
      </c>
    </row>
    <row r="1144" spans="1:4" x14ac:dyDescent="0.2">
      <c r="A1144" s="5">
        <v>1083</v>
      </c>
      <c r="B1144" s="138">
        <f>'Expenditures 15-22'!K75</f>
        <v>190505</v>
      </c>
      <c r="C1144" s="2" t="s">
        <v>573</v>
      </c>
      <c r="D1144" s="2" t="str">
        <f t="shared" si="16"/>
        <v>Error?</v>
      </c>
    </row>
    <row r="1145" spans="1:4" x14ac:dyDescent="0.2">
      <c r="A1145" s="5">
        <v>1084</v>
      </c>
      <c r="B1145" s="138">
        <f>'Expenditures 15-22'!K102</f>
        <v>291735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44641467</v>
      </c>
      <c r="C1152" s="2" t="s">
        <v>573</v>
      </c>
      <c r="D1152" s="2" t="str">
        <f t="shared" si="17"/>
        <v>Error?</v>
      </c>
    </row>
    <row r="1153" spans="1:4" x14ac:dyDescent="0.2">
      <c r="A1153" s="5">
        <v>1092</v>
      </c>
      <c r="B1153" s="138">
        <f>'Expenditures 15-22'!K115</f>
        <v>-394960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566758</v>
      </c>
      <c r="D1221" s="2" t="str">
        <f t="shared" si="18"/>
        <v>Error?</v>
      </c>
    </row>
    <row r="1222" spans="1:4" x14ac:dyDescent="0.2">
      <c r="A1222" s="10">
        <v>1161</v>
      </c>
      <c r="D1222" s="2" t="str">
        <f t="shared" si="18"/>
        <v>OK</v>
      </c>
    </row>
    <row r="1223" spans="1:4" x14ac:dyDescent="0.2">
      <c r="A1223" s="5">
        <v>1162</v>
      </c>
      <c r="B1223" s="138">
        <f>'Expenditures 15-22'!C127</f>
        <v>566758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566758</v>
      </c>
      <c r="C1225" s="2" t="s">
        <v>573</v>
      </c>
      <c r="D1225" s="2" t="str">
        <f t="shared" si="18"/>
        <v>Error?</v>
      </c>
    </row>
    <row r="1226" spans="1:4" x14ac:dyDescent="0.2">
      <c r="A1226" s="5">
        <v>1165</v>
      </c>
      <c r="B1226" s="138">
        <f>'Expenditures 15-22'!C151</f>
        <v>566758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104907</v>
      </c>
      <c r="D1229" s="2" t="str">
        <f t="shared" si="18"/>
        <v>Error?</v>
      </c>
    </row>
    <row r="1230" spans="1:4" x14ac:dyDescent="0.2">
      <c r="A1230" s="10">
        <v>1169</v>
      </c>
      <c r="D1230" s="2" t="str">
        <f t="shared" si="18"/>
        <v>OK</v>
      </c>
    </row>
    <row r="1231" spans="1:4" x14ac:dyDescent="0.2">
      <c r="A1231" s="5">
        <v>1170</v>
      </c>
      <c r="B1231" s="138">
        <f>'Expenditures 15-22'!D127</f>
        <v>104907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104907</v>
      </c>
      <c r="C1233" s="2" t="s">
        <v>573</v>
      </c>
      <c r="D1233" s="2" t="str">
        <f t="shared" si="18"/>
        <v>Error?</v>
      </c>
    </row>
    <row r="1234" spans="1:4" x14ac:dyDescent="0.2">
      <c r="A1234" s="5">
        <v>1173</v>
      </c>
      <c r="B1234" s="138">
        <f>'Expenditures 15-22'!D151</f>
        <v>104907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1842485</v>
      </c>
      <c r="D1237" s="2" t="str">
        <f t="shared" si="18"/>
        <v>Error?</v>
      </c>
    </row>
    <row r="1238" spans="1:4" x14ac:dyDescent="0.2">
      <c r="A1238" s="10">
        <v>1177</v>
      </c>
      <c r="D1238" s="2" t="str">
        <f t="shared" si="18"/>
        <v>OK</v>
      </c>
    </row>
    <row r="1239" spans="1:4" x14ac:dyDescent="0.2">
      <c r="A1239" s="5">
        <v>1178</v>
      </c>
      <c r="B1239" s="138">
        <f>'Expenditures 15-22'!E127</f>
        <v>1842485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1842485</v>
      </c>
      <c r="C1241" s="2" t="s">
        <v>573</v>
      </c>
      <c r="D1241" s="2" t="str">
        <f t="shared" si="18"/>
        <v>Error?</v>
      </c>
    </row>
    <row r="1242" spans="1:4" x14ac:dyDescent="0.2">
      <c r="A1242" s="5">
        <v>1181</v>
      </c>
      <c r="B1242" s="138">
        <f>'Expenditures 15-22'!E151</f>
        <v>1842485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806922</v>
      </c>
      <c r="D1245" s="2" t="str">
        <f t="shared" si="18"/>
        <v>Error?</v>
      </c>
    </row>
    <row r="1246" spans="1:4" x14ac:dyDescent="0.2">
      <c r="A1246" s="10">
        <v>1185</v>
      </c>
      <c r="D1246" s="2" t="str">
        <f t="shared" si="18"/>
        <v>OK</v>
      </c>
    </row>
    <row r="1247" spans="1:4" x14ac:dyDescent="0.2">
      <c r="A1247" s="5">
        <v>1186</v>
      </c>
      <c r="B1247" s="138">
        <f>'Expenditures 15-22'!F127</f>
        <v>806922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806922</v>
      </c>
      <c r="C1249" s="2" t="s">
        <v>573</v>
      </c>
      <c r="D1249" s="2" t="str">
        <f t="shared" si="18"/>
        <v>Error?</v>
      </c>
    </row>
    <row r="1250" spans="1:4" x14ac:dyDescent="0.2">
      <c r="A1250" s="5">
        <v>1189</v>
      </c>
      <c r="B1250" s="138">
        <f>'Expenditures 15-22'!F151</f>
        <v>806922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2317669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2317669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2317669</v>
      </c>
      <c r="C1258" s="2" t="s">
        <v>573</v>
      </c>
      <c r="D1258" s="2" t="str">
        <f t="shared" si="18"/>
        <v>Error?</v>
      </c>
    </row>
    <row r="1259" spans="1:4" x14ac:dyDescent="0.2">
      <c r="A1259" s="5">
        <v>1198</v>
      </c>
      <c r="B1259" s="138">
        <f>'Expenditures 15-22'!G151</f>
        <v>2317669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5638741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5638741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5638741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5638741</v>
      </c>
      <c r="C1288" s="2" t="s">
        <v>573</v>
      </c>
      <c r="D1288" s="2" t="str">
        <f t="shared" si="19"/>
        <v>Error?</v>
      </c>
    </row>
    <row r="1289" spans="1:4" x14ac:dyDescent="0.2">
      <c r="A1289" s="5">
        <v>1228</v>
      </c>
      <c r="B1289" s="138">
        <f>'Expenditures 15-22'!K152</f>
        <v>880646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756577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440000</v>
      </c>
      <c r="D1315" s="2" t="str">
        <f t="shared" si="19"/>
        <v>Error?</v>
      </c>
    </row>
    <row r="1316" spans="1:4" x14ac:dyDescent="0.2">
      <c r="A1316" s="5">
        <v>1255</v>
      </c>
      <c r="B1316" s="138">
        <f>'Expenditures 15-22'!H171</f>
        <v>2251</v>
      </c>
      <c r="D1316" s="2" t="str">
        <f t="shared" si="19"/>
        <v>Error?</v>
      </c>
    </row>
    <row r="1317" spans="1:4" x14ac:dyDescent="0.2">
      <c r="A1317" s="5">
        <v>1256</v>
      </c>
      <c r="B1317" s="138">
        <f>'Expenditures 15-22'!H172</f>
        <v>1198828</v>
      </c>
      <c r="C1317" s="2" t="s">
        <v>573</v>
      </c>
      <c r="D1317" s="2" t="str">
        <f t="shared" si="19"/>
        <v>Error?</v>
      </c>
    </row>
    <row r="1318" spans="1:4" x14ac:dyDescent="0.2">
      <c r="A1318" s="5">
        <v>1257</v>
      </c>
      <c r="B1318" s="138">
        <f>'Expenditures 15-22'!H174</f>
        <v>1198828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756577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440000</v>
      </c>
      <c r="C1329" s="2" t="s">
        <v>573</v>
      </c>
      <c r="D1329" s="2" t="str">
        <f t="shared" si="19"/>
        <v>Error?</v>
      </c>
    </row>
    <row r="1330" spans="1:4" x14ac:dyDescent="0.2">
      <c r="A1330" s="5">
        <v>1269</v>
      </c>
      <c r="B1330" s="138">
        <f>'Expenditures 15-22'!K171</f>
        <v>2251</v>
      </c>
      <c r="C1330" s="2" t="s">
        <v>573</v>
      </c>
      <c r="D1330" s="2" t="str">
        <f t="shared" si="19"/>
        <v>Error?</v>
      </c>
    </row>
    <row r="1331" spans="1:4" x14ac:dyDescent="0.2">
      <c r="A1331" s="5">
        <v>1270</v>
      </c>
      <c r="B1331" s="138">
        <f>'Expenditures 15-22'!K172</f>
        <v>1198828</v>
      </c>
      <c r="C1331" s="2" t="s">
        <v>573</v>
      </c>
      <c r="D1331" s="2" t="str">
        <f t="shared" si="19"/>
        <v>Error?</v>
      </c>
    </row>
    <row r="1332" spans="1:4" x14ac:dyDescent="0.2">
      <c r="A1332" s="5">
        <v>1271</v>
      </c>
      <c r="B1332" s="138">
        <f>'Expenditures 15-22'!K174</f>
        <v>1198828</v>
      </c>
      <c r="C1332" s="2" t="s">
        <v>573</v>
      </c>
      <c r="D1332" s="2" t="str">
        <f t="shared" si="19"/>
        <v>Error?</v>
      </c>
    </row>
    <row r="1333" spans="1:4" x14ac:dyDescent="0.2">
      <c r="A1333" s="5">
        <v>1272</v>
      </c>
      <c r="B1333" s="138">
        <f>'Expenditures 15-22'!K175</f>
        <v>-70412</v>
      </c>
      <c r="C1333" s="2" t="s">
        <v>573</v>
      </c>
      <c r="D1333" s="2" t="str">
        <f t="shared" si="19"/>
        <v>Error?</v>
      </c>
    </row>
    <row r="1334" spans="1:4" x14ac:dyDescent="0.2">
      <c r="A1334" s="10">
        <v>1273</v>
      </c>
      <c r="D1334" s="2" t="str">
        <f t="shared" si="19"/>
        <v>OK</v>
      </c>
    </row>
    <row r="1335" spans="1:4" x14ac:dyDescent="0.2">
      <c r="A1335" s="5">
        <v>1274</v>
      </c>
      <c r="B1335" s="138">
        <f>'Expenditures 15-22'!C182</f>
        <v>49001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49001</v>
      </c>
      <c r="C1339" s="2" t="s">
        <v>573</v>
      </c>
      <c r="D1339" s="2" t="str">
        <f t="shared" si="19"/>
        <v>Error?</v>
      </c>
    </row>
    <row r="1340" spans="1:4" x14ac:dyDescent="0.2">
      <c r="A1340" s="5">
        <v>1279</v>
      </c>
      <c r="B1340" s="138">
        <f>'Expenditures 15-22'!C210</f>
        <v>49001</v>
      </c>
      <c r="C1340" s="2" t="s">
        <v>573</v>
      </c>
      <c r="D1340" s="2" t="str">
        <f t="shared" si="19"/>
        <v>Error?</v>
      </c>
    </row>
    <row r="1341" spans="1:4" x14ac:dyDescent="0.2">
      <c r="A1341" s="5">
        <v>1280</v>
      </c>
      <c r="B1341" s="138">
        <f>'Expenditures 15-22'!D182</f>
        <v>8738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8738</v>
      </c>
      <c r="C1345" s="2" t="s">
        <v>573</v>
      </c>
      <c r="D1345" s="2" t="str">
        <f t="shared" si="20"/>
        <v>Error?</v>
      </c>
    </row>
    <row r="1346" spans="1:4" x14ac:dyDescent="0.2">
      <c r="A1346" s="5">
        <v>1285</v>
      </c>
      <c r="B1346" s="138">
        <f>'Expenditures 15-22'!D210</f>
        <v>8738</v>
      </c>
      <c r="C1346" s="2" t="s">
        <v>573</v>
      </c>
      <c r="D1346" s="2" t="str">
        <f t="shared" si="20"/>
        <v>Error?</v>
      </c>
    </row>
    <row r="1347" spans="1:4" x14ac:dyDescent="0.2">
      <c r="A1347" s="5">
        <v>1286</v>
      </c>
      <c r="B1347" s="138">
        <f>'Expenditures 15-22'!E182</f>
        <v>1366578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1366578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1366578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1424317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1424317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1424317</v>
      </c>
      <c r="C1388" s="2" t="s">
        <v>573</v>
      </c>
      <c r="D1388" s="2" t="str">
        <f t="shared" si="20"/>
        <v>Error?</v>
      </c>
    </row>
    <row r="1389" spans="1:4" x14ac:dyDescent="0.2">
      <c r="A1389" s="5">
        <v>1328</v>
      </c>
      <c r="B1389" s="138">
        <f>'Expenditures 15-22'!K211</f>
        <v>256229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9703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21593</v>
      </c>
      <c r="D1408" s="2" t="str">
        <f t="shared" si="21"/>
        <v>Error?</v>
      </c>
    </row>
    <row r="1409" spans="1:4" x14ac:dyDescent="0.2">
      <c r="A1409" s="5">
        <v>1348</v>
      </c>
      <c r="B1409" s="138">
        <f>'Expenditures 15-22'!D224</f>
        <v>5451</v>
      </c>
      <c r="D1409" s="2" t="str">
        <f t="shared" si="21"/>
        <v>Error?</v>
      </c>
    </row>
    <row r="1410" spans="1:4" x14ac:dyDescent="0.2">
      <c r="A1410" s="5">
        <v>1349</v>
      </c>
      <c r="B1410" s="138">
        <f>'Expenditures 15-22'!D229</f>
        <v>785220</v>
      </c>
      <c r="C1410" s="2" t="s">
        <v>573</v>
      </c>
      <c r="D1410" s="2" t="str">
        <f t="shared" si="21"/>
        <v>Error?</v>
      </c>
    </row>
    <row r="1411" spans="1:4" x14ac:dyDescent="0.2">
      <c r="A1411" s="5">
        <v>1350</v>
      </c>
      <c r="B1411" s="138">
        <f>'Expenditures 15-22'!D232</f>
        <v>8189</v>
      </c>
      <c r="D1411" s="2" t="str">
        <f t="shared" si="21"/>
        <v>Error?</v>
      </c>
    </row>
    <row r="1412" spans="1:4" x14ac:dyDescent="0.2">
      <c r="A1412" s="5">
        <v>1351</v>
      </c>
      <c r="B1412" s="138">
        <f>'Expenditures 15-22'!D233</f>
        <v>4934</v>
      </c>
      <c r="D1412" s="2" t="str">
        <f t="shared" si="21"/>
        <v>Error?</v>
      </c>
    </row>
    <row r="1413" spans="1:4" x14ac:dyDescent="0.2">
      <c r="A1413" s="5">
        <v>1352</v>
      </c>
      <c r="B1413" s="138">
        <f>'Expenditures 15-22'!D234</f>
        <v>38963</v>
      </c>
      <c r="D1413" s="2" t="str">
        <f t="shared" si="21"/>
        <v>Error?</v>
      </c>
    </row>
    <row r="1414" spans="1:4" x14ac:dyDescent="0.2">
      <c r="A1414" s="5">
        <v>1353</v>
      </c>
      <c r="B1414" s="138">
        <f>'Expenditures 15-22'!D235</f>
        <v>7652</v>
      </c>
      <c r="D1414" s="2" t="str">
        <f t="shared" si="21"/>
        <v>Error?</v>
      </c>
    </row>
    <row r="1415" spans="1:4" x14ac:dyDescent="0.2">
      <c r="A1415" s="5">
        <v>1354</v>
      </c>
      <c r="B1415" s="138">
        <f>'Expenditures 15-22'!D236</f>
        <v>11565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71303</v>
      </c>
      <c r="C1417" s="2" t="s">
        <v>573</v>
      </c>
      <c r="D1417" s="2" t="str">
        <f t="shared" si="21"/>
        <v>Error?</v>
      </c>
    </row>
    <row r="1418" spans="1:4" x14ac:dyDescent="0.2">
      <c r="A1418" s="5">
        <v>1357</v>
      </c>
      <c r="B1418" s="138">
        <f>'Expenditures 15-22'!D240</f>
        <v>18020</v>
      </c>
      <c r="D1418" s="2" t="str">
        <f t="shared" si="21"/>
        <v>Error?</v>
      </c>
    </row>
    <row r="1419" spans="1:4" x14ac:dyDescent="0.2">
      <c r="A1419" s="5">
        <v>1358</v>
      </c>
      <c r="B1419" s="138">
        <f>'Expenditures 15-22'!D241</f>
        <v>61716</v>
      </c>
      <c r="D1419" s="2" t="str">
        <f t="shared" si="21"/>
        <v>Error?</v>
      </c>
    </row>
    <row r="1420" spans="1:4" x14ac:dyDescent="0.2">
      <c r="A1420" s="5">
        <v>1359</v>
      </c>
      <c r="B1420" s="138">
        <f>'Expenditures 15-22'!D242</f>
        <v>38042</v>
      </c>
      <c r="D1420" s="2" t="str">
        <f t="shared" si="21"/>
        <v>Error?</v>
      </c>
    </row>
    <row r="1421" spans="1:4" x14ac:dyDescent="0.2">
      <c r="A1421" s="5">
        <v>1360</v>
      </c>
      <c r="B1421" s="138">
        <f>'Expenditures 15-22'!D243</f>
        <v>117778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38907</v>
      </c>
      <c r="D1423" s="2" t="str">
        <f t="shared" si="21"/>
        <v>Error?</v>
      </c>
    </row>
    <row r="1424" spans="1:4" x14ac:dyDescent="0.2">
      <c r="A1424" s="5">
        <v>1363</v>
      </c>
      <c r="B1424" s="138">
        <f>'Expenditures 15-22'!D257</f>
        <v>38907</v>
      </c>
      <c r="C1424" s="2" t="s">
        <v>573</v>
      </c>
      <c r="D1424" s="2" t="str">
        <f t="shared" si="21"/>
        <v>Error?</v>
      </c>
    </row>
    <row r="1425" spans="1:4" x14ac:dyDescent="0.2">
      <c r="A1425" s="5">
        <v>1364</v>
      </c>
      <c r="B1425" s="138">
        <f>'Expenditures 15-22'!D259</f>
        <v>94151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94151</v>
      </c>
      <c r="C1427" s="2" t="s">
        <v>573</v>
      </c>
      <c r="D1427" s="2" t="str">
        <f t="shared" si="21"/>
        <v>Error?</v>
      </c>
    </row>
    <row r="1428" spans="1:4" x14ac:dyDescent="0.2">
      <c r="A1428" s="5">
        <v>1367</v>
      </c>
      <c r="B1428" s="138">
        <f>'Expenditures 15-22'!D263</f>
        <v>33430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80374</v>
      </c>
      <c r="D1431" s="2" t="str">
        <f t="shared" si="21"/>
        <v>Error?</v>
      </c>
    </row>
    <row r="1432" spans="1:4" x14ac:dyDescent="0.2">
      <c r="A1432" s="5">
        <v>1371</v>
      </c>
      <c r="B1432" s="138">
        <f>'Expenditures 15-22'!D267</f>
        <v>9202</v>
      </c>
      <c r="D1432" s="2" t="str">
        <f t="shared" si="21"/>
        <v>Error?</v>
      </c>
    </row>
    <row r="1433" spans="1:4" x14ac:dyDescent="0.2">
      <c r="A1433" s="5">
        <v>1372</v>
      </c>
      <c r="B1433" s="138">
        <f>'Expenditures 15-22'!D268</f>
        <v>27922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150928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473067</v>
      </c>
      <c r="C1446" s="2" t="s">
        <v>573</v>
      </c>
      <c r="D1446" s="2" t="str">
        <f t="shared" si="21"/>
        <v>Error?</v>
      </c>
    </row>
    <row r="1447" spans="1:4" x14ac:dyDescent="0.2">
      <c r="A1447" s="5">
        <v>1386</v>
      </c>
      <c r="B1447" s="138">
        <f>'Expenditures 15-22'!D280</f>
        <v>20612</v>
      </c>
      <c r="D1447" s="2" t="str">
        <f t="shared" si="21"/>
        <v>Error?</v>
      </c>
    </row>
    <row r="1448" spans="1:4" x14ac:dyDescent="0.2">
      <c r="A1448" s="5">
        <v>1387</v>
      </c>
      <c r="B1448" s="138">
        <f>'Expenditures 15-22'!D295</f>
        <v>1278899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9703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21593</v>
      </c>
      <c r="C1472" s="2" t="s">
        <v>573</v>
      </c>
      <c r="D1472" s="2" t="str">
        <f t="shared" si="22"/>
        <v>Error?</v>
      </c>
    </row>
    <row r="1473" spans="1:4" x14ac:dyDescent="0.2">
      <c r="A1473" s="5">
        <v>1412</v>
      </c>
      <c r="B1473" s="138">
        <f>'Expenditures 15-22'!K224</f>
        <v>5451</v>
      </c>
      <c r="C1473" s="2" t="s">
        <v>573</v>
      </c>
      <c r="D1473" s="2" t="str">
        <f t="shared" si="22"/>
        <v>Error?</v>
      </c>
    </row>
    <row r="1474" spans="1:4" x14ac:dyDescent="0.2">
      <c r="A1474" s="5">
        <v>1413</v>
      </c>
      <c r="B1474" s="138">
        <f>'Expenditures 15-22'!K229</f>
        <v>785220</v>
      </c>
      <c r="C1474" s="2" t="s">
        <v>573</v>
      </c>
      <c r="D1474" s="2" t="str">
        <f t="shared" si="22"/>
        <v>Error?</v>
      </c>
    </row>
    <row r="1475" spans="1:4" x14ac:dyDescent="0.2">
      <c r="A1475" s="5">
        <v>1414</v>
      </c>
      <c r="B1475" s="138">
        <f>'Expenditures 15-22'!K232</f>
        <v>8189</v>
      </c>
      <c r="C1475" s="2" t="s">
        <v>573</v>
      </c>
      <c r="D1475" s="2" t="str">
        <f t="shared" si="22"/>
        <v>Error?</v>
      </c>
    </row>
    <row r="1476" spans="1:4" x14ac:dyDescent="0.2">
      <c r="A1476" s="5">
        <v>1415</v>
      </c>
      <c r="B1476" s="138">
        <f>'Expenditures 15-22'!K233</f>
        <v>4934</v>
      </c>
      <c r="C1476" s="2" t="s">
        <v>573</v>
      </c>
      <c r="D1476" s="2" t="str">
        <f t="shared" si="22"/>
        <v>Error?</v>
      </c>
    </row>
    <row r="1477" spans="1:4" x14ac:dyDescent="0.2">
      <c r="A1477" s="5">
        <v>1416</v>
      </c>
      <c r="B1477" s="138">
        <f>'Expenditures 15-22'!K234</f>
        <v>38963</v>
      </c>
      <c r="C1477" s="2" t="s">
        <v>573</v>
      </c>
      <c r="D1477" s="2" t="str">
        <f t="shared" si="22"/>
        <v>Error?</v>
      </c>
    </row>
    <row r="1478" spans="1:4" x14ac:dyDescent="0.2">
      <c r="A1478" s="5">
        <v>1417</v>
      </c>
      <c r="B1478" s="138">
        <f>'Expenditures 15-22'!K235</f>
        <v>7652</v>
      </c>
      <c r="C1478" s="2" t="s">
        <v>573</v>
      </c>
      <c r="D1478" s="2" t="str">
        <f t="shared" si="22"/>
        <v>Error?</v>
      </c>
    </row>
    <row r="1479" spans="1:4" x14ac:dyDescent="0.2">
      <c r="A1479" s="5">
        <v>1418</v>
      </c>
      <c r="B1479" s="138">
        <f>'Expenditures 15-22'!K236</f>
        <v>11565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71303</v>
      </c>
      <c r="C1481" s="2" t="s">
        <v>573</v>
      </c>
      <c r="D1481" s="2" t="str">
        <f t="shared" si="22"/>
        <v>Error?</v>
      </c>
    </row>
    <row r="1482" spans="1:4" x14ac:dyDescent="0.2">
      <c r="A1482" s="5">
        <v>1421</v>
      </c>
      <c r="B1482" s="138">
        <f>'Expenditures 15-22'!K240</f>
        <v>18020</v>
      </c>
      <c r="C1482" s="2" t="s">
        <v>573</v>
      </c>
      <c r="D1482" s="2" t="str">
        <f t="shared" si="22"/>
        <v>Error?</v>
      </c>
    </row>
    <row r="1483" spans="1:4" x14ac:dyDescent="0.2">
      <c r="A1483" s="5">
        <v>1422</v>
      </c>
      <c r="B1483" s="138">
        <f>'Expenditures 15-22'!K241</f>
        <v>61716</v>
      </c>
      <c r="C1483" s="2" t="s">
        <v>573</v>
      </c>
      <c r="D1483" s="2" t="str">
        <f t="shared" si="22"/>
        <v>Error?</v>
      </c>
    </row>
    <row r="1484" spans="1:4" x14ac:dyDescent="0.2">
      <c r="A1484" s="5">
        <v>1423</v>
      </c>
      <c r="B1484" s="138">
        <f>'Expenditures 15-22'!K242</f>
        <v>38042</v>
      </c>
      <c r="C1484" s="2" t="s">
        <v>573</v>
      </c>
      <c r="D1484" s="2" t="str">
        <f t="shared" si="22"/>
        <v>Error?</v>
      </c>
    </row>
    <row r="1485" spans="1:4" x14ac:dyDescent="0.2">
      <c r="A1485" s="5">
        <v>1424</v>
      </c>
      <c r="B1485" s="138">
        <f>'Expenditures 15-22'!K243</f>
        <v>117778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38907</v>
      </c>
      <c r="C1487" s="2" t="s">
        <v>573</v>
      </c>
      <c r="D1487" s="2" t="str">
        <f t="shared" si="22"/>
        <v>Error?</v>
      </c>
    </row>
    <row r="1488" spans="1:4" x14ac:dyDescent="0.2">
      <c r="A1488" s="5">
        <v>1427</v>
      </c>
      <c r="B1488" s="138">
        <f>'Expenditures 15-22'!K257</f>
        <v>38907</v>
      </c>
      <c r="C1488" s="2" t="s">
        <v>573</v>
      </c>
      <c r="D1488" s="2" t="str">
        <f t="shared" si="22"/>
        <v>Error?</v>
      </c>
    </row>
    <row r="1489" spans="1:4" x14ac:dyDescent="0.2">
      <c r="A1489" s="5">
        <v>1428</v>
      </c>
      <c r="B1489" s="138">
        <f>'Expenditures 15-22'!K259</f>
        <v>94151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94151</v>
      </c>
      <c r="C1491" s="2" t="s">
        <v>573</v>
      </c>
      <c r="D1491" s="2" t="str">
        <f t="shared" si="22"/>
        <v>Error?</v>
      </c>
    </row>
    <row r="1492" spans="1:4" x14ac:dyDescent="0.2">
      <c r="A1492" s="5">
        <v>1431</v>
      </c>
      <c r="B1492" s="138">
        <f>'Expenditures 15-22'!K263</f>
        <v>33430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80374</v>
      </c>
      <c r="C1495" s="2" t="s">
        <v>573</v>
      </c>
      <c r="D1495" s="2" t="str">
        <f t="shared" si="22"/>
        <v>Error?</v>
      </c>
    </row>
    <row r="1496" spans="1:4" x14ac:dyDescent="0.2">
      <c r="A1496" s="5">
        <v>1435</v>
      </c>
      <c r="B1496" s="138">
        <f>'Expenditures 15-22'!K267</f>
        <v>9202</v>
      </c>
      <c r="C1496" s="2" t="s">
        <v>573</v>
      </c>
      <c r="D1496" s="2" t="str">
        <f t="shared" si="22"/>
        <v>Error?</v>
      </c>
    </row>
    <row r="1497" spans="1:4" x14ac:dyDescent="0.2">
      <c r="A1497" s="5">
        <v>1436</v>
      </c>
      <c r="B1497" s="138">
        <f>'Expenditures 15-22'!K268</f>
        <v>27922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150928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473067</v>
      </c>
      <c r="C1510" s="2" t="s">
        <v>573</v>
      </c>
      <c r="D1510" s="2" t="str">
        <f t="shared" si="22"/>
        <v>Error?</v>
      </c>
    </row>
    <row r="1511" spans="1:4" x14ac:dyDescent="0.2">
      <c r="A1511" s="5">
        <v>1450</v>
      </c>
      <c r="B1511" s="138">
        <f>'Expenditures 15-22'!K280</f>
        <v>20612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1278899</v>
      </c>
      <c r="C1517" s="2" t="s">
        <v>573</v>
      </c>
      <c r="D1517" s="2" t="str">
        <f t="shared" si="22"/>
        <v>Error?</v>
      </c>
    </row>
    <row r="1518" spans="1:4" x14ac:dyDescent="0.2">
      <c r="A1518" s="5">
        <v>1457</v>
      </c>
      <c r="B1518" s="138">
        <f>'Expenditures 15-22'!K296</f>
        <v>-45205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5500108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5500108</v>
      </c>
      <c r="C1547" s="2" t="s">
        <v>573</v>
      </c>
      <c r="D1547" s="2" t="str">
        <f t="shared" si="23"/>
        <v>Error?</v>
      </c>
    </row>
    <row r="1548" spans="1:4" x14ac:dyDescent="0.2">
      <c r="A1548" s="5">
        <v>1487</v>
      </c>
      <c r="B1548" s="138">
        <f>'Expenditures 15-22'!G312</f>
        <v>5500108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5500108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5500108</v>
      </c>
      <c r="C1559" s="2" t="s">
        <v>573</v>
      </c>
      <c r="D1559" s="2" t="str">
        <f t="shared" si="23"/>
        <v>Error?</v>
      </c>
    </row>
    <row r="1560" spans="1:4" x14ac:dyDescent="0.2">
      <c r="A1560" s="5">
        <v>1499</v>
      </c>
      <c r="B1560" s="138">
        <f>'Expenditures 15-22'!K312</f>
        <v>5500108</v>
      </c>
      <c r="C1560" s="2" t="s">
        <v>573</v>
      </c>
      <c r="D1560" s="2" t="str">
        <f t="shared" si="23"/>
        <v>Error?</v>
      </c>
    </row>
    <row r="1561" spans="1:4" x14ac:dyDescent="0.2">
      <c r="A1561" s="5">
        <v>1500</v>
      </c>
      <c r="B1561" s="138">
        <f>'Expenditures 15-22'!K313</f>
        <v>-3136745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13080993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12695294</v>
      </c>
      <c r="C1630" s="2" t="s">
        <v>573</v>
      </c>
      <c r="D1630" s="2" t="str">
        <f t="shared" si="24"/>
        <v>Error?</v>
      </c>
    </row>
    <row r="1631" spans="1:4" x14ac:dyDescent="0.2">
      <c r="A1631" s="5">
        <v>1570</v>
      </c>
      <c r="B1631" s="138">
        <f>'Acct Summary 7-8'!D79</f>
        <v>1180059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1985045</v>
      </c>
      <c r="C1644" s="2" t="s">
        <v>573</v>
      </c>
      <c r="D1644" s="2" t="str">
        <f t="shared" si="24"/>
        <v>Error?</v>
      </c>
    </row>
    <row r="1645" spans="1:4" x14ac:dyDescent="0.2">
      <c r="A1645" s="5">
        <v>1584</v>
      </c>
      <c r="B1645" s="138">
        <f>'Acct Summary 7-8'!E79</f>
        <v>874595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879843</v>
      </c>
      <c r="C1658" s="2" t="s">
        <v>573</v>
      </c>
      <c r="D1658" s="2" t="str">
        <f t="shared" si="24"/>
        <v>Error?</v>
      </c>
    </row>
    <row r="1659" spans="1:4" x14ac:dyDescent="0.2">
      <c r="A1659" s="5">
        <v>1598</v>
      </c>
      <c r="B1659" s="138">
        <f>'Acct Summary 7-8'!F79</f>
        <v>1638568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1894797</v>
      </c>
      <c r="C1672" s="2" t="s">
        <v>573</v>
      </c>
      <c r="D1672" s="2" t="str">
        <f t="shared" si="25"/>
        <v>Error?</v>
      </c>
    </row>
    <row r="1673" spans="1:4" x14ac:dyDescent="0.2">
      <c r="A1673" s="5">
        <v>1612</v>
      </c>
      <c r="B1673" s="138">
        <f>'Acct Summary 7-8'!G79</f>
        <v>921201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875996</v>
      </c>
      <c r="C1686" s="2" t="s">
        <v>573</v>
      </c>
      <c r="D1686" s="2" t="str">
        <f t="shared" si="25"/>
        <v>Error?</v>
      </c>
    </row>
    <row r="1687" spans="1:4" x14ac:dyDescent="0.2">
      <c r="A1687" s="5">
        <v>1626</v>
      </c>
      <c r="B1687" s="138">
        <f>'Acct Summary 7-8'!H79</f>
        <v>10250750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7114005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41163790</v>
      </c>
      <c r="C1744" s="2" t="s">
        <v>573</v>
      </c>
      <c r="D1744" s="2" t="str">
        <f t="shared" si="26"/>
        <v>Error?</v>
      </c>
    </row>
    <row r="1745" spans="1:5" x14ac:dyDescent="0.2">
      <c r="A1745" s="5">
        <v>1684</v>
      </c>
      <c r="B1745" s="138">
        <f>'Tax Sched 23'!B5</f>
        <v>6447642</v>
      </c>
      <c r="C1745" s="2" t="s">
        <v>573</v>
      </c>
      <c r="D1745" s="2" t="str">
        <f t="shared" si="26"/>
        <v>Error?</v>
      </c>
    </row>
    <row r="1746" spans="1:5" x14ac:dyDescent="0.2">
      <c r="A1746" s="5">
        <v>1685</v>
      </c>
      <c r="B1746" s="138">
        <f>'Tax Sched 23'!B6</f>
        <v>1110631</v>
      </c>
      <c r="C1746" s="2" t="s">
        <v>573</v>
      </c>
      <c r="D1746" s="2" t="str">
        <f t="shared" si="26"/>
        <v>Error?</v>
      </c>
    </row>
    <row r="1747" spans="1:5" x14ac:dyDescent="0.2">
      <c r="A1747" s="5">
        <v>1686</v>
      </c>
      <c r="B1747" s="138">
        <f>'Tax Sched 23'!B7</f>
        <v>1342883</v>
      </c>
      <c r="C1747" s="2" t="s">
        <v>573</v>
      </c>
      <c r="D1747" s="2" t="str">
        <f t="shared" si="26"/>
        <v>Error?</v>
      </c>
    </row>
    <row r="1748" spans="1:5" x14ac:dyDescent="0.2">
      <c r="A1748" s="5">
        <v>1687</v>
      </c>
      <c r="B1748" s="138">
        <f>'Tax Sched 23'!B8</f>
        <v>483444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738961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51931943</v>
      </c>
      <c r="C1759" s="2" t="s">
        <v>573</v>
      </c>
      <c r="D1759" s="2" t="str">
        <f t="shared" si="26"/>
        <v>Error?</v>
      </c>
    </row>
    <row r="1760" spans="1:5" x14ac:dyDescent="0.2">
      <c r="A1760" s="5">
        <v>1699</v>
      </c>
      <c r="B1760" s="138">
        <f>'Tax Sched 23'!D4</f>
        <v>41163790</v>
      </c>
      <c r="C1760" s="2" t="s">
        <v>573</v>
      </c>
      <c r="D1760" s="2" t="str">
        <f t="shared" si="26"/>
        <v>Error?</v>
      </c>
    </row>
    <row r="1761" spans="1:5" x14ac:dyDescent="0.2">
      <c r="A1761" s="5">
        <v>1700</v>
      </c>
      <c r="B1761" s="138">
        <f>'Tax Sched 23'!D5</f>
        <v>6447642</v>
      </c>
      <c r="C1761" s="2" t="s">
        <v>573</v>
      </c>
      <c r="D1761" s="2" t="str">
        <f t="shared" si="26"/>
        <v>Error?</v>
      </c>
    </row>
    <row r="1762" spans="1:5" s="8" customFormat="1" x14ac:dyDescent="0.2">
      <c r="A1762" s="5">
        <v>1701</v>
      </c>
      <c r="B1762" s="138">
        <f>'Tax Sched 23'!D6</f>
        <v>1110631</v>
      </c>
      <c r="C1762" s="2" t="s">
        <v>573</v>
      </c>
      <c r="D1762" s="2" t="str">
        <f t="shared" si="26"/>
        <v>Error?</v>
      </c>
      <c r="E1762" s="9"/>
    </row>
    <row r="1763" spans="1:5" x14ac:dyDescent="0.2">
      <c r="A1763" s="5">
        <v>1702</v>
      </c>
      <c r="B1763" s="138">
        <f>'Tax Sched 23'!D7</f>
        <v>1342883</v>
      </c>
      <c r="C1763" s="2" t="s">
        <v>573</v>
      </c>
      <c r="D1763" s="2" t="str">
        <f t="shared" si="26"/>
        <v>Error?</v>
      </c>
    </row>
    <row r="1764" spans="1:5" x14ac:dyDescent="0.2">
      <c r="A1764" s="5">
        <v>1703</v>
      </c>
      <c r="B1764" s="138">
        <f>'Tax Sched 23'!D8</f>
        <v>483444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738961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51931943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43974959</v>
      </c>
      <c r="C1792" s="2" t="s">
        <v>573</v>
      </c>
      <c r="D1792" s="2" t="str">
        <f t="shared" si="27"/>
        <v>Error?</v>
      </c>
    </row>
    <row r="1793" spans="1:4" x14ac:dyDescent="0.2">
      <c r="A1793" s="5">
        <v>1732</v>
      </c>
      <c r="B1793" s="138">
        <f>'Tax Sched 23'!F5</f>
        <v>5501356</v>
      </c>
      <c r="C1793" s="2" t="s">
        <v>573</v>
      </c>
      <c r="D1793" s="2" t="str">
        <f t="shared" si="27"/>
        <v>Error?</v>
      </c>
    </row>
    <row r="1794" spans="1:4" x14ac:dyDescent="0.2">
      <c r="A1794" s="5">
        <v>1733</v>
      </c>
      <c r="B1794" s="138">
        <f>'Tax Sched 23'!F6</f>
        <v>7736</v>
      </c>
      <c r="C1794" s="2" t="s">
        <v>573</v>
      </c>
      <c r="D1794" s="2" t="str">
        <f t="shared" si="27"/>
        <v>Error?</v>
      </c>
    </row>
    <row r="1795" spans="1:4" x14ac:dyDescent="0.2">
      <c r="A1795" s="5">
        <v>1734</v>
      </c>
      <c r="B1795" s="138">
        <f>'Tax Sched 23'!F7</f>
        <v>1149788</v>
      </c>
      <c r="C1795" s="2" t="s">
        <v>573</v>
      </c>
      <c r="D1795" s="2" t="str">
        <f t="shared" si="27"/>
        <v>Error?</v>
      </c>
    </row>
    <row r="1796" spans="1:4" x14ac:dyDescent="0.2">
      <c r="A1796" s="5">
        <v>1735</v>
      </c>
      <c r="B1796" s="138">
        <f>'Tax Sched 23'!F8</f>
        <v>358758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768843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52299569</v>
      </c>
      <c r="C1807" s="2" t="s">
        <v>573</v>
      </c>
      <c r="D1807" s="2" t="str">
        <f t="shared" si="27"/>
        <v>Error?</v>
      </c>
    </row>
    <row r="1808" spans="1:4" x14ac:dyDescent="0.2">
      <c r="A1808" s="5">
        <v>1747</v>
      </c>
      <c r="B1808" s="138">
        <f>'Tax Sched 23'!E4</f>
        <v>43974959</v>
      </c>
      <c r="D1808" s="2" t="str">
        <f t="shared" si="27"/>
        <v>Error?</v>
      </c>
    </row>
    <row r="1809" spans="1:4" x14ac:dyDescent="0.2">
      <c r="A1809" s="5">
        <v>1748</v>
      </c>
      <c r="B1809" s="138">
        <f>'Tax Sched 23'!E5</f>
        <v>5501356</v>
      </c>
      <c r="D1809" s="2" t="str">
        <f t="shared" si="27"/>
        <v>Error?</v>
      </c>
    </row>
    <row r="1810" spans="1:4" x14ac:dyDescent="0.2">
      <c r="A1810" s="5">
        <v>1749</v>
      </c>
      <c r="B1810" s="138">
        <f>'Tax Sched 23'!E6</f>
        <v>7736</v>
      </c>
      <c r="D1810" s="2" t="str">
        <f t="shared" si="27"/>
        <v>Error?</v>
      </c>
    </row>
    <row r="1811" spans="1:4" x14ac:dyDescent="0.2">
      <c r="A1811" s="5">
        <v>1750</v>
      </c>
      <c r="B1811" s="138">
        <f>'Tax Sched 23'!E7</f>
        <v>1149788</v>
      </c>
      <c r="D1811" s="2" t="str">
        <f t="shared" si="27"/>
        <v>Error?</v>
      </c>
    </row>
    <row r="1812" spans="1:4" x14ac:dyDescent="0.2">
      <c r="A1812" s="5">
        <v>1751</v>
      </c>
      <c r="B1812" s="138">
        <f>'Tax Sched 23'!E8</f>
        <v>358758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768843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52299569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20630000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738961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738961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738961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127188</v>
      </c>
      <c r="D2008" s="2" t="str">
        <f t="shared" si="30"/>
        <v>Error?</v>
      </c>
    </row>
    <row r="2009" spans="1:4" x14ac:dyDescent="0.2">
      <c r="A2009" s="5">
        <v>1948</v>
      </c>
      <c r="B2009" s="138">
        <f>'Cap Outlay Deprec 26'!C8</f>
        <v>91753337</v>
      </c>
      <c r="D2009" s="2" t="str">
        <f t="shared" si="30"/>
        <v>Error?</v>
      </c>
    </row>
    <row r="2010" spans="1:4" x14ac:dyDescent="0.2">
      <c r="A2010" s="5">
        <v>1949</v>
      </c>
      <c r="B2010" s="138">
        <f>'Cap Outlay Deprec 26'!C10</f>
        <v>2914525</v>
      </c>
      <c r="D2010" s="2" t="str">
        <f t="shared" si="30"/>
        <v>Error?</v>
      </c>
    </row>
    <row r="2011" spans="1:4" x14ac:dyDescent="0.2">
      <c r="A2011" s="5">
        <v>1950</v>
      </c>
      <c r="B2011" s="138">
        <f>'Cap Outlay Deprec 26'!C12</f>
        <v>29919905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124714955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7370069</v>
      </c>
      <c r="D2015" s="2" t="str">
        <f t="shared" si="30"/>
        <v>Error?</v>
      </c>
    </row>
    <row r="2016" spans="1:4" x14ac:dyDescent="0.2">
      <c r="A2016" s="5">
        <v>1955</v>
      </c>
      <c r="B2016" s="138">
        <f>'Cap Outlay Deprec 26'!D10</f>
        <v>298465</v>
      </c>
      <c r="D2016" s="2" t="str">
        <f t="shared" si="30"/>
        <v>Error?</v>
      </c>
    </row>
    <row r="2017" spans="1:4" x14ac:dyDescent="0.2">
      <c r="A2017" s="5">
        <v>1956</v>
      </c>
      <c r="B2017" s="138">
        <f>'Cap Outlay Deprec 26'!D12</f>
        <v>1998163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9666697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127188</v>
      </c>
      <c r="C2026" s="2" t="s">
        <v>573</v>
      </c>
      <c r="D2026" s="2" t="str">
        <f t="shared" si="30"/>
        <v>Error?</v>
      </c>
    </row>
    <row r="2027" spans="1:4" x14ac:dyDescent="0.2">
      <c r="A2027" s="5">
        <v>1966</v>
      </c>
      <c r="B2027" s="138">
        <f>'Cap Outlay Deprec 26'!F8</f>
        <v>99123406</v>
      </c>
      <c r="C2027" s="2" t="s">
        <v>573</v>
      </c>
      <c r="D2027" s="2" t="str">
        <f t="shared" si="30"/>
        <v>Error?</v>
      </c>
    </row>
    <row r="2028" spans="1:4" x14ac:dyDescent="0.2">
      <c r="A2028" s="5">
        <v>1967</v>
      </c>
      <c r="B2028" s="138">
        <f>'Cap Outlay Deprec 26'!F10</f>
        <v>3212990</v>
      </c>
      <c r="C2028" s="2" t="s">
        <v>573</v>
      </c>
      <c r="D2028" s="2" t="str">
        <f t="shared" si="30"/>
        <v>Error?</v>
      </c>
    </row>
    <row r="2029" spans="1:4" x14ac:dyDescent="0.2">
      <c r="A2029" s="5">
        <v>1968</v>
      </c>
      <c r="B2029" s="138">
        <f>'Cap Outlay Deprec 26'!F12</f>
        <v>31918068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134381652</v>
      </c>
      <c r="C2031" s="2" t="s">
        <v>573</v>
      </c>
      <c r="D2031" s="2" t="str">
        <f t="shared" si="30"/>
        <v>Error?</v>
      </c>
    </row>
    <row r="2032" spans="1:4" x14ac:dyDescent="0.2">
      <c r="A2032" s="10">
        <v>1971</v>
      </c>
      <c r="D2032" s="2" t="str">
        <f t="shared" si="30"/>
        <v>OK</v>
      </c>
    </row>
    <row r="2033" spans="1:4" x14ac:dyDescent="0.2">
      <c r="A2033" s="5">
        <v>1972</v>
      </c>
      <c r="B2033" s="138">
        <f>'Cap Outlay Deprec 26'!H8</f>
        <v>27166122</v>
      </c>
      <c r="D2033" s="2" t="str">
        <f t="shared" si="30"/>
        <v>Error?</v>
      </c>
    </row>
    <row r="2034" spans="1:4" x14ac:dyDescent="0.2">
      <c r="A2034" s="5">
        <v>1973</v>
      </c>
      <c r="B2034" s="138">
        <f>'Cap Outlay Deprec 26'!H10</f>
        <v>1005709</v>
      </c>
      <c r="D2034" s="2" t="str">
        <f t="shared" si="30"/>
        <v>Error?</v>
      </c>
    </row>
    <row r="2035" spans="1:4" x14ac:dyDescent="0.2">
      <c r="A2035" s="5">
        <v>1974</v>
      </c>
      <c r="B2035" s="138">
        <f>'Cap Outlay Deprec 26'!H12</f>
        <v>20530513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48702344</v>
      </c>
      <c r="C2037" s="2" t="s">
        <v>573</v>
      </c>
      <c r="D2037" s="2" t="str">
        <f t="shared" si="30"/>
        <v>Error?</v>
      </c>
    </row>
    <row r="2038" spans="1:4" x14ac:dyDescent="0.2">
      <c r="A2038" s="10">
        <v>1977</v>
      </c>
      <c r="D2038" s="2" t="str">
        <f t="shared" si="30"/>
        <v>OK</v>
      </c>
    </row>
    <row r="2039" spans="1:4" x14ac:dyDescent="0.2">
      <c r="A2039" s="5">
        <v>1978</v>
      </c>
      <c r="B2039" s="138">
        <f>'Cap Outlay Deprec 26'!I8</f>
        <v>1829296</v>
      </c>
      <c r="D2039" s="2" t="str">
        <f t="shared" si="30"/>
        <v>Error?</v>
      </c>
    </row>
    <row r="2040" spans="1:4" x14ac:dyDescent="0.2">
      <c r="A2040" s="5">
        <v>1979</v>
      </c>
      <c r="B2040" s="138">
        <f>'Cap Outlay Deprec 26'!I10</f>
        <v>153839</v>
      </c>
      <c r="D2040" s="2" t="str">
        <f t="shared" si="30"/>
        <v>Error?</v>
      </c>
    </row>
    <row r="2041" spans="1:4" x14ac:dyDescent="0.2">
      <c r="A2041" s="5">
        <v>1980</v>
      </c>
      <c r="B2041" s="138">
        <f>'Cap Outlay Deprec 26'!I12</f>
        <v>2024936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4008071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28995418</v>
      </c>
      <c r="C2051" s="2" t="s">
        <v>573</v>
      </c>
      <c r="D2051" s="2" t="str">
        <f t="shared" si="31"/>
        <v>Error?</v>
      </c>
    </row>
    <row r="2052" spans="1:4" x14ac:dyDescent="0.2">
      <c r="A2052" s="5">
        <v>1991</v>
      </c>
      <c r="B2052" s="138">
        <f>'Cap Outlay Deprec 26'!K10</f>
        <v>1159548</v>
      </c>
      <c r="C2052" s="2" t="s">
        <v>573</v>
      </c>
      <c r="D2052" s="2" t="str">
        <f t="shared" si="31"/>
        <v>Error?</v>
      </c>
    </row>
    <row r="2053" spans="1:4" x14ac:dyDescent="0.2">
      <c r="A2053" s="5">
        <v>1992</v>
      </c>
      <c r="B2053" s="138">
        <f>'Cap Outlay Deprec 26'!K12</f>
        <v>22555449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52710415</v>
      </c>
      <c r="C2055" s="2" t="s">
        <v>573</v>
      </c>
      <c r="D2055" s="2" t="str">
        <f t="shared" si="31"/>
        <v>Error?</v>
      </c>
    </row>
    <row r="2056" spans="1:4" x14ac:dyDescent="0.2">
      <c r="A2056" s="5">
        <v>1995</v>
      </c>
      <c r="B2056" s="138">
        <f>'Cap Outlay Deprec 26'!L5</f>
        <v>127188</v>
      </c>
      <c r="C2056" s="2" t="s">
        <v>573</v>
      </c>
      <c r="D2056" s="2" t="str">
        <f t="shared" si="31"/>
        <v>Error?</v>
      </c>
    </row>
    <row r="2057" spans="1:4" x14ac:dyDescent="0.2">
      <c r="A2057" s="5">
        <v>1996</v>
      </c>
      <c r="B2057" s="138">
        <f>'Cap Outlay Deprec 26'!L8</f>
        <v>70127988</v>
      </c>
      <c r="C2057" s="2" t="s">
        <v>573</v>
      </c>
      <c r="D2057" s="2" t="str">
        <f t="shared" si="31"/>
        <v>Error?</v>
      </c>
    </row>
    <row r="2058" spans="1:4" x14ac:dyDescent="0.2">
      <c r="A2058" s="5">
        <v>1997</v>
      </c>
      <c r="B2058" s="138">
        <f>'Cap Outlay Deprec 26'!L10</f>
        <v>2053442</v>
      </c>
      <c r="C2058" s="2" t="s">
        <v>573</v>
      </c>
      <c r="D2058" s="2" t="str">
        <f t="shared" si="31"/>
        <v>Error?</v>
      </c>
    </row>
    <row r="2059" spans="1:4" x14ac:dyDescent="0.2">
      <c r="A2059" s="5">
        <v>1998</v>
      </c>
      <c r="B2059" s="138">
        <f>'Cap Outlay Deprec 26'!L12</f>
        <v>9362619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81671237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63941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283165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43458073</v>
      </c>
      <c r="C2551" s="2" t="s">
        <v>573</v>
      </c>
      <c r="D2551" s="2" t="str">
        <f t="shared" si="38"/>
        <v>Error?</v>
      </c>
    </row>
    <row r="2552" spans="1:4" x14ac:dyDescent="0.2">
      <c r="A2552" s="10">
        <v>2491</v>
      </c>
      <c r="D2552" s="2" t="str">
        <f t="shared" si="38"/>
        <v>OK</v>
      </c>
    </row>
    <row r="2553" spans="1:4" x14ac:dyDescent="0.2">
      <c r="A2553" s="5">
        <v>2492</v>
      </c>
      <c r="B2553" s="138">
        <f>'Acct Summary 7-8'!C6</f>
        <v>37833</v>
      </c>
      <c r="C2553" s="2" t="s">
        <v>573</v>
      </c>
      <c r="D2553" s="2" t="str">
        <f t="shared" si="38"/>
        <v>Error?</v>
      </c>
    </row>
    <row r="2554" spans="1:4" x14ac:dyDescent="0.2">
      <c r="A2554" s="5">
        <v>2493</v>
      </c>
      <c r="B2554" s="138">
        <f>'Acct Summary 7-8'!C7</f>
        <v>750601</v>
      </c>
      <c r="C2554" s="2" t="s">
        <v>573</v>
      </c>
      <c r="D2554" s="2" t="str">
        <f t="shared" si="38"/>
        <v>Error?</v>
      </c>
    </row>
    <row r="2555" spans="1:4" x14ac:dyDescent="0.2">
      <c r="A2555" s="5">
        <v>2494</v>
      </c>
      <c r="B2555" s="138">
        <f>'Acct Summary 7-8'!C8</f>
        <v>44246507</v>
      </c>
      <c r="C2555" s="2" t="s">
        <v>573</v>
      </c>
      <c r="D2555" s="2" t="str">
        <f t="shared" si="38"/>
        <v>Error?</v>
      </c>
    </row>
    <row r="2556" spans="1:4" x14ac:dyDescent="0.2">
      <c r="A2556" s="5">
        <v>2495</v>
      </c>
      <c r="B2556" s="138">
        <f>'Acct Summary 7-8'!C12</f>
        <v>29105836</v>
      </c>
      <c r="C2556" s="2" t="s">
        <v>573</v>
      </c>
      <c r="D2556" s="2" t="str">
        <f t="shared" si="38"/>
        <v>Error?</v>
      </c>
    </row>
    <row r="2557" spans="1:4" x14ac:dyDescent="0.2">
      <c r="A2557" s="5">
        <v>2496</v>
      </c>
      <c r="B2557" s="138">
        <f>'Acct Summary 7-8'!C13</f>
        <v>15053391</v>
      </c>
      <c r="C2557" s="2" t="s">
        <v>573</v>
      </c>
      <c r="D2557" s="2" t="str">
        <f t="shared" si="38"/>
        <v>Error?</v>
      </c>
    </row>
    <row r="2558" spans="1:4" x14ac:dyDescent="0.2">
      <c r="A2558" s="5">
        <v>2497</v>
      </c>
      <c r="B2558" s="138">
        <f>'Acct Summary 7-8'!C14</f>
        <v>190505</v>
      </c>
      <c r="C2558" s="2" t="s">
        <v>573</v>
      </c>
      <c r="D2558" s="2" t="str">
        <f t="shared" si="38"/>
        <v>Error?</v>
      </c>
    </row>
    <row r="2559" spans="1:4" x14ac:dyDescent="0.2">
      <c r="A2559" s="5">
        <v>2498</v>
      </c>
      <c r="B2559" s="138">
        <f>'Acct Summary 7-8'!C15</f>
        <v>291735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44641467</v>
      </c>
      <c r="C2561" s="2" t="s">
        <v>573</v>
      </c>
      <c r="D2561" s="2" t="str">
        <f t="shared" si="39"/>
        <v>Error?</v>
      </c>
    </row>
    <row r="2562" spans="1:4" x14ac:dyDescent="0.2">
      <c r="A2562" s="5">
        <v>2501</v>
      </c>
      <c r="B2562" s="138">
        <f>'Acct Summary 7-8'!C20</f>
        <v>-394960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6519387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6519387</v>
      </c>
      <c r="C2568" s="2" t="s">
        <v>573</v>
      </c>
      <c r="D2568" s="2" t="str">
        <f t="shared" si="39"/>
        <v>Error?</v>
      </c>
    </row>
    <row r="2569" spans="1:4" x14ac:dyDescent="0.2">
      <c r="A2569" s="5">
        <v>2508</v>
      </c>
      <c r="B2569" s="138">
        <f>'Acct Summary 7-8'!D13</f>
        <v>5638741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5638741</v>
      </c>
      <c r="C2573" s="2" t="s">
        <v>573</v>
      </c>
      <c r="D2573" s="2" t="str">
        <f t="shared" si="39"/>
        <v>Error?</v>
      </c>
    </row>
    <row r="2574" spans="1:4" x14ac:dyDescent="0.2">
      <c r="A2574" s="5">
        <v>2513</v>
      </c>
      <c r="B2574" s="138">
        <f>'Acct Summary 7-8'!D20</f>
        <v>880646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1418928</v>
      </c>
      <c r="C2591" s="2" t="s">
        <v>573</v>
      </c>
      <c r="D2591" s="2" t="str">
        <f t="shared" si="39"/>
        <v>Error?</v>
      </c>
    </row>
    <row r="2592" spans="1:4" x14ac:dyDescent="0.2">
      <c r="A2592" s="10">
        <v>2531</v>
      </c>
      <c r="D2592" s="2" t="str">
        <f t="shared" si="39"/>
        <v>OK</v>
      </c>
    </row>
    <row r="2593" spans="1:4" x14ac:dyDescent="0.2">
      <c r="A2593" s="5">
        <v>2532</v>
      </c>
      <c r="B2593" s="138">
        <f>'Acct Summary 7-8'!F6</f>
        <v>261618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1680546</v>
      </c>
      <c r="C2595" s="2" t="s">
        <v>573</v>
      </c>
      <c r="D2595" s="2" t="str">
        <f t="shared" si="39"/>
        <v>Error?</v>
      </c>
    </row>
    <row r="2596" spans="1:4" x14ac:dyDescent="0.2">
      <c r="A2596" s="5">
        <v>2535</v>
      </c>
      <c r="B2596" s="138">
        <f>'Acct Summary 7-8'!F13</f>
        <v>1424317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1424317</v>
      </c>
      <c r="C2600" s="2" t="s">
        <v>573</v>
      </c>
      <c r="D2600" s="2" t="str">
        <f t="shared" si="39"/>
        <v>Error?</v>
      </c>
    </row>
    <row r="2601" spans="1:4" x14ac:dyDescent="0.2">
      <c r="A2601" s="5">
        <v>2540</v>
      </c>
      <c r="B2601" s="138">
        <f>'Acct Summary 7-8'!F20</f>
        <v>256229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1233694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1233694</v>
      </c>
      <c r="C2606" s="2" t="s">
        <v>573</v>
      </c>
      <c r="D2606" s="2" t="str">
        <f t="shared" si="39"/>
        <v>Error?</v>
      </c>
    </row>
    <row r="2607" spans="1:4" x14ac:dyDescent="0.2">
      <c r="A2607" s="5">
        <v>2546</v>
      </c>
      <c r="B2607" s="138">
        <f>'Acct Summary 7-8'!G12</f>
        <v>785220</v>
      </c>
      <c r="C2607" s="2" t="s">
        <v>573</v>
      </c>
      <c r="D2607" s="2" t="str">
        <f t="shared" si="39"/>
        <v>Error?</v>
      </c>
    </row>
    <row r="2608" spans="1:4" x14ac:dyDescent="0.2">
      <c r="A2608" s="5">
        <v>2547</v>
      </c>
      <c r="B2608" s="138">
        <f>'Acct Summary 7-8'!G13</f>
        <v>473067</v>
      </c>
      <c r="C2608" s="2" t="s">
        <v>573</v>
      </c>
      <c r="D2608" s="2" t="str">
        <f t="shared" si="39"/>
        <v>Error?</v>
      </c>
    </row>
    <row r="2609" spans="1:4" x14ac:dyDescent="0.2">
      <c r="A2609" s="5">
        <v>2548</v>
      </c>
      <c r="B2609" s="138">
        <f>'Acct Summary 7-8'!G14</f>
        <v>20612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1278899</v>
      </c>
      <c r="C2612" s="2" t="s">
        <v>573</v>
      </c>
      <c r="D2612" s="2" t="str">
        <f t="shared" si="39"/>
        <v>Error?</v>
      </c>
    </row>
    <row r="2613" spans="1:4" x14ac:dyDescent="0.2">
      <c r="A2613" s="5">
        <v>2552</v>
      </c>
      <c r="B2613" s="138">
        <f>'Acct Summary 7-8'!G20</f>
        <v>-45205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1128416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1128416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1198828</v>
      </c>
      <c r="C2634" s="2" t="s">
        <v>573</v>
      </c>
      <c r="D2634" s="2" t="str">
        <f t="shared" si="40"/>
        <v>Error?</v>
      </c>
    </row>
    <row r="2635" spans="1:4" x14ac:dyDescent="0.2">
      <c r="A2635" s="5">
        <v>2574</v>
      </c>
      <c r="B2635" s="138">
        <f>'Acct Summary 7-8'!E17</f>
        <v>1198828</v>
      </c>
      <c r="C2635" s="2" t="s">
        <v>573</v>
      </c>
      <c r="D2635" s="2" t="str">
        <f t="shared" si="40"/>
        <v>Error?</v>
      </c>
    </row>
    <row r="2636" spans="1:4" x14ac:dyDescent="0.2">
      <c r="A2636" s="5">
        <v>2575</v>
      </c>
      <c r="B2636" s="138">
        <f>'Acct Summary 7-8'!E20</f>
        <v>-70412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542229</v>
      </c>
      <c r="C2655" s="2" t="s">
        <v>573</v>
      </c>
      <c r="D2655" s="2" t="str">
        <f t="shared" si="40"/>
        <v>Error?</v>
      </c>
    </row>
    <row r="2656" spans="1:4" x14ac:dyDescent="0.2">
      <c r="A2656" s="5">
        <v>2595</v>
      </c>
      <c r="B2656" s="138">
        <f>'Acct Summary 7-8'!H6</f>
        <v>1821134</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2363363</v>
      </c>
      <c r="C2658" s="2" t="s">
        <v>573</v>
      </c>
      <c r="D2658" s="2" t="str">
        <f t="shared" si="40"/>
        <v>Error?</v>
      </c>
    </row>
    <row r="2659" spans="1:4" x14ac:dyDescent="0.2">
      <c r="A2659" s="5">
        <v>2598</v>
      </c>
      <c r="B2659" s="138">
        <f>'Acct Summary 7-8'!H13</f>
        <v>5500108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5500108</v>
      </c>
      <c r="C2661" s="2" t="s">
        <v>573</v>
      </c>
      <c r="D2661" s="2" t="str">
        <f t="shared" si="40"/>
        <v>Error?</v>
      </c>
    </row>
    <row r="2662" spans="1:4" x14ac:dyDescent="0.2">
      <c r="A2662" s="5">
        <v>2601</v>
      </c>
      <c r="B2662" s="138">
        <f>'Acct Summary 7-8'!H20</f>
        <v>-3136745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75660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219224</v>
      </c>
      <c r="C2789" s="2" t="s">
        <v>573</v>
      </c>
      <c r="D2789" s="2" t="str">
        <f t="shared" si="42"/>
        <v>Error?</v>
      </c>
    </row>
    <row r="2790" spans="1:4" x14ac:dyDescent="0.2">
      <c r="A2790" s="5">
        <v>2729</v>
      </c>
      <c r="B2790" s="138">
        <f>'Expenditures 15-22'!E102</f>
        <v>219224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75660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120840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120840</v>
      </c>
      <c r="D2914" s="2" t="str">
        <f t="shared" si="44"/>
        <v>Error?</v>
      </c>
    </row>
    <row r="2915" spans="1:4" x14ac:dyDescent="0.2">
      <c r="A2915" s="10">
        <v>2854</v>
      </c>
      <c r="D2915" s="2" t="str">
        <f t="shared" si="44"/>
        <v>OK</v>
      </c>
    </row>
    <row r="2916" spans="1:4" x14ac:dyDescent="0.2">
      <c r="A2916" s="5">
        <v>2855</v>
      </c>
      <c r="B2916" s="138">
        <f>'Assets-Liab 5-6'!L34</f>
        <v>120840</v>
      </c>
      <c r="C2916" s="2" t="s">
        <v>573</v>
      </c>
      <c r="D2916" s="2" t="str">
        <f t="shared" si="44"/>
        <v>Error?</v>
      </c>
    </row>
    <row r="2917" spans="1:4" x14ac:dyDescent="0.2">
      <c r="A2917" s="5">
        <v>2856</v>
      </c>
      <c r="B2917" s="138">
        <f>'Assets-Liab 5-6'!L41</f>
        <v>120840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219224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63941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283165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9261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9261</v>
      </c>
      <c r="C3232" s="2" t="s">
        <v>573</v>
      </c>
      <c r="D3232" s="2" t="str">
        <f t="shared" si="49"/>
        <v>Error?</v>
      </c>
    </row>
    <row r="3233" spans="1:4" x14ac:dyDescent="0.2">
      <c r="A3233" s="5">
        <v>3172</v>
      </c>
      <c r="B3233" s="138">
        <f>'Acct Summary 7-8'!C78</f>
        <v>-385699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75660</v>
      </c>
      <c r="C3237" s="2" t="s">
        <v>573</v>
      </c>
      <c r="D3237" s="2" t="str">
        <f t="shared" si="49"/>
        <v>Error?</v>
      </c>
    </row>
    <row r="3238" spans="1:4" x14ac:dyDescent="0.2">
      <c r="A3238" s="5">
        <v>3177</v>
      </c>
      <c r="B3238" s="138">
        <f>'Acct Summary 7-8'!D77</f>
        <v>-75660</v>
      </c>
      <c r="C3238" s="2" t="s">
        <v>573</v>
      </c>
      <c r="D3238" s="2" t="str">
        <f t="shared" si="49"/>
        <v>Error?</v>
      </c>
    </row>
    <row r="3239" spans="1:4" x14ac:dyDescent="0.2">
      <c r="A3239" s="5">
        <v>3178</v>
      </c>
      <c r="B3239" s="138">
        <f>'Acct Summary 7-8'!D78</f>
        <v>804986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256229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-45205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75660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75660</v>
      </c>
      <c r="C3277" s="2" t="s">
        <v>573</v>
      </c>
      <c r="D3277" s="2" t="str">
        <f t="shared" si="50"/>
        <v>Error?</v>
      </c>
    </row>
    <row r="3278" spans="1:4" x14ac:dyDescent="0.2">
      <c r="A3278" s="5">
        <v>3217</v>
      </c>
      <c r="B3278" s="138">
        <f>'Acct Summary 7-8'!E78</f>
        <v>5248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-3136745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5173506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1416459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101978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184220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8947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106633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6991743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331865</v>
      </c>
      <c r="D3387" s="2" t="str">
        <f t="shared" si="51"/>
        <v>Error?</v>
      </c>
    </row>
    <row r="3388" spans="1:4" x14ac:dyDescent="0.2">
      <c r="A3388" s="5">
        <v>3327</v>
      </c>
      <c r="B3388" s="138">
        <f>'Expenditures 15-22'!D217</f>
        <v>416608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331865</v>
      </c>
      <c r="C3390" s="2" t="s">
        <v>573</v>
      </c>
      <c r="D3390" s="2" t="str">
        <f t="shared" si="51"/>
        <v>Error?</v>
      </c>
    </row>
    <row r="3391" spans="1:4" x14ac:dyDescent="0.2">
      <c r="A3391" s="5">
        <v>3330</v>
      </c>
      <c r="B3391" s="138">
        <f>'Expenditures 15-22'!K217</f>
        <v>416608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37166114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4868742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886939</v>
      </c>
      <c r="D3417" s="2" t="str">
        <f t="shared" si="52"/>
        <v>Error?</v>
      </c>
    </row>
    <row r="3418" spans="1:4" x14ac:dyDescent="0.2">
      <c r="A3418" s="10">
        <v>3357</v>
      </c>
      <c r="D3418" s="2" t="str">
        <f t="shared" si="52"/>
        <v>OK</v>
      </c>
    </row>
    <row r="3419" spans="1:4" x14ac:dyDescent="0.2">
      <c r="A3419" s="5">
        <v>3358</v>
      </c>
      <c r="B3419" s="138">
        <f>'Assets-Liab 5-6'!F4</f>
        <v>2406902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1545943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7739194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120840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644592</v>
      </c>
      <c r="C3446" s="2" t="s">
        <v>573</v>
      </c>
      <c r="D3446" s="2" t="str">
        <f t="shared" si="52"/>
        <v>Error?</v>
      </c>
    </row>
    <row r="3447" spans="1:4" x14ac:dyDescent="0.2">
      <c r="A3447" s="5">
        <v>3386</v>
      </c>
      <c r="B3447" s="138">
        <f>'Tax Sched 23'!D16</f>
        <v>644592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538129</v>
      </c>
      <c r="C3449" s="2" t="s">
        <v>573</v>
      </c>
      <c r="D3449" s="2" t="str">
        <f t="shared" si="52"/>
        <v>Error?</v>
      </c>
    </row>
    <row r="3450" spans="1:4" x14ac:dyDescent="0.2">
      <c r="A3450" s="5">
        <v>3389</v>
      </c>
      <c r="B3450" s="138">
        <f>'Tax Sched 23'!E16</f>
        <v>538129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78146</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9261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1386635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1419350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144083</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1275267</v>
      </c>
      <c r="D3567" s="2" t="str">
        <f t="shared" si="54"/>
        <v>Error?</v>
      </c>
    </row>
    <row r="3568" spans="1:4" x14ac:dyDescent="0.2">
      <c r="A3568" s="5">
        <v>3507</v>
      </c>
      <c r="B3568" s="138">
        <f>'Assets-Liab 5-6'!K41</f>
        <v>1419350</v>
      </c>
      <c r="C3568" s="2" t="s">
        <v>573</v>
      </c>
      <c r="D3568" s="2" t="str">
        <f t="shared" si="54"/>
        <v>Error?</v>
      </c>
    </row>
    <row r="3569" spans="1:4" x14ac:dyDescent="0.2">
      <c r="A3569" s="5">
        <v>3508</v>
      </c>
      <c r="B3569" s="138">
        <f>'Acct Summary 7-8'!K4</f>
        <v>21700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21700</v>
      </c>
      <c r="C3571" s="2" t="s">
        <v>573</v>
      </c>
      <c r="D3571" s="2" t="str">
        <f t="shared" si="54"/>
        <v>Error?</v>
      </c>
    </row>
    <row r="3572" spans="1:4" x14ac:dyDescent="0.2">
      <c r="A3572" s="5">
        <v>3511</v>
      </c>
      <c r="B3572" s="138">
        <f>'Acct Summary 7-8'!K13</f>
        <v>652908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652908</v>
      </c>
      <c r="C3575" s="2" t="s">
        <v>573</v>
      </c>
      <c r="D3575" s="2" t="str">
        <f t="shared" si="54"/>
        <v>Error?</v>
      </c>
    </row>
    <row r="3576" spans="1:4" x14ac:dyDescent="0.2">
      <c r="A3576" s="5">
        <v>3515</v>
      </c>
      <c r="B3576" s="138">
        <f>'Acct Summary 7-8'!K20</f>
        <v>-631208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-631208</v>
      </c>
      <c r="C3588" s="2" t="s">
        <v>573</v>
      </c>
      <c r="D3588" s="2" t="str">
        <f t="shared" si="55"/>
        <v>Error?</v>
      </c>
    </row>
    <row r="3589" spans="1:4" x14ac:dyDescent="0.2">
      <c r="A3589" s="5">
        <v>3528</v>
      </c>
      <c r="B3589" s="138">
        <f>'Acct Summary 7-8'!K79</f>
        <v>1906475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1275267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652908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652908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652908</v>
      </c>
      <c r="C3649" s="2" t="s">
        <v>573</v>
      </c>
      <c r="D3649" s="2" t="str">
        <f t="shared" si="56"/>
        <v>Error?</v>
      </c>
    </row>
    <row r="3650" spans="1:4" x14ac:dyDescent="0.2">
      <c r="A3650" s="5">
        <v>3589</v>
      </c>
      <c r="B3650" s="138">
        <f>'Expenditures 15-22'!G367</f>
        <v>652908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652908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652908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652908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652908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-631208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30483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18641445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62887952</v>
      </c>
      <c r="C4122" s="2" t="s">
        <v>573</v>
      </c>
      <c r="D4122" s="2" t="str">
        <f t="shared" si="63"/>
        <v>Error?</v>
      </c>
    </row>
    <row r="4123" spans="1:4" x14ac:dyDescent="0.2">
      <c r="A4123" s="5">
        <v>4062</v>
      </c>
      <c r="B4123" s="138">
        <f>'Acct Summary 7-8'!D10</f>
        <v>6519387</v>
      </c>
      <c r="C4123" s="2" t="s">
        <v>573</v>
      </c>
      <c r="D4123" s="2" t="str">
        <f t="shared" si="63"/>
        <v>Error?</v>
      </c>
    </row>
    <row r="4124" spans="1:4" x14ac:dyDescent="0.2">
      <c r="A4124" s="5">
        <v>4063</v>
      </c>
      <c r="B4124" s="138">
        <f>'Acct Summary 7-8'!E10</f>
        <v>1128416</v>
      </c>
      <c r="C4124" s="2" t="s">
        <v>573</v>
      </c>
      <c r="D4124" s="2" t="str">
        <f t="shared" si="63"/>
        <v>Error?</v>
      </c>
    </row>
    <row r="4125" spans="1:4" x14ac:dyDescent="0.2">
      <c r="A4125" s="5">
        <v>4064</v>
      </c>
      <c r="B4125" s="138">
        <f>'Acct Summary 7-8'!F10</f>
        <v>1680546</v>
      </c>
      <c r="C4125" s="2" t="s">
        <v>573</v>
      </c>
      <c r="D4125" s="2" t="str">
        <f t="shared" si="63"/>
        <v>Error?</v>
      </c>
    </row>
    <row r="4126" spans="1:4" x14ac:dyDescent="0.2">
      <c r="A4126" s="5">
        <v>4065</v>
      </c>
      <c r="B4126" s="138">
        <f>'Acct Summary 7-8'!G10</f>
        <v>1233694</v>
      </c>
      <c r="C4126" s="2" t="s">
        <v>573</v>
      </c>
      <c r="D4126" s="2" t="str">
        <f t="shared" si="63"/>
        <v>Error?</v>
      </c>
    </row>
    <row r="4127" spans="1:4" x14ac:dyDescent="0.2">
      <c r="A4127" s="5">
        <v>4066</v>
      </c>
      <c r="B4127" s="138">
        <f>'Acct Summary 7-8'!H10</f>
        <v>2363363</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21700</v>
      </c>
      <c r="C4130" s="2" t="s">
        <v>573</v>
      </c>
      <c r="D4130" s="2" t="str">
        <f t="shared" si="63"/>
        <v>Error?</v>
      </c>
    </row>
    <row r="4131" spans="1:4" x14ac:dyDescent="0.2">
      <c r="A4131" s="5">
        <v>4070</v>
      </c>
      <c r="B4131" s="138">
        <f>'Acct Summary 7-8'!C18</f>
        <v>18641445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63282912</v>
      </c>
      <c r="C4136" s="2" t="s">
        <v>573</v>
      </c>
      <c r="D4136" s="2" t="str">
        <f t="shared" si="63"/>
        <v>Error?</v>
      </c>
    </row>
    <row r="4137" spans="1:4" x14ac:dyDescent="0.2">
      <c r="A4137" s="5">
        <v>4076</v>
      </c>
      <c r="B4137" s="138">
        <f>'Acct Summary 7-8'!D19</f>
        <v>5638741</v>
      </c>
      <c r="C4137" s="2" t="s">
        <v>573</v>
      </c>
      <c r="D4137" s="2" t="str">
        <f t="shared" si="63"/>
        <v>Error?</v>
      </c>
    </row>
    <row r="4138" spans="1:4" x14ac:dyDescent="0.2">
      <c r="A4138" s="5">
        <v>4077</v>
      </c>
      <c r="B4138" s="138">
        <f>'Acct Summary 7-8'!E19</f>
        <v>1198828</v>
      </c>
      <c r="C4138" s="2" t="s">
        <v>573</v>
      </c>
      <c r="D4138" s="2" t="str">
        <f t="shared" si="63"/>
        <v>Error?</v>
      </c>
    </row>
    <row r="4139" spans="1:4" x14ac:dyDescent="0.2">
      <c r="A4139" s="5">
        <v>4078</v>
      </c>
      <c r="B4139" s="138">
        <f>'Acct Summary 7-8'!F19</f>
        <v>1424317</v>
      </c>
      <c r="C4139" s="2" t="s">
        <v>573</v>
      </c>
      <c r="D4139" s="2" t="str">
        <f t="shared" si="63"/>
        <v>Error?</v>
      </c>
    </row>
    <row r="4140" spans="1:4" x14ac:dyDescent="0.2">
      <c r="A4140" s="5">
        <v>4079</v>
      </c>
      <c r="B4140" s="138">
        <f>'Acct Summary 7-8'!G19</f>
        <v>1278899</v>
      </c>
      <c r="C4140" s="2" t="s">
        <v>573</v>
      </c>
      <c r="D4140" s="2" t="str">
        <f t="shared" si="63"/>
        <v>Error?</v>
      </c>
    </row>
    <row r="4141" spans="1:4" x14ac:dyDescent="0.2">
      <c r="A4141" s="5">
        <v>4080</v>
      </c>
      <c r="B4141" s="138">
        <f>'Acct Summary 7-8'!H19</f>
        <v>5500108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652908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20190000</v>
      </c>
      <c r="C4171" s="2" t="s">
        <v>573</v>
      </c>
      <c r="D4171" s="2" t="str">
        <f t="shared" si="64"/>
        <v>Error?</v>
      </c>
    </row>
    <row r="4172" spans="1:4" x14ac:dyDescent="0.2">
      <c r="A4172" s="5">
        <v>4111</v>
      </c>
      <c r="B4172" s="138">
        <f>'Short-Term Long-Term Debt 24'!J49</f>
        <v>19310157</v>
      </c>
      <c r="C4172" s="2" t="s">
        <v>573</v>
      </c>
      <c r="D4172" s="2" t="str">
        <f t="shared" si="64"/>
        <v>Error?</v>
      </c>
    </row>
    <row r="4173" spans="1:4" x14ac:dyDescent="0.2">
      <c r="A4173" s="5">
        <v>4112</v>
      </c>
      <c r="B4173" s="138">
        <f>'Short-Term Long-Term Debt 24'!H49</f>
        <v>440000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2580.5819999999999</v>
      </c>
      <c r="C4265" s="2" t="s">
        <v>573</v>
      </c>
      <c r="D4265" s="2" t="str">
        <f t="shared" si="65"/>
        <v>Error?</v>
      </c>
      <c r="E4265" s="128"/>
    </row>
    <row r="4266" spans="1:5" x14ac:dyDescent="0.2">
      <c r="A4266" s="12">
        <v>4205</v>
      </c>
      <c r="B4266" s="138">
        <f>('FP Info 3'!F10)*100000</f>
        <v>322.83600000000001</v>
      </c>
      <c r="C4266" s="2" t="s">
        <v>573</v>
      </c>
      <c r="D4266" s="2" t="str">
        <f t="shared" si="65"/>
        <v>Error?</v>
      </c>
      <c r="E4266" s="128"/>
    </row>
    <row r="4267" spans="1:5" x14ac:dyDescent="0.2">
      <c r="A4267" s="12">
        <v>4206</v>
      </c>
      <c r="B4267" s="138">
        <f>('FP Info 3'!H10)*100000</f>
        <v>67.472999999999999</v>
      </c>
      <c r="C4267" s="2" t="s">
        <v>573</v>
      </c>
      <c r="D4267" s="2" t="str">
        <f t="shared" si="65"/>
        <v>Error?</v>
      </c>
      <c r="E4267" s="128"/>
    </row>
    <row r="4268" spans="1:5" x14ac:dyDescent="0.2">
      <c r="A4268" s="12">
        <v>4207</v>
      </c>
      <c r="B4268" s="138">
        <f>('FP Info 3'!J10)*100000</f>
        <v>2971</v>
      </c>
      <c r="C4268" s="2" t="s">
        <v>573</v>
      </c>
      <c r="D4268" s="2" t="str">
        <f t="shared" si="65"/>
        <v>Error?</v>
      </c>
    </row>
    <row r="4269" spans="1:5" x14ac:dyDescent="0.2">
      <c r="A4269" s="12">
        <v>4208</v>
      </c>
      <c r="B4269" s="138">
        <f>'FP Info 3'!J16</f>
        <v>16575136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204643</v>
      </c>
      <c r="D4300" s="2" t="str">
        <f t="shared" si="66"/>
        <v>Error?</v>
      </c>
    </row>
    <row r="4301" spans="1:4" x14ac:dyDescent="0.2">
      <c r="A4301" s="5">
        <v>4240</v>
      </c>
      <c r="B4301" s="138">
        <f>'Rest Tax Levies-Tort Im 25'!G37</f>
        <v>7826</v>
      </c>
      <c r="D4301" s="2" t="str">
        <f t="shared" si="66"/>
        <v>Error?</v>
      </c>
    </row>
    <row r="4302" spans="1:4" x14ac:dyDescent="0.2">
      <c r="A4302" s="5">
        <v>4241</v>
      </c>
      <c r="B4302" s="138">
        <f>'Rest Tax Levies-Tort Im 25'!G38</f>
        <v>177512</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1115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54460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2149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1704071366</v>
      </c>
      <c r="D4995" s="2" t="str">
        <f t="shared" si="77"/>
        <v>Error?</v>
      </c>
    </row>
    <row r="4996" spans="1:4" x14ac:dyDescent="0.2">
      <c r="A4996" s="12">
        <v>4935</v>
      </c>
      <c r="B4996" s="138">
        <f>'FP Info 3'!H31</f>
        <v>117580924.25400001</v>
      </c>
      <c r="D4996" s="2" t="str">
        <f t="shared" si="77"/>
        <v>Error?</v>
      </c>
    </row>
    <row r="4997" spans="1:4" x14ac:dyDescent="0.2">
      <c r="A4997" s="12">
        <v>4936</v>
      </c>
      <c r="B4997" s="138">
        <f>'FP Info 3'!H37</f>
        <v>20190000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41163790</v>
      </c>
      <c r="D5061" s="2" t="str">
        <f t="shared" si="78"/>
        <v>Error?</v>
      </c>
    </row>
    <row r="5062" spans="1:4" x14ac:dyDescent="0.2">
      <c r="A5062" s="10">
        <v>5001</v>
      </c>
      <c r="D5062" s="2" t="str">
        <f t="shared" si="78"/>
        <v>OK</v>
      </c>
    </row>
    <row r="5063" spans="1:4" x14ac:dyDescent="0.2">
      <c r="A5063" s="5">
        <v>5002</v>
      </c>
      <c r="B5063" s="138">
        <f>'Revenues 9-14'!C7</f>
        <v>738961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41902751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271259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271259</v>
      </c>
      <c r="C5087" s="2" t="s">
        <v>573</v>
      </c>
      <c r="D5087" s="2" t="str">
        <f t="shared" si="78"/>
        <v>Error?</v>
      </c>
    </row>
    <row r="5088" spans="1:4" x14ac:dyDescent="0.2">
      <c r="A5088" s="5">
        <v>5027</v>
      </c>
      <c r="B5088" s="138">
        <f>'Revenues 9-14'!C65</f>
        <v>600176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600176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25960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135497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135497</v>
      </c>
      <c r="C5102" s="2" t="s">
        <v>573</v>
      </c>
      <c r="D5102" s="2" t="str">
        <f t="shared" si="78"/>
        <v>Error?</v>
      </c>
    </row>
    <row r="5103" spans="1:4" x14ac:dyDescent="0.2">
      <c r="A5103" s="5">
        <v>5042</v>
      </c>
      <c r="B5103" s="138">
        <f>'Revenues 9-14'!C84</f>
        <v>361527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19902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381429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34215</v>
      </c>
      <c r="D5115" s="2" t="str">
        <f t="shared" si="78"/>
        <v>Error?</v>
      </c>
    </row>
    <row r="5116" spans="1:4" x14ac:dyDescent="0.2">
      <c r="A5116" s="5">
        <v>5055</v>
      </c>
      <c r="B5116" s="138">
        <f>'Revenues 9-14'!C99</f>
        <v>28109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2120</v>
      </c>
      <c r="D5118" s="2" t="str">
        <f t="shared" si="78"/>
        <v>Error?</v>
      </c>
    </row>
    <row r="5119" spans="1:4" x14ac:dyDescent="0.2">
      <c r="A5119" s="5">
        <v>5058</v>
      </c>
      <c r="B5119" s="138">
        <f>'Revenues 9-14'!C107</f>
        <v>76557</v>
      </c>
      <c r="D5119" s="2" t="str">
        <f t="shared" ref="D5119:D5182" si="79">IF(ISBLANK(B5119),"OK",IF(A5119-B5119=0,"OK","Error?"))</f>
        <v>Error?</v>
      </c>
    </row>
    <row r="5120" spans="1:4" x14ac:dyDescent="0.2">
      <c r="A5120" s="5">
        <v>5059</v>
      </c>
      <c r="B5120" s="138">
        <f>'Revenues 9-14'!C108</f>
        <v>141001</v>
      </c>
      <c r="C5120" s="2" t="s">
        <v>573</v>
      </c>
      <c r="D5120" s="2" t="str">
        <f t="shared" si="79"/>
        <v>Error?</v>
      </c>
    </row>
    <row r="5121" spans="1:4" x14ac:dyDescent="0.2">
      <c r="A5121" s="5">
        <v>5060</v>
      </c>
      <c r="B5121" s="138">
        <f>'Revenues 9-14'!C109</f>
        <v>43458073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35684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35684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37833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37833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19490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19490</v>
      </c>
      <c r="C5246" s="2" t="s">
        <v>573</v>
      </c>
      <c r="D5246" s="2" t="str">
        <f t="shared" si="80"/>
        <v>Error?</v>
      </c>
    </row>
    <row r="5247" spans="1:4" x14ac:dyDescent="0.2">
      <c r="A5247" s="5">
        <v>5186</v>
      </c>
      <c r="B5247" s="138">
        <f>'Revenues 9-14'!C200</f>
        <v>95537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96652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30754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528379</v>
      </c>
      <c r="D5278" s="2" t="str">
        <f t="shared" si="81"/>
        <v>Error?</v>
      </c>
    </row>
    <row r="5279" spans="1:4" x14ac:dyDescent="0.2">
      <c r="A5279" s="5">
        <v>5218</v>
      </c>
      <c r="B5279" s="138">
        <f>'Revenues 9-14'!C214</f>
        <v>20866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579999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750601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750601</v>
      </c>
      <c r="C5326" s="2" t="s">
        <v>573</v>
      </c>
      <c r="D5326" s="2" t="str">
        <f t="shared" si="82"/>
        <v>Error?</v>
      </c>
    </row>
    <row r="5327" spans="1:5" x14ac:dyDescent="0.2">
      <c r="A5327" s="5">
        <v>5266</v>
      </c>
      <c r="B5327" s="138">
        <f>'Revenues 9-14'!C268</f>
        <v>44246507</v>
      </c>
      <c r="C5327" s="2" t="s">
        <v>573</v>
      </c>
      <c r="D5327" s="2" t="str">
        <f t="shared" si="82"/>
        <v>Error?</v>
      </c>
    </row>
    <row r="5328" spans="1:5" x14ac:dyDescent="0.2">
      <c r="A5328" s="5">
        <v>5267</v>
      </c>
      <c r="B5328" s="138">
        <f>'Revenues 9-14'!D5</f>
        <v>6447642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6447642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36008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36008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35737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35737</v>
      </c>
      <c r="C5355" s="2" t="s">
        <v>573</v>
      </c>
      <c r="D5355" s="2" t="str">
        <f t="shared" si="82"/>
        <v>Error?</v>
      </c>
    </row>
    <row r="5356" spans="1:4" x14ac:dyDescent="0.2">
      <c r="A5356" s="5">
        <v>5295</v>
      </c>
      <c r="B5356" s="138">
        <f>'Revenues 9-14'!D109</f>
        <v>6519387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6519387</v>
      </c>
      <c r="C5508" s="2" t="s">
        <v>573</v>
      </c>
      <c r="D5508" s="2" t="str">
        <f t="shared" si="85"/>
        <v>Error?</v>
      </c>
    </row>
    <row r="5509" spans="1:4" x14ac:dyDescent="0.2">
      <c r="A5509" s="5">
        <v>5448</v>
      </c>
      <c r="B5509" s="138">
        <f>'Revenues 9-14'!E5</f>
        <v>1110631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1110631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17785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17785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1128416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1128416</v>
      </c>
      <c r="C5552" s="2" t="s">
        <v>573</v>
      </c>
      <c r="D5552" s="2" t="str">
        <f t="shared" si="85"/>
        <v>Error?</v>
      </c>
    </row>
    <row r="5553" spans="1:4" x14ac:dyDescent="0.2">
      <c r="A5553" s="5">
        <v>5492</v>
      </c>
      <c r="B5553" s="138">
        <f>'Revenues 9-14'!F5</f>
        <v>1342883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1342883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62150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62150</v>
      </c>
      <c r="C5579" s="2" t="s">
        <v>573</v>
      </c>
      <c r="D5579" s="2" t="str">
        <f t="shared" si="86"/>
        <v>Error?</v>
      </c>
    </row>
    <row r="5580" spans="1:4" x14ac:dyDescent="0.2">
      <c r="A5580" s="5">
        <v>5519</v>
      </c>
      <c r="B5580" s="138">
        <f>'Revenues 9-14'!F65</f>
        <v>13895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13895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1418928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19315</v>
      </c>
      <c r="D5615" s="2" t="str">
        <f t="shared" si="86"/>
        <v>Error?</v>
      </c>
    </row>
    <row r="5616" spans="1:4" x14ac:dyDescent="0.2">
      <c r="A5616" s="10">
        <v>5555</v>
      </c>
      <c r="D5616" s="2" t="str">
        <f t="shared" si="86"/>
        <v>OK</v>
      </c>
    </row>
    <row r="5617" spans="1:5" x14ac:dyDescent="0.2">
      <c r="A5617" s="5">
        <v>5556</v>
      </c>
      <c r="B5617" s="138">
        <f>'Revenues 9-14'!F153</f>
        <v>242303</v>
      </c>
      <c r="D5617" s="2" t="str">
        <f t="shared" si="86"/>
        <v>Error?</v>
      </c>
    </row>
    <row r="5618" spans="1:5" x14ac:dyDescent="0.2">
      <c r="A5618" s="5">
        <v>5557</v>
      </c>
      <c r="B5618" s="138">
        <f>'Revenues 9-14'!F155</f>
        <v>261618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261618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261618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1680546</v>
      </c>
      <c r="C5720" s="2" t="s">
        <v>573</v>
      </c>
      <c r="D5720" s="2" t="str">
        <f t="shared" si="88"/>
        <v>Error?</v>
      </c>
    </row>
    <row r="5721" spans="1:4" x14ac:dyDescent="0.2">
      <c r="A5721" s="5">
        <v>5660</v>
      </c>
      <c r="B5721" s="138">
        <f>'Revenues 9-14'!G5</f>
        <v>483444</v>
      </c>
      <c r="D5721" s="2" t="str">
        <f t="shared" si="88"/>
        <v>Error?</v>
      </c>
    </row>
    <row r="5722" spans="1:4" x14ac:dyDescent="0.2">
      <c r="A5722" s="5">
        <v>5661</v>
      </c>
      <c r="B5722" s="138">
        <f>'Revenues 9-14'!G7</f>
        <v>0</v>
      </c>
      <c r="D5722" s="2" t="str">
        <f t="shared" si="88"/>
        <v>Error?</v>
      </c>
    </row>
    <row r="5723" spans="1:4" x14ac:dyDescent="0.2">
      <c r="A5723" s="5">
        <v>5662</v>
      </c>
      <c r="B5723" s="138">
        <f>'Revenues 9-14'!G8</f>
        <v>644592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1128036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573</v>
      </c>
      <c r="D5730" s="2" t="str">
        <f t="shared" si="88"/>
        <v>Error?</v>
      </c>
    </row>
    <row r="5731" spans="1:4" x14ac:dyDescent="0.2">
      <c r="A5731" s="5">
        <v>5670</v>
      </c>
      <c r="B5731" s="138">
        <f>'Revenues 9-14'!G65</f>
        <v>5658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1233694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388432</v>
      </c>
      <c r="D5876" s="2" t="str">
        <f t="shared" si="90"/>
        <v>Error?</v>
      </c>
    </row>
    <row r="5877" spans="1:4" x14ac:dyDescent="0.2">
      <c r="A5877" s="5">
        <v>5816</v>
      </c>
      <c r="B5877" s="138">
        <f>'Revenues 9-14'!H17</f>
        <v>1972</v>
      </c>
      <c r="D5877" s="2" t="str">
        <f t="shared" si="90"/>
        <v>Error?</v>
      </c>
    </row>
    <row r="5878" spans="1:4" x14ac:dyDescent="0.2">
      <c r="A5878" s="5">
        <v>5817</v>
      </c>
      <c r="B5878" s="138">
        <f>'Revenues 9-14'!H18</f>
        <v>390404</v>
      </c>
      <c r="C5878" s="2" t="s">
        <v>573</v>
      </c>
      <c r="D5878" s="2" t="str">
        <f t="shared" si="90"/>
        <v>Error?</v>
      </c>
    </row>
    <row r="5879" spans="1:4" x14ac:dyDescent="0.2">
      <c r="A5879" s="5">
        <v>5818</v>
      </c>
      <c r="B5879" s="138">
        <f>'Revenues 9-14'!H65</f>
        <v>151825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151825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1821134</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1821134</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1821134</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2363363</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21700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21700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21700</v>
      </c>
      <c r="C6023" s="2" t="s">
        <v>573</v>
      </c>
      <c r="D6023" s="2" t="str">
        <f t="shared" si="93"/>
        <v>Error?</v>
      </c>
    </row>
    <row r="6024" spans="1:5" x14ac:dyDescent="0.2">
      <c r="A6024" s="5">
        <v>5963</v>
      </c>
      <c r="B6024" s="138">
        <f>'Revenues 9-14'!G109</f>
        <v>1233694</v>
      </c>
      <c r="C6024" s="2" t="s">
        <v>573</v>
      </c>
      <c r="D6024" s="2" t="str">
        <f t="shared" si="93"/>
        <v>Error?</v>
      </c>
    </row>
    <row r="6025" spans="1:5" x14ac:dyDescent="0.2">
      <c r="A6025" s="5">
        <v>5964</v>
      </c>
      <c r="B6025" s="138">
        <f>'Revenues 9-14'!H109</f>
        <v>542229</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21700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25960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2779.9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375215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64769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225314</v>
      </c>
      <c r="D6099" s="2" t="str">
        <f t="shared" si="94"/>
        <v>Error?</v>
      </c>
      <c r="E6099" s="2" t="s">
        <v>190</v>
      </c>
    </row>
    <row r="6100" spans="1:5" x14ac:dyDescent="0.2">
      <c r="A6100">
        <v>6039</v>
      </c>
      <c r="B6100" s="138">
        <f>'Assets-Liab 5-6'!D9</f>
        <v>36008</v>
      </c>
      <c r="D6100" s="2" t="str">
        <f t="shared" si="94"/>
        <v>Error?</v>
      </c>
      <c r="E6100" s="2" t="s">
        <v>190</v>
      </c>
    </row>
    <row r="6101" spans="1:5" x14ac:dyDescent="0.2">
      <c r="A6101">
        <v>6040</v>
      </c>
      <c r="B6101" s="138">
        <f>'Assets-Liab 5-6'!E9</f>
        <v>22490</v>
      </c>
      <c r="D6101" s="2" t="str">
        <f t="shared" si="94"/>
        <v>Error?</v>
      </c>
      <c r="E6101" s="2" t="s">
        <v>190</v>
      </c>
    </row>
    <row r="6102" spans="1:5" x14ac:dyDescent="0.2">
      <c r="A6102">
        <v>6041</v>
      </c>
      <c r="B6102" s="138">
        <f>'Assets-Liab 5-6'!F9</f>
        <v>34139</v>
      </c>
      <c r="D6102" s="2" t="str">
        <f t="shared" si="94"/>
        <v>Error?</v>
      </c>
      <c r="E6102" s="2" t="s">
        <v>190</v>
      </c>
    </row>
    <row r="6103" spans="1:5" x14ac:dyDescent="0.2">
      <c r="A6103">
        <f>A6102+1</f>
        <v>6042</v>
      </c>
      <c r="B6103" s="138">
        <f>'Assets-Liab 5-6'!G9</f>
        <v>19663</v>
      </c>
      <c r="D6103" s="2" t="str">
        <f t="shared" si="94"/>
        <v>Error?</v>
      </c>
      <c r="E6103" s="2" t="s">
        <v>190</v>
      </c>
    </row>
    <row r="6104" spans="1:5" x14ac:dyDescent="0.2">
      <c r="A6104">
        <v>6043</v>
      </c>
      <c r="B6104" s="138">
        <f>'Assets-Liab 5-6'!H9</f>
        <v>152541</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32715</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357939</v>
      </c>
      <c r="D6113" s="2" t="str">
        <f t="shared" si="94"/>
        <v>Error?</v>
      </c>
      <c r="E6113" s="2" t="s">
        <v>190</v>
      </c>
    </row>
    <row r="6114" spans="1:5" x14ac:dyDescent="0.2">
      <c r="A6114">
        <v>6053</v>
      </c>
      <c r="B6114" s="138">
        <f>'Assets-Liab 5-6'!D11</f>
        <v>28848</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43565</v>
      </c>
      <c r="D6142" s="2" t="str">
        <f t="shared" si="94"/>
        <v>Error?</v>
      </c>
      <c r="E6142" s="2" t="s">
        <v>190</v>
      </c>
    </row>
    <row r="6143" spans="1:5" x14ac:dyDescent="0.2">
      <c r="A6143">
        <v>6082</v>
      </c>
      <c r="B6143" s="138">
        <f>'Assets-Liab 5-6'!D27</f>
        <v>197565</v>
      </c>
      <c r="D6143" s="2" t="str">
        <f t="shared" ref="D6143:D6206" si="95">IF(ISBLANK(B6143),"OK",IF(A6143-B6143=0,"OK","Error?"))</f>
        <v>Error?</v>
      </c>
      <c r="E6143" s="2" t="s">
        <v>190</v>
      </c>
    </row>
    <row r="6144" spans="1:5" x14ac:dyDescent="0.2">
      <c r="A6144">
        <v>6083</v>
      </c>
      <c r="B6144" s="138">
        <f>'Assets-Liab 5-6'!E27</f>
        <v>26878</v>
      </c>
      <c r="D6144" s="2" t="str">
        <f t="shared" si="95"/>
        <v>Error?</v>
      </c>
      <c r="E6144" s="2" t="s">
        <v>190</v>
      </c>
    </row>
    <row r="6145" spans="1:5" x14ac:dyDescent="0.2">
      <c r="A6145">
        <v>6084</v>
      </c>
      <c r="B6145" s="138">
        <f>'Assets-Liab 5-6'!F27</f>
        <v>650</v>
      </c>
      <c r="D6145" s="2" t="str">
        <f t="shared" si="95"/>
        <v>Error?</v>
      </c>
      <c r="E6145" s="2" t="s">
        <v>190</v>
      </c>
    </row>
    <row r="6146" spans="1:5" x14ac:dyDescent="0.2">
      <c r="A6146">
        <v>6085</v>
      </c>
      <c r="B6146" s="138">
        <f>'Assets-Liab 5-6'!G27</f>
        <v>168991</v>
      </c>
      <c r="D6146" s="2" t="str">
        <f t="shared" si="95"/>
        <v>Error?</v>
      </c>
      <c r="E6146" s="2" t="s">
        <v>190</v>
      </c>
    </row>
    <row r="6147" spans="1:5" x14ac:dyDescent="0.2">
      <c r="A6147">
        <v>6086</v>
      </c>
      <c r="B6147" s="138">
        <f>'Assets-Liab 5-6'!H27</f>
        <v>855876</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144083</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-385699</v>
      </c>
      <c r="D6267" s="2" t="str">
        <f t="shared" si="96"/>
        <v>Error?</v>
      </c>
      <c r="E6267" s="2" t="s">
        <v>190</v>
      </c>
    </row>
    <row r="6268" spans="1:5" x14ac:dyDescent="0.2">
      <c r="A6268">
        <v>6207</v>
      </c>
      <c r="B6268" s="138">
        <f>'Acct Summary 7-8'!D82</f>
        <v>804986</v>
      </c>
      <c r="D6268" s="2" t="str">
        <f t="shared" si="96"/>
        <v>Error?</v>
      </c>
      <c r="E6268" s="2" t="s">
        <v>190</v>
      </c>
    </row>
    <row r="6269" spans="1:5" x14ac:dyDescent="0.2">
      <c r="A6269">
        <v>6208</v>
      </c>
      <c r="B6269" s="138">
        <f>'Acct Summary 7-8'!E82</f>
        <v>5248</v>
      </c>
      <c r="D6269" s="2" t="str">
        <f t="shared" si="96"/>
        <v>Error?</v>
      </c>
      <c r="E6269" s="2" t="s">
        <v>190</v>
      </c>
    </row>
    <row r="6270" spans="1:5" x14ac:dyDescent="0.2">
      <c r="A6270">
        <v>6209</v>
      </c>
      <c r="B6270" s="138">
        <f>'Acct Summary 7-8'!F82</f>
        <v>256229</v>
      </c>
      <c r="D6270" s="2" t="str">
        <f t="shared" si="96"/>
        <v>Error?</v>
      </c>
      <c r="E6270" s="2" t="s">
        <v>190</v>
      </c>
    </row>
    <row r="6271" spans="1:5" x14ac:dyDescent="0.2">
      <c r="A6271">
        <v>6210</v>
      </c>
      <c r="B6271" s="138">
        <f>'Acct Summary 7-8'!G82</f>
        <v>-45205</v>
      </c>
      <c r="D6271" s="2" t="str">
        <f t="shared" ref="D6271:D6334" si="97">IF(ISBLANK(B6271),"OK",IF(A6271-B6271=0,"OK","Error?"))</f>
        <v>Error?</v>
      </c>
      <c r="E6271" s="2" t="s">
        <v>190</v>
      </c>
    </row>
    <row r="6272" spans="1:5" x14ac:dyDescent="0.2">
      <c r="A6272">
        <v>6211</v>
      </c>
      <c r="B6272" s="138">
        <f>'Acct Summary 7-8'!H82</f>
        <v>-3136745</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-631208</v>
      </c>
      <c r="D6275" s="2" t="str">
        <f t="shared" si="97"/>
        <v>Error?</v>
      </c>
      <c r="E6275" s="2" t="s">
        <v>190</v>
      </c>
    </row>
    <row r="6276" spans="1:5" x14ac:dyDescent="0.2">
      <c r="A6276">
        <v>6215</v>
      </c>
      <c r="B6276" s="138">
        <f>'Acct Summary 7-8'!C83</f>
        <v>-3.0381257810965227E-2</v>
      </c>
      <c r="D6276" s="2" t="str">
        <f t="shared" si="97"/>
        <v>Error?</v>
      </c>
      <c r="E6276" s="2" t="s">
        <v>190</v>
      </c>
    </row>
    <row r="6277" spans="1:5" x14ac:dyDescent="0.2">
      <c r="A6277">
        <v>6216</v>
      </c>
      <c r="B6277" s="138">
        <f>'Acct Summary 7-8'!D83</f>
        <v>0.40552531554700272</v>
      </c>
      <c r="D6277" s="2" t="str">
        <f t="shared" si="97"/>
        <v>Error?</v>
      </c>
      <c r="E6277" s="2" t="s">
        <v>190</v>
      </c>
    </row>
    <row r="6278" spans="1:5" x14ac:dyDescent="0.2">
      <c r="A6278">
        <v>6217</v>
      </c>
      <c r="B6278" s="138">
        <f>'Acct Summary 7-8'!E83</f>
        <v>5.9647005204337593E-3</v>
      </c>
      <c r="D6278" s="2" t="str">
        <f t="shared" si="97"/>
        <v>Error?</v>
      </c>
      <c r="E6278" s="2" t="s">
        <v>190</v>
      </c>
    </row>
    <row r="6279" spans="1:5" x14ac:dyDescent="0.2">
      <c r="A6279">
        <v>6218</v>
      </c>
      <c r="B6279" s="138">
        <f>'Acct Summary 7-8'!F83</f>
        <v>0.13522767874342212</v>
      </c>
      <c r="D6279" s="2" t="str">
        <f t="shared" si="97"/>
        <v>Error?</v>
      </c>
      <c r="E6279" s="2" t="s">
        <v>190</v>
      </c>
    </row>
    <row r="6280" spans="1:5" x14ac:dyDescent="0.2">
      <c r="A6280">
        <v>6219</v>
      </c>
      <c r="B6280" s="138">
        <f>'Acct Summary 7-8'!G83</f>
        <v>-5.1604116913775859E-2</v>
      </c>
      <c r="D6280" s="2" t="str">
        <f t="shared" si="97"/>
        <v>Error?</v>
      </c>
      <c r="E6280" s="2" t="s">
        <v>190</v>
      </c>
    </row>
    <row r="6281" spans="1:5" x14ac:dyDescent="0.2">
      <c r="A6281">
        <v>6220</v>
      </c>
      <c r="B6281" s="138">
        <f>'Acct Summary 7-8'!H83</f>
        <v>-0.44092532968419335</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-0.49496144728907748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8570</v>
      </c>
      <c r="D7009" s="2" t="str">
        <f t="shared" si="108"/>
        <v>Error?</v>
      </c>
    </row>
    <row r="7010" spans="1:4" x14ac:dyDescent="0.2">
      <c r="A7010">
        <v>6949</v>
      </c>
      <c r="B7010" s="138">
        <f>'Expenditures 15-22'!K99</f>
        <v>8570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8570</v>
      </c>
      <c r="D7012" s="2" t="str">
        <f t="shared" si="108"/>
        <v>Error?</v>
      </c>
    </row>
    <row r="7013" spans="1:4" x14ac:dyDescent="0.2">
      <c r="A7013">
        <v>6952</v>
      </c>
      <c r="B7013" s="138">
        <f>'Expenditures 15-22'!K100</f>
        <v>8570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4008071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738961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73619</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73619</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3993532</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3818532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1989</v>
      </c>
      <c r="B4" s="2422"/>
      <c r="C4" s="2422"/>
      <c r="D4" s="2422"/>
      <c r="E4" s="2422"/>
      <c r="F4" s="2422"/>
      <c r="G4" s="2422"/>
      <c r="H4" s="2422"/>
      <c r="I4" s="2422"/>
      <c r="J4" s="2422"/>
      <c r="K4" s="2422"/>
      <c r="L4" s="242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5" t="str">
        <f>COVER!A17</f>
        <v>Deerfield SD 109</v>
      </c>
      <c r="B7" s="2386"/>
      <c r="C7" s="2386"/>
      <c r="D7" s="2423"/>
      <c r="E7" s="2424">
        <f>COVER!A13</f>
        <v>34049109002</v>
      </c>
      <c r="F7" s="2425"/>
      <c r="G7" s="2392" t="str">
        <f>COVER!T23</f>
        <v>066-033289</v>
      </c>
      <c r="H7" s="2393"/>
      <c r="I7" s="2393"/>
      <c r="J7" s="2393"/>
      <c r="K7" s="2393"/>
      <c r="L7" s="239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5"/>
      <c r="B9" s="2396"/>
      <c r="C9" s="2396"/>
      <c r="D9" s="2396"/>
      <c r="E9" s="2396"/>
      <c r="F9" s="2397"/>
      <c r="G9" s="2398" t="str">
        <f>COVER!T13</f>
        <v>Evoy, Kamschulte, Jacobs &amp; Co. LLP</v>
      </c>
      <c r="H9" s="2399"/>
      <c r="I9" s="2399"/>
      <c r="J9" s="2399"/>
      <c r="K9" s="2399"/>
      <c r="L9" s="2400"/>
    </row>
    <row r="10" spans="1:29" ht="13.5" customHeight="1" x14ac:dyDescent="0.2">
      <c r="A10" s="2382" t="str">
        <f>COVER!A38</f>
        <v>Dr. Anthony McConnell</v>
      </c>
      <c r="B10" s="2383"/>
      <c r="C10" s="2383"/>
      <c r="D10" s="2383"/>
      <c r="E10" s="2383"/>
      <c r="F10" s="2384"/>
      <c r="G10" s="2398" t="str">
        <f>COVER!T17</f>
        <v>2122 Yeoman Street</v>
      </c>
      <c r="H10" s="2411"/>
      <c r="I10" s="2411"/>
      <c r="J10" s="2411"/>
      <c r="K10" s="2411"/>
      <c r="L10" s="2412"/>
    </row>
    <row r="11" spans="1:29" ht="13.5" customHeight="1" x14ac:dyDescent="0.2">
      <c r="A11" s="1183" t="s">
        <v>1519</v>
      </c>
      <c r="B11" s="1184"/>
      <c r="C11" s="1185"/>
      <c r="D11" s="1190"/>
      <c r="E11" s="1185"/>
      <c r="F11" s="1189"/>
      <c r="G11" s="2398" t="str">
        <f>COVER!T19</f>
        <v>Waukegan</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jaceto@ekjllp.com</v>
      </c>
      <c r="J13" s="2420"/>
      <c r="K13" s="2420"/>
      <c r="L13" s="2421"/>
    </row>
    <row r="14" spans="1:29" ht="13.5" customHeight="1" x14ac:dyDescent="0.2">
      <c r="A14" s="2398" t="str">
        <f>COVER!A19</f>
        <v>517 Deerfield Road</v>
      </c>
      <c r="B14" s="2411"/>
      <c r="C14" s="2411"/>
      <c r="D14" s="2411"/>
      <c r="E14" s="2411"/>
      <c r="F14" s="2412"/>
      <c r="G14" s="1194" t="s">
        <v>1185</v>
      </c>
      <c r="H14" s="1192"/>
      <c r="I14" s="1192"/>
      <c r="J14" s="1192"/>
      <c r="K14" s="1192"/>
      <c r="L14" s="1193"/>
    </row>
    <row r="15" spans="1:29" ht="13.5" customHeight="1" x14ac:dyDescent="0.2">
      <c r="A15" s="2398" t="str">
        <f>COVER!A21</f>
        <v xml:space="preserve">Deerfield </v>
      </c>
      <c r="B15" s="2411"/>
      <c r="C15" s="2411"/>
      <c r="D15" s="2411"/>
      <c r="E15" s="2411"/>
      <c r="F15" s="2412"/>
      <c r="G15" s="2408" t="str">
        <f>COVER!T15</f>
        <v>John D. Aceto, Jr., CPA</v>
      </c>
      <c r="H15" s="2409"/>
      <c r="I15" s="2409"/>
      <c r="J15" s="2409"/>
      <c r="K15" s="2409"/>
      <c r="L15" s="2410"/>
    </row>
    <row r="16" spans="1:29" ht="12.2" customHeight="1" x14ac:dyDescent="0.2">
      <c r="A16" s="2388">
        <f>COVER!A25</f>
        <v>60015</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4" t="s">
        <v>1184</v>
      </c>
      <c r="H17" s="1192"/>
      <c r="I17" s="1192"/>
      <c r="J17" s="1192"/>
      <c r="K17" s="1196" t="s">
        <v>1183</v>
      </c>
      <c r="L17" s="1189"/>
      <c r="M17" s="1182"/>
    </row>
    <row r="18" spans="1:13" ht="12.2" customHeight="1" x14ac:dyDescent="0.2">
      <c r="A18" s="2382"/>
      <c r="B18" s="2383"/>
      <c r="C18" s="2383"/>
      <c r="D18" s="2383"/>
      <c r="E18" s="2383"/>
      <c r="F18" s="2384"/>
      <c r="G18" s="2385" t="str">
        <f>COVER!T21</f>
        <v>847-662-8300</v>
      </c>
      <c r="H18" s="2386"/>
      <c r="I18" s="2386"/>
      <c r="J18" s="2386"/>
      <c r="K18" s="2385" t="str">
        <f>COVER!X21</f>
        <v>847-662-8305</v>
      </c>
      <c r="L18" s="238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9"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6" t="str">
        <f>'Single Audit Cover'!A7</f>
        <v>Deerfield SD 109</v>
      </c>
      <c r="B1" s="2422"/>
      <c r="C1" s="2422"/>
      <c r="D1" s="2422"/>
    </row>
    <row r="2" spans="1:11" s="1211" customFormat="1" ht="12.75" x14ac:dyDescent="0.2">
      <c r="A2" s="2427">
        <f>'Single Audit Cover'!E7</f>
        <v>34049109002</v>
      </c>
      <c r="B2" s="2428"/>
      <c r="C2" s="2428"/>
      <c r="D2" s="2428"/>
    </row>
    <row r="3" spans="1:11" s="1211" customFormat="1" ht="12.75" x14ac:dyDescent="0.2">
      <c r="A3" s="2426" t="s">
        <v>1513</v>
      </c>
      <c r="B3" s="2422"/>
      <c r="C3" s="2422"/>
      <c r="D3" s="242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0" t="str">
        <f>'Single Audit Cover'!A7</f>
        <v>Deerfield SD 109</v>
      </c>
      <c r="B1" s="2430"/>
      <c r="C1" s="2430"/>
      <c r="D1" s="2430"/>
      <c r="E1" s="2430"/>
    </row>
    <row r="2" spans="1:5" x14ac:dyDescent="0.2">
      <c r="A2" s="2431">
        <f>'Single Audit Cover'!E7</f>
        <v>34049109002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6" t="s">
        <v>1243</v>
      </c>
    </row>
    <row r="10" spans="1:5" x14ac:dyDescent="0.2">
      <c r="A10" s="1257" t="s">
        <v>1242</v>
      </c>
      <c r="B10" s="1258" t="s">
        <v>1241</v>
      </c>
      <c r="C10" s="1258"/>
      <c r="D10" s="1259">
        <f>SUM('Acct Summary 7-8'!C7:K7)</f>
        <v>750601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0</v>
      </c>
    </row>
    <row r="19" spans="1:4" ht="13.5" thickBot="1" x14ac:dyDescent="0.25">
      <c r="A19" s="1261" t="s">
        <v>1235</v>
      </c>
      <c r="D19" s="1262">
        <f>SUM(D10:D17)</f>
        <v>750601</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2"/>
      <c r="B24" s="2432"/>
      <c r="D24" s="1264"/>
    </row>
    <row r="25" spans="1:4" x14ac:dyDescent="0.2">
      <c r="A25" s="2429"/>
      <c r="B25" s="2429"/>
      <c r="D25" s="1264"/>
    </row>
    <row r="26" spans="1:4" x14ac:dyDescent="0.2">
      <c r="A26" s="2429"/>
      <c r="B26" s="2429"/>
      <c r="D26" s="1264"/>
    </row>
    <row r="27" spans="1:4" x14ac:dyDescent="0.2">
      <c r="A27" s="2429"/>
      <c r="B27" s="2429"/>
      <c r="D27" s="1264"/>
    </row>
    <row r="28" spans="1:4" x14ac:dyDescent="0.2">
      <c r="A28" s="2429"/>
      <c r="B28" s="2429"/>
      <c r="D28" s="1264"/>
    </row>
    <row r="29" spans="1:4" x14ac:dyDescent="0.2">
      <c r="A29" s="2429"/>
      <c r="B29" s="2429"/>
      <c r="D29" s="1264"/>
    </row>
    <row r="30" spans="1:4" x14ac:dyDescent="0.2">
      <c r="A30" s="2429"/>
      <c r="B30" s="2429"/>
      <c r="D30" s="1264"/>
    </row>
    <row r="32" spans="1:4" x14ac:dyDescent="0.2">
      <c r="A32" s="1256" t="s">
        <v>1233</v>
      </c>
      <c r="D32" s="1259">
        <f>SUM(D19:D30)</f>
        <v>750601</v>
      </c>
    </row>
    <row r="33" spans="1:4" x14ac:dyDescent="0.2">
      <c r="D33" s="1265"/>
    </row>
    <row r="34" spans="1:4" x14ac:dyDescent="0.2">
      <c r="A34" s="317" t="s">
        <v>1232</v>
      </c>
    </row>
    <row r="35" spans="1:4" x14ac:dyDescent="0.2">
      <c r="A35" s="317" t="s">
        <v>1231</v>
      </c>
      <c r="B35" s="1254" t="s">
        <v>1230</v>
      </c>
      <c r="D35" s="1266">
        <v>750601</v>
      </c>
    </row>
    <row r="37" spans="1:4" x14ac:dyDescent="0.2">
      <c r="A37" s="1256" t="s">
        <v>1229</v>
      </c>
    </row>
    <row r="39" spans="1:4" ht="13.35" customHeight="1" x14ac:dyDescent="0.2">
      <c r="A39" s="1263" t="s">
        <v>1228</v>
      </c>
    </row>
    <row r="40" spans="1:4" x14ac:dyDescent="0.2">
      <c r="A40" s="2429"/>
      <c r="B40" s="2429"/>
      <c r="D40" s="1264"/>
    </row>
    <row r="41" spans="1:4" x14ac:dyDescent="0.2">
      <c r="A41" s="2429"/>
      <c r="B41" s="2429"/>
      <c r="D41" s="1267"/>
    </row>
    <row r="42" spans="1:4" x14ac:dyDescent="0.2">
      <c r="A42" s="2429"/>
      <c r="B42" s="2429"/>
      <c r="D42" s="1267"/>
    </row>
    <row r="43" spans="1:4" x14ac:dyDescent="0.2">
      <c r="A43" s="2429"/>
      <c r="B43" s="2429"/>
      <c r="D43" s="1267"/>
    </row>
    <row r="44" spans="1:4" x14ac:dyDescent="0.2">
      <c r="A44" s="2429"/>
      <c r="B44" s="2429"/>
      <c r="D44" s="1267"/>
    </row>
    <row r="45" spans="1:4" x14ac:dyDescent="0.2">
      <c r="A45" s="2429"/>
      <c r="B45" s="2429"/>
      <c r="D45" s="1267"/>
    </row>
    <row r="47" spans="1:4" x14ac:dyDescent="0.2">
      <c r="B47" s="1268" t="s">
        <v>1227</v>
      </c>
      <c r="C47" s="1268"/>
      <c r="D47" s="1269">
        <f>SUM(D35:D45)</f>
        <v>750601</v>
      </c>
    </row>
    <row r="49" spans="2:4" x14ac:dyDescent="0.2">
      <c r="B49" s="1268" t="s">
        <v>1226</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H25" sqref="H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1" t="str">
        <f>'Single Audit Cover'!A7</f>
        <v>Deerfield SD 109</v>
      </c>
      <c r="C1" s="2434"/>
      <c r="D1" s="2434"/>
      <c r="E1" s="2434"/>
      <c r="F1" s="2434"/>
      <c r="G1" s="2434"/>
      <c r="H1" s="2434"/>
      <c r="I1" s="2434"/>
      <c r="J1" s="2434"/>
      <c r="K1" s="2434"/>
      <c r="L1" s="2434"/>
      <c r="M1" s="2434"/>
    </row>
    <row r="2" spans="2:14" ht="15" x14ac:dyDescent="0.2">
      <c r="B2" s="2435">
        <f>'Single Audit Cover'!E7</f>
        <v>34049109002</v>
      </c>
      <c r="C2" s="2435"/>
      <c r="D2" s="2435"/>
      <c r="E2" s="2435"/>
      <c r="F2" s="2435"/>
      <c r="G2" s="2435"/>
      <c r="H2" s="2435"/>
      <c r="I2" s="2435"/>
      <c r="J2" s="2435"/>
      <c r="K2" s="2435"/>
      <c r="L2" s="2435"/>
      <c r="M2" s="2435"/>
      <c r="N2" s="1298"/>
    </row>
    <row r="3" spans="2:14" ht="15" x14ac:dyDescent="0.2">
      <c r="B3" s="2436" t="s">
        <v>1219</v>
      </c>
      <c r="C3" s="2436"/>
      <c r="D3" s="2436"/>
      <c r="E3" s="2436"/>
      <c r="F3" s="2436"/>
      <c r="G3" s="2436"/>
      <c r="H3" s="2436"/>
      <c r="I3" s="2436"/>
      <c r="J3" s="2436"/>
      <c r="K3" s="2436"/>
      <c r="L3" s="2436"/>
      <c r="M3" s="2436"/>
      <c r="N3" s="1298"/>
    </row>
    <row r="4" spans="2:14" ht="15" x14ac:dyDescent="0.2">
      <c r="B4" s="2437" t="str">
        <f>'Single Audit Cover'!A4</f>
        <v>Year Ending June 30, 2019</v>
      </c>
      <c r="C4" s="2437"/>
      <c r="D4" s="2437"/>
      <c r="E4" s="2437"/>
      <c r="F4" s="2437"/>
      <c r="G4" s="2437"/>
      <c r="H4" s="2437"/>
      <c r="I4" s="2437"/>
      <c r="J4" s="2437"/>
      <c r="K4" s="2437"/>
      <c r="L4" s="2437"/>
      <c r="M4" s="243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2102</v>
      </c>
      <c r="C11" s="1334"/>
      <c r="D11" s="1335"/>
      <c r="E11" s="1336"/>
      <c r="F11" s="1336"/>
      <c r="G11" s="1336"/>
      <c r="H11" s="1336"/>
      <c r="I11" s="1336"/>
      <c r="J11" s="1336"/>
      <c r="K11" s="1336"/>
      <c r="L11" s="1336">
        <f>+G11+I11+K11</f>
        <v>0</v>
      </c>
      <c r="M11" s="1336"/>
    </row>
    <row r="12" spans="2:14" ht="20.100000000000001" customHeight="1" x14ac:dyDescent="0.2">
      <c r="B12" s="1333" t="s">
        <v>2103</v>
      </c>
      <c r="C12" s="1337"/>
      <c r="D12" s="1338"/>
      <c r="E12" s="1339"/>
      <c r="F12" s="1339"/>
      <c r="G12" s="1339"/>
      <c r="H12" s="1339"/>
      <c r="I12" s="1339"/>
      <c r="J12" s="1339"/>
      <c r="K12" s="1339"/>
      <c r="L12" s="1336">
        <f t="shared" ref="L12:L14" si="0">+G12+I12+K12</f>
        <v>0</v>
      </c>
      <c r="M12" s="1339"/>
    </row>
    <row r="13" spans="2:14" ht="20.100000000000001" customHeight="1" x14ac:dyDescent="0.2">
      <c r="B13" s="1333" t="s">
        <v>2104</v>
      </c>
      <c r="C13" s="1337">
        <v>10.555999999999999</v>
      </c>
      <c r="D13" s="1338" t="s">
        <v>2105</v>
      </c>
      <c r="E13" s="1339">
        <v>16772</v>
      </c>
      <c r="F13" s="1339">
        <v>3549</v>
      </c>
      <c r="G13" s="1339">
        <v>16772</v>
      </c>
      <c r="H13" s="1339"/>
      <c r="I13" s="1339">
        <v>3549</v>
      </c>
      <c r="J13" s="1339"/>
      <c r="K13" s="1339"/>
      <c r="L13" s="1336">
        <f t="shared" si="0"/>
        <v>20321</v>
      </c>
      <c r="M13" s="1339" t="s">
        <v>2107</v>
      </c>
    </row>
    <row r="14" spans="2:14" ht="20.100000000000001" customHeight="1" x14ac:dyDescent="0.2">
      <c r="B14" s="1333" t="s">
        <v>2104</v>
      </c>
      <c r="C14" s="1337">
        <v>10.555999999999999</v>
      </c>
      <c r="D14" s="1338" t="s">
        <v>2106</v>
      </c>
      <c r="E14" s="1339"/>
      <c r="F14" s="1339">
        <v>15941</v>
      </c>
      <c r="G14" s="1339"/>
      <c r="H14" s="1339"/>
      <c r="I14" s="1339">
        <v>15941</v>
      </c>
      <c r="J14" s="1339"/>
      <c r="K14" s="1339"/>
      <c r="L14" s="1336">
        <f t="shared" si="0"/>
        <v>15941</v>
      </c>
      <c r="M14" s="1339" t="s">
        <v>2107</v>
      </c>
    </row>
    <row r="15" spans="2:14" ht="20.100000000000001" customHeight="1" x14ac:dyDescent="0.2">
      <c r="B15" s="1333" t="s">
        <v>2108</v>
      </c>
      <c r="C15" s="1337"/>
      <c r="D15" s="1338"/>
      <c r="E15" s="1339">
        <v>16772</v>
      </c>
      <c r="F15" s="1339">
        <v>19490</v>
      </c>
      <c r="G15" s="1339">
        <v>16772</v>
      </c>
      <c r="H15" s="1339"/>
      <c r="I15" s="1339">
        <v>19490</v>
      </c>
      <c r="J15" s="1339"/>
      <c r="K15" s="1339"/>
      <c r="L15" s="1336">
        <f t="shared" ref="L15:L27" si="1">+G15+I15+K15</f>
        <v>36262</v>
      </c>
      <c r="M15" s="1339"/>
    </row>
    <row r="16" spans="2:14" ht="20.100000000000001" customHeight="1" x14ac:dyDescent="0.2">
      <c r="B16" s="1333"/>
      <c r="C16" s="1337"/>
      <c r="D16" s="1338"/>
      <c r="E16" s="1339"/>
      <c r="F16" s="1339"/>
      <c r="G16" s="1339"/>
      <c r="H16" s="1339"/>
      <c r="I16" s="1339"/>
      <c r="J16" s="1339"/>
      <c r="K16" s="1339"/>
      <c r="L16" s="1336">
        <f t="shared" si="1"/>
        <v>0</v>
      </c>
      <c r="M16" s="1339"/>
    </row>
    <row r="17" spans="2:14" ht="20.100000000000001" customHeight="1" x14ac:dyDescent="0.2">
      <c r="B17" s="1333" t="s">
        <v>2109</v>
      </c>
      <c r="C17" s="1337"/>
      <c r="D17" s="1338"/>
      <c r="E17" s="1339"/>
      <c r="F17" s="1339"/>
      <c r="G17" s="1339"/>
      <c r="H17" s="1339"/>
      <c r="I17" s="1339"/>
      <c r="J17" s="1339"/>
      <c r="K17" s="1339"/>
      <c r="L17" s="1336">
        <f t="shared" si="1"/>
        <v>0</v>
      </c>
      <c r="M17" s="1339"/>
    </row>
    <row r="18" spans="2:14" ht="20.100000000000001" customHeight="1" x14ac:dyDescent="0.2">
      <c r="B18" s="1333" t="s">
        <v>2113</v>
      </c>
      <c r="C18" s="1337"/>
      <c r="D18" s="1338"/>
      <c r="E18" s="1339"/>
      <c r="F18" s="1339"/>
      <c r="G18" s="1339"/>
      <c r="H18" s="1339"/>
      <c r="I18" s="1339"/>
      <c r="J18" s="1339"/>
      <c r="K18" s="1339"/>
      <c r="L18" s="1336">
        <f t="shared" si="1"/>
        <v>0</v>
      </c>
      <c r="M18" s="1339"/>
    </row>
    <row r="19" spans="2:14" ht="20.100000000000001" customHeight="1" x14ac:dyDescent="0.2">
      <c r="B19" s="1333" t="s">
        <v>2114</v>
      </c>
      <c r="C19" s="1337" t="s">
        <v>2110</v>
      </c>
      <c r="D19" s="1338" t="s">
        <v>2133</v>
      </c>
      <c r="E19" s="1339"/>
      <c r="F19" s="1339">
        <v>30754</v>
      </c>
      <c r="G19" s="1339"/>
      <c r="H19" s="1339"/>
      <c r="I19" s="1339">
        <v>30754</v>
      </c>
      <c r="J19" s="1339"/>
      <c r="K19" s="1339"/>
      <c r="L19" s="1336">
        <f t="shared" si="1"/>
        <v>30754</v>
      </c>
      <c r="M19" s="1339">
        <v>30753</v>
      </c>
    </row>
    <row r="20" spans="2:14" ht="20.100000000000001" customHeight="1" x14ac:dyDescent="0.2">
      <c r="B20" s="1333" t="s">
        <v>2115</v>
      </c>
      <c r="C20" s="1337" t="s">
        <v>2110</v>
      </c>
      <c r="D20" s="1338" t="s">
        <v>2116</v>
      </c>
      <c r="E20" s="1339"/>
      <c r="F20" s="1339">
        <v>528379</v>
      </c>
      <c r="G20" s="1339"/>
      <c r="H20" s="1339"/>
      <c r="I20" s="1339">
        <v>528379</v>
      </c>
      <c r="J20" s="1339"/>
      <c r="K20" s="1339"/>
      <c r="L20" s="1336">
        <f t="shared" si="1"/>
        <v>528379</v>
      </c>
      <c r="M20" s="1339">
        <v>528379</v>
      </c>
    </row>
    <row r="21" spans="2:14" ht="20.100000000000001" customHeight="1" x14ac:dyDescent="0.2">
      <c r="B21" s="1333" t="s">
        <v>2118</v>
      </c>
      <c r="C21" s="1337"/>
      <c r="D21" s="1338"/>
      <c r="E21" s="1339"/>
      <c r="F21" s="1339">
        <v>559133</v>
      </c>
      <c r="G21" s="1339"/>
      <c r="H21" s="1339"/>
      <c r="I21" s="1339">
        <v>559133</v>
      </c>
      <c r="J21" s="1339"/>
      <c r="K21" s="1339"/>
      <c r="L21" s="1336">
        <f t="shared" si="1"/>
        <v>559133</v>
      </c>
      <c r="M21" s="1339"/>
    </row>
    <row r="22" spans="2:14" ht="20.100000000000001" customHeight="1" x14ac:dyDescent="0.2">
      <c r="B22" s="1333" t="s">
        <v>2103</v>
      </c>
      <c r="C22" s="1337"/>
      <c r="D22" s="1338"/>
      <c r="E22" s="1339"/>
      <c r="F22" s="1339"/>
      <c r="G22" s="1339"/>
      <c r="H22" s="1339"/>
      <c r="I22" s="1339"/>
      <c r="J22" s="1339"/>
      <c r="K22" s="1339"/>
      <c r="L22" s="1336">
        <f t="shared" si="1"/>
        <v>0</v>
      </c>
      <c r="M22" s="1339"/>
    </row>
    <row r="23" spans="2:14" ht="20.100000000000001" customHeight="1" x14ac:dyDescent="0.2">
      <c r="B23" s="1333" t="s">
        <v>2131</v>
      </c>
      <c r="C23" s="1337" t="s">
        <v>2110</v>
      </c>
      <c r="D23" s="1338" t="s">
        <v>2111</v>
      </c>
      <c r="E23" s="1339">
        <v>3853</v>
      </c>
      <c r="F23" s="1339"/>
      <c r="G23" s="1339">
        <v>3853</v>
      </c>
      <c r="H23" s="1339"/>
      <c r="I23" s="1339"/>
      <c r="J23" s="1339"/>
      <c r="K23" s="1339"/>
      <c r="L23" s="1336">
        <f t="shared" si="1"/>
        <v>3853</v>
      </c>
      <c r="M23" s="1339" t="s">
        <v>2107</v>
      </c>
    </row>
    <row r="24" spans="2:14" ht="20.100000000000001" customHeight="1" x14ac:dyDescent="0.2">
      <c r="B24" s="1333" t="s">
        <v>2132</v>
      </c>
      <c r="C24" s="1337" t="s">
        <v>2110</v>
      </c>
      <c r="D24" s="1338" t="s">
        <v>2112</v>
      </c>
      <c r="E24" s="1339"/>
      <c r="F24" s="1339">
        <v>20866</v>
      </c>
      <c r="G24" s="1339">
        <v>20866</v>
      </c>
      <c r="H24" s="1339"/>
      <c r="I24" s="1339"/>
      <c r="J24" s="1339"/>
      <c r="K24" s="1339"/>
      <c r="L24" s="1336">
        <f t="shared" si="1"/>
        <v>20866</v>
      </c>
      <c r="M24" s="1339" t="s">
        <v>2107</v>
      </c>
    </row>
    <row r="25" spans="2:14" ht="20.100000000000001" customHeight="1" x14ac:dyDescent="0.2">
      <c r="B25" s="1333" t="s">
        <v>2117</v>
      </c>
      <c r="C25" s="1337"/>
      <c r="D25" s="1338"/>
      <c r="E25" s="1339"/>
      <c r="F25" s="1339"/>
      <c r="G25" s="1339"/>
      <c r="H25" s="1339"/>
      <c r="I25" s="1339"/>
      <c r="J25" s="1339"/>
      <c r="K25" s="1339"/>
      <c r="L25" s="1336">
        <f t="shared" si="1"/>
        <v>0</v>
      </c>
      <c r="M25" s="1339"/>
    </row>
    <row r="26" spans="2:14" ht="20.100000000000001" customHeight="1" x14ac:dyDescent="0.2">
      <c r="B26" s="1333"/>
      <c r="C26" s="1337"/>
      <c r="D26" s="1338"/>
      <c r="E26" s="1339"/>
      <c r="F26" s="1339"/>
      <c r="G26" s="1339"/>
      <c r="H26" s="1339"/>
      <c r="I26" s="1339"/>
      <c r="J26" s="1339"/>
      <c r="K26" s="1339"/>
      <c r="L26" s="1336">
        <f t="shared" si="1"/>
        <v>0</v>
      </c>
      <c r="M26" s="1339"/>
    </row>
    <row r="27" spans="2:14" ht="20.100000000000001" customHeight="1" x14ac:dyDescent="0.2">
      <c r="B27" s="1333"/>
      <c r="C27" s="1337"/>
      <c r="D27" s="1338"/>
      <c r="E27" s="1339"/>
      <c r="F27" s="1339"/>
      <c r="G27" s="1339"/>
      <c r="H27" s="1339"/>
      <c r="I27" s="1339"/>
      <c r="J27" s="1339"/>
      <c r="K27" s="1339"/>
      <c r="L27" s="1336">
        <f t="shared" si="1"/>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25" sqref="B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1" t="str">
        <f>'Single Audit Cover'!A7</f>
        <v>Deerfield SD 109</v>
      </c>
      <c r="C1" s="2434"/>
      <c r="D1" s="2434"/>
      <c r="E1" s="2434"/>
      <c r="F1" s="2434"/>
      <c r="G1" s="2434"/>
      <c r="H1" s="2434"/>
      <c r="I1" s="2434"/>
      <c r="J1" s="2434"/>
      <c r="K1" s="2434"/>
      <c r="L1" s="2434"/>
      <c r="M1" s="2434"/>
    </row>
    <row r="2" spans="2:14" ht="15" x14ac:dyDescent="0.2">
      <c r="B2" s="2435">
        <f>'Single Audit Cover'!E7</f>
        <v>34049109002</v>
      </c>
      <c r="C2" s="2435"/>
      <c r="D2" s="2435"/>
      <c r="E2" s="2435"/>
      <c r="F2" s="2435"/>
      <c r="G2" s="2435"/>
      <c r="H2" s="2435"/>
      <c r="I2" s="2435"/>
      <c r="J2" s="2435"/>
      <c r="K2" s="2435"/>
      <c r="L2" s="2435"/>
      <c r="M2" s="2435"/>
      <c r="N2" s="1298"/>
    </row>
    <row r="3" spans="2:14" ht="15" x14ac:dyDescent="0.2">
      <c r="B3" s="2436" t="s">
        <v>1219</v>
      </c>
      <c r="C3" s="2436"/>
      <c r="D3" s="2436"/>
      <c r="E3" s="2436"/>
      <c r="F3" s="2436"/>
      <c r="G3" s="2436"/>
      <c r="H3" s="2436"/>
      <c r="I3" s="2436"/>
      <c r="J3" s="2436"/>
      <c r="K3" s="2436"/>
      <c r="L3" s="2436"/>
      <c r="M3" s="2436"/>
      <c r="N3" s="1298"/>
    </row>
    <row r="4" spans="2:14" ht="15" x14ac:dyDescent="0.2">
      <c r="B4" s="2437" t="str">
        <f>'Single Audit Cover'!A4</f>
        <v>Year Ending June 30, 2019</v>
      </c>
      <c r="C4" s="2437"/>
      <c r="D4" s="2437"/>
      <c r="E4" s="2437"/>
      <c r="F4" s="2437"/>
      <c r="G4" s="2437"/>
      <c r="H4" s="2437"/>
      <c r="I4" s="2437"/>
      <c r="J4" s="2437"/>
      <c r="K4" s="2437"/>
      <c r="L4" s="2437"/>
      <c r="M4" s="243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2119</v>
      </c>
      <c r="C11" s="1334"/>
      <c r="D11" s="1335"/>
      <c r="E11" s="1336"/>
      <c r="F11" s="1336"/>
      <c r="G11" s="1336"/>
      <c r="H11" s="1336"/>
      <c r="I11" s="1336"/>
      <c r="J11" s="1336"/>
      <c r="K11" s="1336"/>
      <c r="L11" s="1336">
        <f>+G11+I11+K11</f>
        <v>0</v>
      </c>
      <c r="M11" s="1336"/>
    </row>
    <row r="12" spans="2:14" ht="20.100000000000001" customHeight="1" x14ac:dyDescent="0.2">
      <c r="B12" s="1333" t="s">
        <v>2120</v>
      </c>
      <c r="C12" s="1337"/>
      <c r="D12" s="1338"/>
      <c r="E12" s="1339"/>
      <c r="F12" s="1339"/>
      <c r="G12" s="1339"/>
      <c r="H12" s="1339"/>
      <c r="I12" s="1339"/>
      <c r="J12" s="1339"/>
      <c r="K12" s="1339"/>
      <c r="L12" s="1336">
        <f t="shared" ref="L12:L27" si="0">+G12+I12+K12</f>
        <v>0</v>
      </c>
      <c r="M12" s="1339"/>
    </row>
    <row r="13" spans="2:14" ht="20.100000000000001" customHeight="1" x14ac:dyDescent="0.2">
      <c r="B13" s="1333" t="s">
        <v>2121</v>
      </c>
      <c r="C13" s="1337" t="s">
        <v>2122</v>
      </c>
      <c r="D13" s="1338" t="s">
        <v>2123</v>
      </c>
      <c r="E13" s="1339"/>
      <c r="F13" s="1339">
        <v>95537</v>
      </c>
      <c r="G13" s="1339"/>
      <c r="H13" s="1339"/>
      <c r="I13" s="1339">
        <v>95537</v>
      </c>
      <c r="J13" s="1339"/>
      <c r="K13" s="1339"/>
      <c r="L13" s="1336">
        <f t="shared" si="0"/>
        <v>95537</v>
      </c>
      <c r="M13" s="1339">
        <v>96343</v>
      </c>
    </row>
    <row r="14" spans="2:14" ht="20.100000000000001" customHeight="1" x14ac:dyDescent="0.2">
      <c r="B14" s="1333" t="s">
        <v>2124</v>
      </c>
      <c r="C14" s="1337" t="s">
        <v>2122</v>
      </c>
      <c r="D14" s="1338" t="s">
        <v>2125</v>
      </c>
      <c r="E14" s="1339"/>
      <c r="F14" s="1339">
        <v>1115</v>
      </c>
      <c r="G14" s="1339">
        <v>1115</v>
      </c>
      <c r="H14" s="1339"/>
      <c r="I14" s="1339"/>
      <c r="J14" s="1339"/>
      <c r="K14" s="1339"/>
      <c r="L14" s="1336">
        <f t="shared" si="0"/>
        <v>1115</v>
      </c>
      <c r="M14" s="1339"/>
    </row>
    <row r="15" spans="2:14" ht="20.100000000000001" customHeight="1" x14ac:dyDescent="0.2">
      <c r="B15" s="1333" t="s">
        <v>2126</v>
      </c>
      <c r="C15" s="1337" t="s">
        <v>2127</v>
      </c>
      <c r="D15" s="1338" t="s">
        <v>2128</v>
      </c>
      <c r="E15" s="1339"/>
      <c r="F15" s="1339">
        <v>54460</v>
      </c>
      <c r="G15" s="1339"/>
      <c r="H15" s="1339"/>
      <c r="I15" s="1339">
        <v>54460</v>
      </c>
      <c r="J15" s="1339"/>
      <c r="K15" s="1339"/>
      <c r="L15" s="1336">
        <f t="shared" si="0"/>
        <v>54460</v>
      </c>
      <c r="M15" s="1339">
        <v>55277</v>
      </c>
    </row>
    <row r="16" spans="2:14" ht="20.100000000000001" customHeight="1" x14ac:dyDescent="0.2">
      <c r="B16" s="1333" t="s">
        <v>2117</v>
      </c>
      <c r="C16" s="1337"/>
      <c r="D16" s="1338"/>
      <c r="E16" s="1339"/>
      <c r="F16" s="1339">
        <v>171978</v>
      </c>
      <c r="G16" s="1339">
        <v>25834</v>
      </c>
      <c r="H16" s="1339"/>
      <c r="I16" s="1339">
        <v>149997</v>
      </c>
      <c r="J16" s="1339"/>
      <c r="K16" s="1339"/>
      <c r="L16" s="1336">
        <f t="shared" si="0"/>
        <v>175831</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t="s">
        <v>2129</v>
      </c>
      <c r="C18" s="1337"/>
      <c r="D18" s="1338"/>
      <c r="E18" s="1339">
        <v>3853</v>
      </c>
      <c r="F18" s="1339">
        <v>731111</v>
      </c>
      <c r="G18" s="1339">
        <v>25834</v>
      </c>
      <c r="H18" s="1339"/>
      <c r="I18" s="1339">
        <v>709130</v>
      </c>
      <c r="J18" s="1339"/>
      <c r="K18" s="1339"/>
      <c r="L18" s="1336">
        <f t="shared" si="0"/>
        <v>734964</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t="s">
        <v>2130</v>
      </c>
      <c r="C20" s="1337"/>
      <c r="D20" s="1338"/>
      <c r="E20" s="1339"/>
      <c r="F20" s="1339">
        <v>750601</v>
      </c>
      <c r="G20" s="1339">
        <v>42606</v>
      </c>
      <c r="H20" s="1339"/>
      <c r="I20" s="1339">
        <v>728620</v>
      </c>
      <c r="J20" s="1339"/>
      <c r="K20" s="1339"/>
      <c r="L20" s="1336">
        <f t="shared" si="0"/>
        <v>771226</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t="s">
        <v>2134</v>
      </c>
      <c r="C23" s="1337"/>
      <c r="D23" s="1338"/>
      <c r="E23" s="1339"/>
      <c r="F23" s="1339"/>
      <c r="G23" s="1339"/>
      <c r="H23" s="1339"/>
      <c r="I23" s="1339"/>
      <c r="J23" s="1339"/>
      <c r="K23" s="1339"/>
      <c r="L23" s="1336">
        <f t="shared" si="0"/>
        <v>0</v>
      </c>
      <c r="M23" s="1339"/>
    </row>
    <row r="24" spans="2:14" ht="20.100000000000001" customHeight="1" x14ac:dyDescent="0.2">
      <c r="B24" s="1333" t="s">
        <v>2135</v>
      </c>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4"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38718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4815</v>
      </c>
      <c r="G85" s="276">
        <v>59954</v>
      </c>
      <c r="H85" s="276">
        <v>8850</v>
      </c>
      <c r="I85" s="276"/>
      <c r="J85" s="277">
        <f>SUM(E85:I85)</f>
        <v>73619</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73619</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2071</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Deerfield SD 109</v>
      </c>
      <c r="B1" s="2439"/>
      <c r="C1" s="2439"/>
      <c r="D1" s="2439"/>
      <c r="E1" s="2439"/>
      <c r="F1" s="2439"/>
    </row>
    <row r="2" spans="1:7" ht="13.5" customHeight="1" x14ac:dyDescent="0.2">
      <c r="A2" s="2435">
        <f>'Single Audit Cover'!E7</f>
        <v>34049109002</v>
      </c>
      <c r="B2" s="2435"/>
      <c r="C2" s="2435"/>
      <c r="D2" s="2435"/>
      <c r="E2" s="2435"/>
      <c r="F2" s="2435"/>
      <c r="G2" s="1271"/>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2" t="s">
        <v>1728</v>
      </c>
      <c r="C6" s="317"/>
      <c r="D6" s="317"/>
    </row>
    <row r="7" spans="1:7" ht="60.95" customHeight="1" x14ac:dyDescent="0.2">
      <c r="A7" s="2438" t="s">
        <v>1729</v>
      </c>
      <c r="B7" s="2438"/>
      <c r="C7" s="2438"/>
      <c r="D7" s="2438"/>
      <c r="E7" s="2438"/>
      <c r="F7" s="2438"/>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8" t="s">
        <v>1731</v>
      </c>
      <c r="B13" s="2438"/>
      <c r="C13" s="2438"/>
      <c r="D13" s="2438"/>
      <c r="E13" s="2438"/>
      <c r="F13" s="2438"/>
    </row>
    <row r="14" spans="1:7" ht="9.75" customHeight="1" x14ac:dyDescent="0.2">
      <c r="C14" s="1256"/>
      <c r="D14" s="1256"/>
    </row>
    <row r="15" spans="1:7" ht="13.5" customHeight="1" x14ac:dyDescent="0.2">
      <c r="C15" s="1845" t="s">
        <v>1270</v>
      </c>
      <c r="D15" s="2443" t="s">
        <v>1269</v>
      </c>
      <c r="E15" s="2443"/>
      <c r="F15" s="2443"/>
    </row>
    <row r="16" spans="1:7" ht="13.5" customHeight="1" x14ac:dyDescent="0.2">
      <c r="A16" s="1278"/>
      <c r="B16" s="1272" t="s">
        <v>1268</v>
      </c>
      <c r="C16" s="1845" t="s">
        <v>1267</v>
      </c>
      <c r="D16" s="2444" t="s">
        <v>1588</v>
      </c>
      <c r="E16" s="2444"/>
      <c r="F16" s="2444"/>
    </row>
    <row r="17" spans="1:6" ht="20.45" customHeight="1" x14ac:dyDescent="0.2">
      <c r="A17" s="1279"/>
      <c r="B17" s="1280"/>
      <c r="C17" s="1281"/>
      <c r="D17" s="2442"/>
      <c r="E17" s="2442"/>
      <c r="F17" s="2442"/>
    </row>
    <row r="18" spans="1:6" ht="20.65" customHeight="1" x14ac:dyDescent="0.2">
      <c r="A18" s="1279"/>
      <c r="B18" s="1280"/>
      <c r="C18" s="1281"/>
      <c r="D18" s="2442"/>
      <c r="E18" s="2442"/>
      <c r="F18" s="2442"/>
    </row>
    <row r="19" spans="1:6" ht="20.65" customHeight="1" x14ac:dyDescent="0.2">
      <c r="A19" s="1279"/>
      <c r="B19" s="1280"/>
      <c r="C19" s="1281"/>
      <c r="D19" s="2442"/>
      <c r="E19" s="2442"/>
      <c r="F19" s="2442"/>
    </row>
    <row r="20" spans="1:6" ht="20.65" customHeight="1" x14ac:dyDescent="0.2">
      <c r="A20" s="1279"/>
      <c r="B20" s="1280"/>
      <c r="C20" s="1281"/>
      <c r="D20" s="2442"/>
      <c r="E20" s="2442"/>
      <c r="F20" s="2442"/>
    </row>
    <row r="21" spans="1:6" ht="20.65" customHeight="1" x14ac:dyDescent="0.2">
      <c r="A21" s="1279"/>
      <c r="B21" s="1280"/>
      <c r="C21" s="1281"/>
      <c r="D21" s="2442"/>
      <c r="E21" s="2442"/>
      <c r="F21" s="2442"/>
    </row>
    <row r="22" spans="1:6" ht="20.65" customHeight="1" x14ac:dyDescent="0.2">
      <c r="A22" s="1279"/>
      <c r="B22" s="1280"/>
      <c r="C22" s="1281"/>
      <c r="D22" s="2442"/>
      <c r="E22" s="2442"/>
      <c r="F22" s="2442"/>
    </row>
    <row r="23" spans="1:6" ht="20.65" customHeight="1" x14ac:dyDescent="0.2">
      <c r="A23" s="1279"/>
      <c r="B23" s="1280"/>
      <c r="C23" s="1281"/>
      <c r="D23" s="2442"/>
      <c r="E23" s="2442"/>
      <c r="F23" s="2442"/>
    </row>
    <row r="24" spans="1:6" ht="20.65" customHeight="1" x14ac:dyDescent="0.2">
      <c r="A24" s="1279"/>
      <c r="B24" s="1280"/>
      <c r="C24" s="1281"/>
      <c r="D24" s="2442"/>
      <c r="E24" s="2442"/>
      <c r="F24" s="2442"/>
    </row>
    <row r="25" spans="1:6" ht="20.65" customHeight="1" x14ac:dyDescent="0.2">
      <c r="A25" s="1279"/>
      <c r="B25" s="1280"/>
      <c r="C25" s="1281"/>
      <c r="D25" s="2442"/>
      <c r="E25" s="2442"/>
      <c r="F25" s="2442"/>
    </row>
    <row r="26" spans="1:6" ht="20.65" customHeight="1" x14ac:dyDescent="0.2">
      <c r="A26" s="1279"/>
      <c r="B26" s="1280"/>
      <c r="C26" s="1281"/>
      <c r="D26" s="2442"/>
      <c r="E26" s="2442"/>
      <c r="F26" s="2442"/>
    </row>
    <row r="27" spans="1:6" ht="20.65" customHeight="1" x14ac:dyDescent="0.2">
      <c r="A27" s="1279"/>
      <c r="B27" s="1280"/>
      <c r="C27" s="1281"/>
      <c r="D27" s="2442"/>
      <c r="E27" s="2442"/>
      <c r="F27" s="2442"/>
    </row>
    <row r="28" spans="1:6" ht="20.65" customHeight="1" x14ac:dyDescent="0.2">
      <c r="A28" s="1279"/>
      <c r="B28" s="1280"/>
      <c r="C28" s="1281"/>
      <c r="D28" s="2442"/>
      <c r="E28" s="2442"/>
      <c r="F28" s="2442"/>
    </row>
    <row r="29" spans="1:6" ht="20.65" customHeight="1" x14ac:dyDescent="0.2">
      <c r="A29" s="1279"/>
      <c r="B29" s="1280"/>
      <c r="C29" s="1281"/>
      <c r="D29" s="2442"/>
      <c r="E29" s="2442"/>
      <c r="F29" s="244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6" t="s">
        <v>1732</v>
      </c>
      <c r="B32" s="2446"/>
      <c r="C32" s="2446"/>
      <c r="D32" s="2446"/>
      <c r="E32" s="2446"/>
      <c r="F32" s="2446"/>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7">
        <f>+C33+C34</f>
        <v>0</v>
      </c>
      <c r="F34" s="2448"/>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9" t="s">
        <v>1590</v>
      </c>
      <c r="C49" s="2449"/>
      <c r="D49" s="2449"/>
      <c r="E49" s="1395"/>
    </row>
    <row r="50" spans="1:5" s="1296" customFormat="1" ht="3.75" customHeight="1" x14ac:dyDescent="0.2">
      <c r="A50" s="1295"/>
      <c r="B50" s="1844"/>
      <c r="C50" s="1844"/>
      <c r="D50" s="1844"/>
      <c r="E50" s="1395"/>
    </row>
    <row r="51" spans="1:5" s="1296" customFormat="1" ht="20.25" customHeight="1" x14ac:dyDescent="0.2">
      <c r="A51" s="1297">
        <v>6</v>
      </c>
      <c r="B51" s="2445" t="s">
        <v>1551</v>
      </c>
      <c r="C51" s="2445"/>
      <c r="D51" s="2445"/>
    </row>
    <row r="52" spans="1:5" ht="14.25" customHeight="1" x14ac:dyDescent="0.2">
      <c r="A52" s="1297"/>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Deerfield SD 109</v>
      </c>
      <c r="C1" s="2455"/>
      <c r="D1" s="2455"/>
      <c r="E1" s="2455"/>
      <c r="F1" s="2455"/>
      <c r="G1" s="2455"/>
      <c r="H1" s="2455"/>
      <c r="I1" s="2455"/>
      <c r="J1" s="1405"/>
    </row>
    <row r="2" spans="2:10" s="317" customFormat="1" ht="12.75" customHeight="1" x14ac:dyDescent="0.2">
      <c r="B2" s="2456">
        <f>'Single Audit Cover'!E7</f>
        <v>34049109002</v>
      </c>
      <c r="C2" s="2457"/>
      <c r="D2" s="2457"/>
      <c r="E2" s="2457"/>
      <c r="F2" s="2457"/>
      <c r="G2" s="2457"/>
      <c r="H2" s="2457"/>
      <c r="I2" s="2457"/>
      <c r="J2" s="1405"/>
    </row>
    <row r="3" spans="2:10" s="317" customFormat="1" ht="12.75" customHeight="1" x14ac:dyDescent="0.2">
      <c r="B3" s="2458" t="s">
        <v>1285</v>
      </c>
      <c r="C3" s="2459"/>
      <c r="D3" s="2459"/>
      <c r="E3" s="2459"/>
      <c r="F3" s="2459"/>
      <c r="G3" s="2459"/>
      <c r="H3" s="2459"/>
      <c r="I3" s="2459"/>
      <c r="J3" s="1406"/>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8" t="s">
        <v>1284</v>
      </c>
      <c r="C7" s="2459"/>
      <c r="D7" s="2459"/>
      <c r="E7" s="2459"/>
      <c r="F7" s="2459"/>
      <c r="G7" s="2459"/>
      <c r="H7" s="2459"/>
      <c r="I7" s="245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0"/>
      <c r="D11" s="246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1"/>
      <c r="E29" s="2461"/>
      <c r="F29" s="2461"/>
      <c r="G29" s="2461"/>
      <c r="H29" s="2461"/>
      <c r="I29" s="246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2" t="s">
        <v>1751</v>
      </c>
      <c r="D37" s="2463"/>
      <c r="E37" s="2463"/>
      <c r="F37" s="2464"/>
      <c r="G37" s="2462" t="s">
        <v>1592</v>
      </c>
      <c r="H37" s="2463"/>
      <c r="I37" s="2464"/>
    </row>
    <row r="38" spans="2:9" ht="16.5" customHeight="1" x14ac:dyDescent="0.2">
      <c r="B38" s="1427"/>
      <c r="C38" s="2450"/>
      <c r="D38" s="2451"/>
      <c r="E38" s="2451"/>
      <c r="F38" s="2452"/>
      <c r="G38" s="2465"/>
      <c r="H38" s="2466"/>
      <c r="I38" s="2467"/>
    </row>
    <row r="39" spans="2:9" ht="16.5" customHeight="1" x14ac:dyDescent="0.2">
      <c r="B39" s="1427"/>
      <c r="C39" s="2450"/>
      <c r="D39" s="2451"/>
      <c r="E39" s="2451"/>
      <c r="F39" s="2452"/>
      <c r="G39" s="2453"/>
      <c r="H39" s="2453"/>
      <c r="I39" s="2453"/>
    </row>
    <row r="40" spans="2:9" ht="16.5" customHeight="1" x14ac:dyDescent="0.2">
      <c r="B40" s="1427"/>
      <c r="C40" s="2450"/>
      <c r="D40" s="2451"/>
      <c r="E40" s="2451"/>
      <c r="F40" s="2452"/>
      <c r="G40" s="2453"/>
      <c r="H40" s="2453"/>
      <c r="I40" s="2453"/>
    </row>
    <row r="41" spans="2:9" ht="16.5" customHeight="1" x14ac:dyDescent="0.2">
      <c r="B41" s="1427"/>
      <c r="C41" s="2450"/>
      <c r="D41" s="2451"/>
      <c r="E41" s="2451"/>
      <c r="F41" s="2452"/>
      <c r="G41" s="2453"/>
      <c r="H41" s="2453"/>
      <c r="I41" s="2453"/>
    </row>
    <row r="42" spans="2:9" ht="16.5" customHeight="1" x14ac:dyDescent="0.2">
      <c r="B42" s="1427"/>
      <c r="C42" s="2450"/>
      <c r="D42" s="2451"/>
      <c r="E42" s="2451"/>
      <c r="F42" s="2452"/>
      <c r="G42" s="2453"/>
      <c r="H42" s="2453"/>
      <c r="I42" s="2453"/>
    </row>
    <row r="43" spans="2:9" ht="16.5" customHeight="1" x14ac:dyDescent="0.2">
      <c r="B43" s="1427"/>
      <c r="C43" s="2468" t="s">
        <v>1593</v>
      </c>
      <c r="D43" s="2469"/>
      <c r="E43" s="2469"/>
      <c r="F43" s="2470"/>
      <c r="G43" s="2471">
        <f>SUM(G38:I42)</f>
        <v>0</v>
      </c>
      <c r="H43" s="2471"/>
      <c r="I43" s="2471"/>
    </row>
    <row r="44" spans="2:9" ht="12.75" customHeight="1" x14ac:dyDescent="0.2"/>
    <row r="45" spans="2:9" ht="12.75" customHeight="1" x14ac:dyDescent="0.2">
      <c r="B45" s="1418" t="s">
        <v>1841</v>
      </c>
      <c r="D45" s="2472">
        <v>0</v>
      </c>
      <c r="E45" s="247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4"/>
      <c r="F49" s="2474"/>
      <c r="G49" s="247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Deerfield SD 109</v>
      </c>
      <c r="C1" s="2454"/>
      <c r="D1" s="2454"/>
      <c r="E1" s="2454"/>
      <c r="F1" s="2454"/>
      <c r="G1" s="2454"/>
      <c r="H1" s="2454"/>
      <c r="I1" s="2454"/>
      <c r="J1" s="2454"/>
      <c r="K1" s="2454"/>
      <c r="L1" s="1370"/>
      <c r="M1" s="1370"/>
    </row>
    <row r="2" spans="1:13" ht="12" customHeight="1" x14ac:dyDescent="0.2">
      <c r="B2" s="2456">
        <f>'Single Audit Cover'!E7</f>
        <v>34049109002</v>
      </c>
      <c r="C2" s="2456"/>
      <c r="D2" s="2456"/>
      <c r="E2" s="2456"/>
      <c r="F2" s="2456"/>
      <c r="G2" s="2456"/>
      <c r="H2" s="2456"/>
      <c r="I2" s="2456"/>
      <c r="J2" s="2456"/>
      <c r="K2" s="2456"/>
      <c r="L2" s="1371"/>
      <c r="M2" s="1372"/>
    </row>
    <row r="3" spans="1:13" ht="10.35" customHeight="1" x14ac:dyDescent="0.2">
      <c r="B3" s="2477" t="s">
        <v>1285</v>
      </c>
      <c r="C3" s="2477"/>
      <c r="D3" s="2477"/>
      <c r="E3" s="2477"/>
      <c r="F3" s="2477"/>
      <c r="G3" s="2477"/>
      <c r="H3" s="2477"/>
      <c r="I3" s="2477"/>
      <c r="J3" s="2477"/>
      <c r="K3" s="2477"/>
      <c r="L3" s="1373"/>
      <c r="M3" s="1373"/>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5"/>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Deerfield SD 109</v>
      </c>
      <c r="C1" s="2481"/>
      <c r="D1" s="2481"/>
      <c r="E1" s="2481"/>
      <c r="F1" s="2481"/>
      <c r="G1" s="2481"/>
      <c r="H1" s="2481"/>
      <c r="I1" s="2481"/>
      <c r="J1" s="2481"/>
      <c r="K1" s="2481"/>
      <c r="L1" s="1448"/>
    </row>
    <row r="2" spans="1:12" ht="12.75" customHeight="1" x14ac:dyDescent="0.2">
      <c r="B2" s="2482">
        <f>'Single Audit Cover'!E7</f>
        <v>34049109002</v>
      </c>
      <c r="C2" s="2482"/>
      <c r="D2" s="2482"/>
      <c r="E2" s="2482"/>
      <c r="F2" s="2482"/>
      <c r="G2" s="2482"/>
      <c r="H2" s="2482"/>
      <c r="I2" s="2482"/>
      <c r="J2" s="2482"/>
      <c r="K2" s="2482"/>
      <c r="L2" s="1449"/>
    </row>
    <row r="3" spans="1:12" ht="12.75" customHeight="1" x14ac:dyDescent="0.2">
      <c r="B3" s="2477" t="s">
        <v>1285</v>
      </c>
      <c r="C3" s="2477"/>
      <c r="D3" s="2477"/>
      <c r="E3" s="2477"/>
      <c r="F3" s="2477"/>
      <c r="G3" s="2477"/>
      <c r="H3" s="2477"/>
      <c r="I3" s="2477"/>
      <c r="J3" s="2477"/>
      <c r="K3" s="2477"/>
      <c r="L3" s="1373"/>
    </row>
    <row r="4" spans="1:12" ht="12.75" customHeight="1" x14ac:dyDescent="0.2">
      <c r="B4" s="2477" t="str">
        <f>'Single Audit Cover'!A4</f>
        <v>Year Ending June 30, 2019</v>
      </c>
      <c r="C4" s="2477"/>
      <c r="D4" s="2477"/>
      <c r="E4" s="2477"/>
      <c r="F4" s="2477"/>
      <c r="G4" s="2477"/>
      <c r="H4" s="2477"/>
      <c r="I4" s="2477"/>
      <c r="J4" s="2477"/>
      <c r="K4" s="2477"/>
      <c r="L4" s="1373"/>
    </row>
    <row r="5" spans="1:12" ht="5.25" customHeight="1" x14ac:dyDescent="0.2">
      <c r="B5" s="1256" t="s">
        <v>1169</v>
      </c>
      <c r="C5" s="1256"/>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1"/>
      <c r="G12" s="2461"/>
      <c r="H12" s="2461"/>
      <c r="I12" s="2461"/>
      <c r="J12" s="2461"/>
      <c r="K12" s="246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4"/>
      <c r="E14" s="2484"/>
      <c r="F14" s="2484"/>
      <c r="H14" s="1458" t="s">
        <v>1303</v>
      </c>
      <c r="I14" s="2485"/>
      <c r="J14" s="2485"/>
      <c r="K14" s="248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5"/>
      <c r="E16" s="2485"/>
      <c r="F16" s="2485"/>
      <c r="G16" s="2485"/>
      <c r="H16" s="2485"/>
      <c r="I16" s="2485"/>
      <c r="J16" s="2485"/>
      <c r="K16" s="2485"/>
      <c r="L16" s="322"/>
    </row>
    <row r="17" spans="2:12" ht="13.5" customHeight="1" x14ac:dyDescent="0.2">
      <c r="B17" s="1383" t="s">
        <v>1301</v>
      </c>
      <c r="C17" s="1383"/>
      <c r="D17" s="2486"/>
      <c r="E17" s="2486"/>
      <c r="F17" s="2486"/>
      <c r="G17" s="2486"/>
      <c r="H17" s="2486"/>
      <c r="I17" s="2486"/>
      <c r="J17" s="2486"/>
      <c r="K17" s="248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6"/>
      <c r="C20" s="2476"/>
      <c r="D20" s="2476"/>
      <c r="E20" s="2476"/>
      <c r="F20" s="2476"/>
      <c r="G20" s="2476"/>
      <c r="H20" s="2476"/>
      <c r="I20" s="2476"/>
      <c r="J20" s="2476"/>
      <c r="K20" s="247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4" t="str">
        <f>'Single Audit Cover'!A7</f>
        <v>Deerfield SD 109</v>
      </c>
      <c r="C1" s="2454"/>
      <c r="D1" s="2454"/>
      <c r="E1" s="1468"/>
    </row>
    <row r="2" spans="2:5" s="1278" customFormat="1" ht="12.75" customHeight="1" x14ac:dyDescent="0.2">
      <c r="B2" s="2456">
        <f>'Single Audit Cover'!E7</f>
        <v>34049109002</v>
      </c>
      <c r="C2" s="2456"/>
      <c r="D2" s="2456"/>
      <c r="E2" s="1469"/>
    </row>
    <row r="3" spans="2:5" ht="12.75" customHeight="1" x14ac:dyDescent="0.2">
      <c r="B3" s="2477" t="s">
        <v>1766</v>
      </c>
      <c r="C3" s="2477"/>
      <c r="D3" s="2477"/>
      <c r="E3" s="1270"/>
    </row>
    <row r="4" spans="2:5" s="1278" customFormat="1" ht="12.75" customHeight="1" x14ac:dyDescent="0.2">
      <c r="B4" s="2487" t="str">
        <f>'Single Audit Cover'!A4</f>
        <v>Year Ending June 30, 2019</v>
      </c>
      <c r="C4" s="2487"/>
      <c r="D4" s="248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1704071366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2.580582E-2</v>
      </c>
      <c r="E10" s="356" t="s">
        <v>1005</v>
      </c>
      <c r="F10" s="355">
        <v>3.22836E-3</v>
      </c>
      <c r="G10" s="356" t="s">
        <v>1005</v>
      </c>
      <c r="H10" s="355">
        <v>6.7473000000000001E-4</v>
      </c>
      <c r="I10" s="356" t="s">
        <v>1006</v>
      </c>
      <c r="J10" s="1731">
        <f>ROUND(D10+F10+H10,5)</f>
        <v>2.971E-2</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52446440</v>
      </c>
      <c r="E16" s="356"/>
      <c r="F16" s="1732">
        <f>SUM('Acct Summary 7-8'!C17,'Acct Summary 7-8'!D17,'Acct Summary 7-8'!F17)</f>
        <v>51704525</v>
      </c>
      <c r="G16" s="356"/>
      <c r="H16" s="1732">
        <f>SUM(D16-F16)</f>
        <v>741915</v>
      </c>
      <c r="I16" s="222"/>
      <c r="J16" s="1732">
        <f>SUM('Acct Summary 7-8'!C81,'Acct Summary 7-8'!D81,'Acct Summary 7-8'!F81,'Acct Summary 7-8'!I81)</f>
        <v>16575136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117580924.25400001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20190000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Deerfield SD 109</v>
      </c>
      <c r="E7" s="391"/>
      <c r="G7" s="252"/>
      <c r="H7" s="387"/>
      <c r="I7" s="387"/>
      <c r="J7" s="387"/>
      <c r="K7" s="387"/>
      <c r="L7" s="329"/>
      <c r="M7" s="329"/>
      <c r="N7" s="329"/>
      <c r="O7" s="329"/>
      <c r="P7" s="329"/>
    </row>
    <row r="8" spans="1:18" ht="12.75" x14ac:dyDescent="0.2">
      <c r="A8" s="329"/>
      <c r="B8" s="329"/>
      <c r="C8" s="389" t="s">
        <v>1125</v>
      </c>
      <c r="D8" s="392">
        <f>COVER!A13</f>
        <v>34049109002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16575136</v>
      </c>
      <c r="I12" s="404"/>
      <c r="J12" s="404"/>
      <c r="K12" s="405">
        <f>TRUNC((H12/H13*100000),5)/100000</f>
        <v>0.3160392964</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52446440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51704525</v>
      </c>
      <c r="I17" s="404"/>
      <c r="J17" s="416"/>
      <c r="K17" s="405">
        <f>TRUNC((H17/H18*100000),5)/100000</f>
        <v>0.98585385389999991</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52446440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44441758</v>
      </c>
      <c r="I24" s="422"/>
      <c r="J24" s="422"/>
      <c r="K24" s="423">
        <f>TRUNC(((H24/H25*100000)/100000),2)</f>
        <v>309.43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143623.68056000001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43033766.241279997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20190000</v>
      </c>
      <c r="I32" s="420"/>
      <c r="J32" s="420"/>
      <c r="K32" s="423">
        <f>TRUNC(100-((((H32/H33*100))*100)/100),2)</f>
        <v>82.82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117580924.25400001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8"/>
      <c r="D3" s="1559"/>
      <c r="E3" s="1559"/>
      <c r="F3" s="1559"/>
      <c r="G3" s="1559"/>
      <c r="H3" s="1559"/>
      <c r="I3" s="1559"/>
      <c r="J3" s="1559"/>
      <c r="K3" s="1559"/>
      <c r="L3" s="1559"/>
      <c r="M3" s="1560"/>
      <c r="N3" s="1561"/>
    </row>
    <row r="4" spans="1:14" ht="13.5" customHeight="1" x14ac:dyDescent="0.2">
      <c r="A4" s="463" t="s">
        <v>1651</v>
      </c>
      <c r="B4" s="464"/>
      <c r="C4" s="465">
        <f>37127949-159139+197304</f>
        <v>37166114</v>
      </c>
      <c r="D4" s="466">
        <v>4868742</v>
      </c>
      <c r="E4" s="466">
        <v>886939</v>
      </c>
      <c r="F4" s="466">
        <v>2406902</v>
      </c>
      <c r="G4" s="466">
        <v>1545943</v>
      </c>
      <c r="H4" s="466">
        <v>7739194</v>
      </c>
      <c r="I4" s="466"/>
      <c r="J4" s="467"/>
      <c r="K4" s="466">
        <v>1386635</v>
      </c>
      <c r="L4" s="466">
        <v>120840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21874630</v>
      </c>
      <c r="D6" s="466">
        <v>2689537</v>
      </c>
      <c r="E6" s="466">
        <v>3782</v>
      </c>
      <c r="F6" s="466">
        <v>562115</v>
      </c>
      <c r="G6" s="471">
        <v>438476</v>
      </c>
      <c r="H6" s="471">
        <v>78146</v>
      </c>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375215</v>
      </c>
      <c r="D8" s="467"/>
      <c r="E8" s="467"/>
      <c r="F8" s="467">
        <v>64769</v>
      </c>
      <c r="G8" s="478"/>
      <c r="H8" s="467"/>
      <c r="I8" s="474"/>
      <c r="J8" s="474"/>
      <c r="K8" s="479"/>
      <c r="L8" s="480"/>
      <c r="M8" s="468"/>
      <c r="N8" s="469"/>
    </row>
    <row r="9" spans="1:14" ht="13.5" customHeight="1" x14ac:dyDescent="0.2">
      <c r="A9" s="473" t="s">
        <v>270</v>
      </c>
      <c r="B9" s="470">
        <v>160</v>
      </c>
      <c r="C9" s="476">
        <v>225314</v>
      </c>
      <c r="D9" s="467">
        <v>36008</v>
      </c>
      <c r="E9" s="467">
        <v>22490</v>
      </c>
      <c r="F9" s="467">
        <v>34139</v>
      </c>
      <c r="G9" s="467">
        <v>19663</v>
      </c>
      <c r="H9" s="478">
        <v>152541</v>
      </c>
      <c r="I9" s="467"/>
      <c r="J9" s="467"/>
      <c r="K9" s="467">
        <v>32715</v>
      </c>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357939</v>
      </c>
      <c r="D11" s="467">
        <v>28848</v>
      </c>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59999212</v>
      </c>
      <c r="D13" s="1736">
        <f t="shared" ref="D13:L13" si="0">SUM(D4:D12)</f>
        <v>7623135</v>
      </c>
      <c r="E13" s="1736">
        <f t="shared" si="0"/>
        <v>913211</v>
      </c>
      <c r="F13" s="1736">
        <f t="shared" si="0"/>
        <v>3067925</v>
      </c>
      <c r="G13" s="1736">
        <f t="shared" si="0"/>
        <v>2004082</v>
      </c>
      <c r="H13" s="1736">
        <f t="shared" si="0"/>
        <v>7969881</v>
      </c>
      <c r="I13" s="1736">
        <f t="shared" si="0"/>
        <v>0</v>
      </c>
      <c r="J13" s="1736">
        <f t="shared" si="0"/>
        <v>0</v>
      </c>
      <c r="K13" s="1736">
        <f t="shared" si="0"/>
        <v>1419350</v>
      </c>
      <c r="L13" s="1736">
        <f t="shared" si="0"/>
        <v>120840</v>
      </c>
      <c r="M13" s="468"/>
      <c r="N13" s="469"/>
    </row>
    <row r="14" spans="1:14" ht="18" customHeight="1" thickTop="1" x14ac:dyDescent="0.2">
      <c r="A14" s="2111" t="s">
        <v>147</v>
      </c>
      <c r="B14" s="211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127188</v>
      </c>
      <c r="N16" s="484"/>
    </row>
    <row r="17" spans="1:14" s="485" customFormat="1" ht="12.75" customHeight="1" x14ac:dyDescent="0.2">
      <c r="A17" s="482" t="s">
        <v>1403</v>
      </c>
      <c r="B17" s="483">
        <v>230</v>
      </c>
      <c r="C17" s="477"/>
      <c r="D17" s="477"/>
      <c r="E17" s="477"/>
      <c r="F17" s="477"/>
      <c r="G17" s="477"/>
      <c r="H17" s="477"/>
      <c r="I17" s="477"/>
      <c r="J17" s="477"/>
      <c r="K17" s="477"/>
      <c r="L17" s="477"/>
      <c r="M17" s="467">
        <v>99123406</v>
      </c>
      <c r="N17" s="484"/>
    </row>
    <row r="18" spans="1:14" s="485" customFormat="1" ht="12.75" customHeight="1" x14ac:dyDescent="0.2">
      <c r="A18" s="482" t="s">
        <v>1404</v>
      </c>
      <c r="B18" s="483">
        <v>240</v>
      </c>
      <c r="C18" s="477"/>
      <c r="D18" s="477"/>
      <c r="E18" s="477"/>
      <c r="F18" s="477"/>
      <c r="G18" s="477"/>
      <c r="H18" s="477"/>
      <c r="I18" s="477"/>
      <c r="J18" s="477"/>
      <c r="K18" s="477"/>
      <c r="L18" s="477"/>
      <c r="M18" s="467">
        <v>3212990</v>
      </c>
      <c r="N18" s="484"/>
    </row>
    <row r="19" spans="1:14" s="485" customFormat="1" ht="12.75" customHeight="1" x14ac:dyDescent="0.2">
      <c r="A19" s="482" t="s">
        <v>1405</v>
      </c>
      <c r="B19" s="483">
        <v>250</v>
      </c>
      <c r="C19" s="477"/>
      <c r="D19" s="477"/>
      <c r="E19" s="477"/>
      <c r="F19" s="477"/>
      <c r="G19" s="477"/>
      <c r="H19" s="477"/>
      <c r="I19" s="477"/>
      <c r="J19" s="477"/>
      <c r="K19" s="477"/>
      <c r="L19" s="477"/>
      <c r="M19" s="467">
        <v>31918068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879843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19310157</v>
      </c>
    </row>
    <row r="23" spans="1:14" ht="13.5" customHeight="1" thickBot="1" x14ac:dyDescent="0.25">
      <c r="A23" s="1735" t="s">
        <v>643</v>
      </c>
      <c r="B23" s="1740"/>
      <c r="C23" s="468"/>
      <c r="D23" s="468"/>
      <c r="E23" s="468"/>
      <c r="F23" s="468"/>
      <c r="G23" s="468"/>
      <c r="H23" s="468"/>
      <c r="I23" s="468"/>
      <c r="J23" s="468"/>
      <c r="K23" s="468"/>
      <c r="L23" s="468"/>
      <c r="M23" s="1687">
        <f>SUM(M15:M22)</f>
        <v>134381652</v>
      </c>
      <c r="N23" s="1687">
        <f>SUM(N21:N22)</f>
        <v>20190000</v>
      </c>
    </row>
    <row r="24" spans="1:14" ht="18" customHeight="1" thickTop="1" x14ac:dyDescent="0.2">
      <c r="A24" s="2113" t="s">
        <v>598</v>
      </c>
      <c r="B24" s="2114"/>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43565</v>
      </c>
      <c r="D27" s="467">
        <v>197565</v>
      </c>
      <c r="E27" s="467">
        <v>26878</v>
      </c>
      <c r="F27" s="467">
        <v>650</v>
      </c>
      <c r="G27" s="467">
        <v>168991</v>
      </c>
      <c r="H27" s="467">
        <v>855876</v>
      </c>
      <c r="I27" s="467"/>
      <c r="J27" s="467"/>
      <c r="K27" s="467">
        <v>144083</v>
      </c>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2729260</v>
      </c>
      <c r="D31" s="467"/>
      <c r="E31" s="467"/>
      <c r="F31" s="466"/>
      <c r="G31" s="467">
        <v>72280</v>
      </c>
      <c r="H31" s="467"/>
      <c r="I31" s="467"/>
      <c r="J31" s="467"/>
      <c r="K31" s="467"/>
      <c r="L31" s="468"/>
      <c r="M31" s="468"/>
      <c r="N31" s="468"/>
    </row>
    <row r="32" spans="1:14" ht="13.5" customHeight="1" x14ac:dyDescent="0.2">
      <c r="A32" s="490" t="s">
        <v>652</v>
      </c>
      <c r="B32" s="491">
        <v>490</v>
      </c>
      <c r="C32" s="492">
        <v>44531093</v>
      </c>
      <c r="D32" s="492">
        <v>5440525</v>
      </c>
      <c r="E32" s="474">
        <v>6490</v>
      </c>
      <c r="F32" s="474">
        <f>1137134+35344</f>
        <v>1172478</v>
      </c>
      <c r="G32" s="474">
        <v>886815</v>
      </c>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120840</v>
      </c>
      <c r="M33" s="468"/>
      <c r="N33" s="469"/>
    </row>
    <row r="34" spans="1:14" ht="13.5" customHeight="1" thickBot="1" x14ac:dyDescent="0.25">
      <c r="A34" s="1737" t="s">
        <v>654</v>
      </c>
      <c r="B34" s="1738"/>
      <c r="C34" s="1739">
        <f>SUM(C25:C33)</f>
        <v>47303918</v>
      </c>
      <c r="D34" s="1739">
        <f t="shared" ref="D34:K34" si="1">SUM(D25:D33)</f>
        <v>5638090</v>
      </c>
      <c r="E34" s="1739">
        <f t="shared" si="1"/>
        <v>33368</v>
      </c>
      <c r="F34" s="1739">
        <f t="shared" si="1"/>
        <v>1173128</v>
      </c>
      <c r="G34" s="1739">
        <f t="shared" si="1"/>
        <v>1128086</v>
      </c>
      <c r="H34" s="1739">
        <f t="shared" si="1"/>
        <v>855876</v>
      </c>
      <c r="I34" s="1739">
        <f t="shared" si="1"/>
        <v>0</v>
      </c>
      <c r="J34" s="1739">
        <f t="shared" si="1"/>
        <v>0</v>
      </c>
      <c r="K34" s="1739">
        <f t="shared" si="1"/>
        <v>144083</v>
      </c>
      <c r="L34" s="1720">
        <f>SUM(L33)</f>
        <v>120840</v>
      </c>
      <c r="M34" s="468"/>
      <c r="N34" s="480"/>
    </row>
    <row r="35" spans="1:14" ht="18" customHeight="1" thickTop="1" x14ac:dyDescent="0.2">
      <c r="A35" s="2115" t="s">
        <v>529</v>
      </c>
      <c r="B35" s="211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20190000</v>
      </c>
    </row>
    <row r="37" spans="1:14" ht="13.5" thickBot="1" x14ac:dyDescent="0.25">
      <c r="A37" s="1735" t="s">
        <v>653</v>
      </c>
      <c r="B37" s="1740"/>
      <c r="C37" s="477"/>
      <c r="D37" s="477"/>
      <c r="E37" s="477"/>
      <c r="F37" s="477"/>
      <c r="G37" s="477"/>
      <c r="H37" s="477"/>
      <c r="I37" s="477"/>
      <c r="J37" s="477"/>
      <c r="K37" s="477"/>
      <c r="L37" s="480"/>
      <c r="M37" s="468"/>
      <c r="N37" s="1687">
        <f>SUM(N36:N36)</f>
        <v>20190000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12497990+197304</f>
        <v>12695294</v>
      </c>
      <c r="D39" s="466">
        <v>1985045</v>
      </c>
      <c r="E39" s="466">
        <v>879843</v>
      </c>
      <c r="F39" s="466">
        <v>1894797</v>
      </c>
      <c r="G39" s="466">
        <v>875996</v>
      </c>
      <c r="H39" s="466">
        <v>7114005</v>
      </c>
      <c r="I39" s="466"/>
      <c r="J39" s="467"/>
      <c r="K39" s="466">
        <v>1275267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134381652</v>
      </c>
      <c r="N40" s="497"/>
    </row>
    <row r="41" spans="1:14" ht="13.5" customHeight="1" thickBot="1" x14ac:dyDescent="0.25">
      <c r="A41" s="1735" t="s">
        <v>655</v>
      </c>
      <c r="B41" s="1705"/>
      <c r="C41" s="1687">
        <f>(SUM(C34,C37,C38,C39))</f>
        <v>59999212</v>
      </c>
      <c r="D41" s="1687">
        <f t="shared" ref="D41:L41" si="2">SUM(D34,D37,D38:D39)</f>
        <v>7623135</v>
      </c>
      <c r="E41" s="1687">
        <f t="shared" si="2"/>
        <v>913211</v>
      </c>
      <c r="F41" s="1687">
        <f t="shared" si="2"/>
        <v>3067925</v>
      </c>
      <c r="G41" s="1687">
        <f t="shared" si="2"/>
        <v>2004082</v>
      </c>
      <c r="H41" s="1687">
        <f t="shared" si="2"/>
        <v>7969881</v>
      </c>
      <c r="I41" s="1687">
        <f t="shared" si="2"/>
        <v>0</v>
      </c>
      <c r="J41" s="1687">
        <f t="shared" si="2"/>
        <v>0</v>
      </c>
      <c r="K41" s="1687">
        <f t="shared" si="2"/>
        <v>1419350</v>
      </c>
      <c r="L41" s="1687">
        <f t="shared" si="2"/>
        <v>120840</v>
      </c>
      <c r="M41" s="1687">
        <f>SUM(M40)</f>
        <v>134381652</v>
      </c>
      <c r="N41" s="1687">
        <f>SUM(N37)</f>
        <v>20190000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2"/>
      <c r="D3" s="1573"/>
      <c r="E3" s="1573"/>
      <c r="F3" s="1573"/>
      <c r="G3" s="1573"/>
      <c r="H3" s="1573"/>
      <c r="I3" s="1573"/>
      <c r="J3" s="1573"/>
      <c r="K3" s="1574"/>
      <c r="L3" s="506"/>
    </row>
    <row r="4" spans="1:13" ht="15.75" customHeight="1" x14ac:dyDescent="0.2">
      <c r="A4" s="1927" t="s">
        <v>1499</v>
      </c>
      <c r="B4" s="1928">
        <v>1000</v>
      </c>
      <c r="C4" s="1741">
        <f>'Revenues 9-14'!C109</f>
        <v>43458073</v>
      </c>
      <c r="D4" s="1741">
        <f>'Revenues 9-14'!D109</f>
        <v>6519387</v>
      </c>
      <c r="E4" s="1741">
        <f>'Revenues 9-14'!E109</f>
        <v>1128416</v>
      </c>
      <c r="F4" s="1741">
        <f>'Revenues 9-14'!F109</f>
        <v>1418928</v>
      </c>
      <c r="G4" s="1741">
        <f>'Revenues 9-14'!G109</f>
        <v>1233694</v>
      </c>
      <c r="H4" s="1741">
        <f>'Revenues 9-14'!H109</f>
        <v>542229</v>
      </c>
      <c r="I4" s="1741">
        <f>'Revenues 9-14'!I109</f>
        <v>0</v>
      </c>
      <c r="J4" s="1741">
        <f>'Revenues 9-14'!J109</f>
        <v>0</v>
      </c>
      <c r="K4" s="1741">
        <f>'Revenues 9-14'!K109</f>
        <v>21700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37833</v>
      </c>
      <c r="D6" s="1742">
        <f>'Revenues 9-14'!D170</f>
        <v>0</v>
      </c>
      <c r="E6" s="1742">
        <f>'Revenues 9-14'!E170</f>
        <v>0</v>
      </c>
      <c r="F6" s="1742">
        <f>'Revenues 9-14'!F170</f>
        <v>261618</v>
      </c>
      <c r="G6" s="1742">
        <f>'Revenues 9-14'!G170</f>
        <v>0</v>
      </c>
      <c r="H6" s="1742">
        <f>'Revenues 9-14'!H170</f>
        <v>1821134</v>
      </c>
      <c r="I6" s="1742">
        <f>'Revenues 9-14'!I170</f>
        <v>0</v>
      </c>
      <c r="J6" s="1742">
        <f>'Revenues 9-14'!J170</f>
        <v>0</v>
      </c>
      <c r="K6" s="1742">
        <f>'Revenues 9-14'!K170</f>
        <v>0</v>
      </c>
      <c r="L6" s="347"/>
      <c r="M6" s="513"/>
    </row>
    <row r="7" spans="1:13" ht="15.75" customHeight="1" x14ac:dyDescent="0.2">
      <c r="A7" s="1575" t="s">
        <v>1502</v>
      </c>
      <c r="B7" s="1577">
        <v>4000</v>
      </c>
      <c r="C7" s="1742">
        <f>'Revenues 9-14'!C267</f>
        <v>750601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44246507</v>
      </c>
      <c r="D8" s="1687">
        <f t="shared" ref="D8:K8" si="0">SUM(D4:D7)</f>
        <v>6519387</v>
      </c>
      <c r="E8" s="1687">
        <f t="shared" si="0"/>
        <v>1128416</v>
      </c>
      <c r="F8" s="1687">
        <f t="shared" si="0"/>
        <v>1680546</v>
      </c>
      <c r="G8" s="1687">
        <f t="shared" si="0"/>
        <v>1233694</v>
      </c>
      <c r="H8" s="1687">
        <f t="shared" si="0"/>
        <v>2363363</v>
      </c>
      <c r="I8" s="1687">
        <f t="shared" si="0"/>
        <v>0</v>
      </c>
      <c r="J8" s="1687">
        <f t="shared" si="0"/>
        <v>0</v>
      </c>
      <c r="K8" s="1687">
        <f t="shared" si="0"/>
        <v>21700</v>
      </c>
      <c r="L8" s="347"/>
    </row>
    <row r="9" spans="1:13" ht="15.75" thickTop="1" x14ac:dyDescent="0.2">
      <c r="A9" s="514" t="s">
        <v>1653</v>
      </c>
      <c r="B9" s="515">
        <v>3998</v>
      </c>
      <c r="C9" s="481">
        <v>18641445</v>
      </c>
      <c r="D9" s="516"/>
      <c r="E9" s="481"/>
      <c r="F9" s="481"/>
      <c r="G9" s="517"/>
      <c r="H9" s="481"/>
      <c r="I9" s="509" t="s">
        <v>1169</v>
      </c>
      <c r="J9" s="478"/>
      <c r="K9" s="481"/>
      <c r="L9" s="347"/>
    </row>
    <row r="10" spans="1:13" s="519" customFormat="1" ht="13.5" thickBot="1" x14ac:dyDescent="0.25">
      <c r="A10" s="1735" t="s">
        <v>1173</v>
      </c>
      <c r="B10" s="1708"/>
      <c r="C10" s="1687">
        <f>SUM(C8:C9)</f>
        <v>62887952</v>
      </c>
      <c r="D10" s="1687">
        <f t="shared" ref="D10:K10" si="1">SUM(D8:D9)</f>
        <v>6519387</v>
      </c>
      <c r="E10" s="1687">
        <f t="shared" si="1"/>
        <v>1128416</v>
      </c>
      <c r="F10" s="1687">
        <f t="shared" si="1"/>
        <v>1680546</v>
      </c>
      <c r="G10" s="1687">
        <f t="shared" si="1"/>
        <v>1233694</v>
      </c>
      <c r="H10" s="1687">
        <f t="shared" si="1"/>
        <v>2363363</v>
      </c>
      <c r="I10" s="1687">
        <f t="shared" si="1"/>
        <v>0</v>
      </c>
      <c r="J10" s="1687">
        <f t="shared" si="1"/>
        <v>0</v>
      </c>
      <c r="K10" s="1687">
        <f t="shared" si="1"/>
        <v>21700</v>
      </c>
      <c r="L10" s="518"/>
    </row>
    <row r="11" spans="1:13" s="519" customFormat="1" ht="16.7" customHeight="1" thickTop="1" x14ac:dyDescent="0.2">
      <c r="A11" s="2111" t="s">
        <v>1176</v>
      </c>
      <c r="B11" s="2112"/>
      <c r="C11" s="1569"/>
      <c r="D11" s="1570"/>
      <c r="E11" s="1570"/>
      <c r="F11" s="1570"/>
      <c r="G11" s="1570"/>
      <c r="H11" s="1570"/>
      <c r="I11" s="1570"/>
      <c r="J11" s="1570"/>
      <c r="K11" s="1571"/>
      <c r="L11" s="518"/>
    </row>
    <row r="12" spans="1:13" ht="15.75" customHeight="1" x14ac:dyDescent="0.2">
      <c r="A12" s="1575" t="s">
        <v>456</v>
      </c>
      <c r="B12" s="1577">
        <v>1000</v>
      </c>
      <c r="C12" s="1741">
        <f>'Expenditures 15-22'!K33</f>
        <v>29105836</v>
      </c>
      <c r="D12" s="520" t="s">
        <v>1169</v>
      </c>
      <c r="E12" s="468" t="s">
        <v>1169</v>
      </c>
      <c r="F12" s="468" t="s">
        <v>1169</v>
      </c>
      <c r="G12" s="1741">
        <f>'Expenditures 15-22'!K229</f>
        <v>785220</v>
      </c>
      <c r="H12" s="521"/>
      <c r="I12" s="468" t="s">
        <v>1169</v>
      </c>
      <c r="J12" s="468" t="s">
        <v>1169</v>
      </c>
      <c r="K12" s="521" t="s">
        <v>1169</v>
      </c>
      <c r="L12" s="347"/>
    </row>
    <row r="13" spans="1:13" ht="15.75" customHeight="1" x14ac:dyDescent="0.2">
      <c r="A13" s="1575" t="s">
        <v>457</v>
      </c>
      <c r="B13" s="1577">
        <v>2000</v>
      </c>
      <c r="C13" s="1742">
        <f>'Expenditures 15-22'!K74</f>
        <v>15053391</v>
      </c>
      <c r="D13" s="1742">
        <f>'Expenditures 15-22'!K129</f>
        <v>5638741</v>
      </c>
      <c r="E13" s="469" t="s">
        <v>1169</v>
      </c>
      <c r="F13" s="1742">
        <f>'Expenditures 15-22'!K184</f>
        <v>1424317</v>
      </c>
      <c r="G13" s="1742">
        <f>'Expenditures 15-22'!K279</f>
        <v>473067</v>
      </c>
      <c r="H13" s="1742">
        <f>'Expenditures 15-22'!K303</f>
        <v>5500108</v>
      </c>
      <c r="I13" s="468" t="s">
        <v>1169</v>
      </c>
      <c r="J13" s="1742">
        <f>'Expenditures 15-22'!K330</f>
        <v>0</v>
      </c>
      <c r="K13" s="1746">
        <f>'Expenditures 15-22'!K352</f>
        <v>652908</v>
      </c>
      <c r="L13" s="347"/>
    </row>
    <row r="14" spans="1:13" ht="15.75" customHeight="1" x14ac:dyDescent="0.2">
      <c r="A14" s="1575" t="s">
        <v>449</v>
      </c>
      <c r="B14" s="1577">
        <v>3000</v>
      </c>
      <c r="C14" s="1742">
        <f>'Expenditures 15-22'!K75</f>
        <v>190505</v>
      </c>
      <c r="D14" s="1742">
        <f>'Expenditures 15-22'!K130</f>
        <v>0</v>
      </c>
      <c r="E14" s="520" t="s">
        <v>1169</v>
      </c>
      <c r="F14" s="1742">
        <f>'Expenditures 15-22'!K185</f>
        <v>0</v>
      </c>
      <c r="G14" s="1742">
        <f>'Expenditures 15-22'!K280</f>
        <v>20612</v>
      </c>
      <c r="H14" s="512"/>
      <c r="I14" s="468" t="s">
        <v>1169</v>
      </c>
      <c r="J14" s="468" t="s">
        <v>1169</v>
      </c>
      <c r="K14" s="512" t="s">
        <v>1169</v>
      </c>
      <c r="L14" s="347"/>
    </row>
    <row r="15" spans="1:13" ht="15.75" customHeight="1" x14ac:dyDescent="0.2">
      <c r="A15" s="1575" t="s">
        <v>107</v>
      </c>
      <c r="B15" s="1577">
        <v>4000</v>
      </c>
      <c r="C15" s="1742">
        <f>'Expenditures 15-22'!K102</f>
        <v>291735</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1198828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44641467</v>
      </c>
      <c r="D17" s="1687">
        <f t="shared" si="2"/>
        <v>5638741</v>
      </c>
      <c r="E17" s="1687">
        <f t="shared" si="2"/>
        <v>1198828</v>
      </c>
      <c r="F17" s="1687">
        <f t="shared" si="2"/>
        <v>1424317</v>
      </c>
      <c r="G17" s="1687">
        <f t="shared" si="2"/>
        <v>1278899</v>
      </c>
      <c r="H17" s="1687">
        <f t="shared" si="2"/>
        <v>5500108</v>
      </c>
      <c r="I17" s="468"/>
      <c r="J17" s="1687">
        <f>SUM(J12:J16)</f>
        <v>0</v>
      </c>
      <c r="K17" s="1687">
        <f>SUM(K12:K16)</f>
        <v>652908</v>
      </c>
      <c r="L17" s="347"/>
    </row>
    <row r="18" spans="1:12" ht="15" customHeight="1" thickTop="1" x14ac:dyDescent="0.2">
      <c r="A18" s="1743" t="s">
        <v>1654</v>
      </c>
      <c r="B18" s="1744">
        <v>4180</v>
      </c>
      <c r="C18" s="1741">
        <f t="shared" ref="C18:H18" si="3">C9</f>
        <v>18641445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63282912</v>
      </c>
      <c r="D19" s="1687">
        <f t="shared" si="4"/>
        <v>5638741</v>
      </c>
      <c r="E19" s="1687">
        <f t="shared" si="4"/>
        <v>1198828</v>
      </c>
      <c r="F19" s="1687">
        <f t="shared" si="4"/>
        <v>1424317</v>
      </c>
      <c r="G19" s="1687">
        <f t="shared" si="4"/>
        <v>1278899</v>
      </c>
      <c r="H19" s="1687">
        <f t="shared" si="4"/>
        <v>5500108</v>
      </c>
      <c r="I19" s="468"/>
      <c r="J19" s="1687">
        <f>SUM(J17:J18)</f>
        <v>0</v>
      </c>
      <c r="K19" s="1687">
        <f>SUM(K17:K18)</f>
        <v>652908</v>
      </c>
      <c r="L19" s="347"/>
    </row>
    <row r="20" spans="1:12" ht="16.5" thickTop="1" thickBot="1" x14ac:dyDescent="0.25">
      <c r="A20" s="2127" t="s">
        <v>1655</v>
      </c>
      <c r="B20" s="2128"/>
      <c r="C20" s="1745">
        <f>C8-C17</f>
        <v>-394960</v>
      </c>
      <c r="D20" s="1745">
        <f t="shared" ref="D20:K20" si="5">D8-D17</f>
        <v>880646</v>
      </c>
      <c r="E20" s="1745">
        <f t="shared" si="5"/>
        <v>-70412</v>
      </c>
      <c r="F20" s="1745">
        <f t="shared" si="5"/>
        <v>256229</v>
      </c>
      <c r="G20" s="1745">
        <f t="shared" si="5"/>
        <v>-45205</v>
      </c>
      <c r="H20" s="1745">
        <f t="shared" si="5"/>
        <v>-3136745</v>
      </c>
      <c r="I20" s="1745">
        <f t="shared" si="5"/>
        <v>0</v>
      </c>
      <c r="J20" s="1745">
        <f t="shared" si="5"/>
        <v>0</v>
      </c>
      <c r="K20" s="1745">
        <f t="shared" si="5"/>
        <v>-631208</v>
      </c>
      <c r="L20" s="347"/>
    </row>
    <row r="21" spans="1:12" ht="16.7" customHeight="1" thickTop="1" x14ac:dyDescent="0.2">
      <c r="A21" s="2139" t="s">
        <v>595</v>
      </c>
      <c r="B21" s="2140"/>
      <c r="C21" s="1569"/>
      <c r="D21" s="1570"/>
      <c r="E21" s="1570"/>
      <c r="F21" s="1570"/>
      <c r="G21" s="1570"/>
      <c r="H21" s="1570"/>
      <c r="I21" s="1570"/>
      <c r="J21" s="1570"/>
      <c r="K21" s="1571"/>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v>75660</v>
      </c>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v>9261</v>
      </c>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9261</v>
      </c>
      <c r="D44" s="1702">
        <f t="shared" ref="D44:K44" si="6">SUM(D24:D43)</f>
        <v>0</v>
      </c>
      <c r="E44" s="1702">
        <f t="shared" si="6"/>
        <v>75660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v>75660</v>
      </c>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75660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9" t="s">
        <v>1177</v>
      </c>
      <c r="B77" s="2120"/>
      <c r="C77" s="1702">
        <f t="shared" ref="C77:K77" si="8">C44-C76</f>
        <v>9261</v>
      </c>
      <c r="D77" s="1702">
        <f t="shared" si="8"/>
        <v>-75660</v>
      </c>
      <c r="E77" s="1702">
        <f t="shared" si="8"/>
        <v>75660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3" t="s">
        <v>597</v>
      </c>
      <c r="B78" s="2124"/>
      <c r="C78" s="1701">
        <f t="shared" ref="C78:K78" si="9">C20+C77</f>
        <v>-385699</v>
      </c>
      <c r="D78" s="1701">
        <f t="shared" si="9"/>
        <v>804986</v>
      </c>
      <c r="E78" s="1701">
        <f t="shared" si="9"/>
        <v>5248</v>
      </c>
      <c r="F78" s="1701">
        <f t="shared" si="9"/>
        <v>256229</v>
      </c>
      <c r="G78" s="1701">
        <f t="shared" si="9"/>
        <v>-45205</v>
      </c>
      <c r="H78" s="1701">
        <f t="shared" si="9"/>
        <v>-3136745</v>
      </c>
      <c r="I78" s="1701">
        <f t="shared" si="9"/>
        <v>0</v>
      </c>
      <c r="J78" s="1701">
        <f t="shared" si="9"/>
        <v>0</v>
      </c>
      <c r="K78" s="1701">
        <f t="shared" si="9"/>
        <v>-631208</v>
      </c>
      <c r="L78" s="533"/>
    </row>
    <row r="79" spans="1:12" ht="13.5" thickTop="1" x14ac:dyDescent="0.2">
      <c r="A79" s="1493" t="s">
        <v>1949</v>
      </c>
      <c r="B79" s="534"/>
      <c r="C79" s="478">
        <v>13080993</v>
      </c>
      <c r="D79" s="535">
        <v>1180059</v>
      </c>
      <c r="E79" s="535">
        <v>874595</v>
      </c>
      <c r="F79" s="535">
        <v>1638568</v>
      </c>
      <c r="G79" s="535">
        <v>921201</v>
      </c>
      <c r="H79" s="535">
        <v>10250750</v>
      </c>
      <c r="I79" s="535"/>
      <c r="J79" s="535"/>
      <c r="K79" s="535">
        <v>1906475</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7">
        <f>(SUM(C78:C80))</f>
        <v>12695294</v>
      </c>
      <c r="D81" s="1687">
        <f>SUM(D78:D80)</f>
        <v>1985045</v>
      </c>
      <c r="E81" s="1687">
        <f t="shared" ref="E81:K81" si="10">SUM(E78:E80)</f>
        <v>879843</v>
      </c>
      <c r="F81" s="1687">
        <f t="shared" si="10"/>
        <v>1894797</v>
      </c>
      <c r="G81" s="1687">
        <f t="shared" si="10"/>
        <v>875996</v>
      </c>
      <c r="H81" s="1687">
        <f t="shared" si="10"/>
        <v>7114005</v>
      </c>
      <c r="I81" s="1687">
        <f t="shared" si="10"/>
        <v>0</v>
      </c>
      <c r="J81" s="1687">
        <f t="shared" si="10"/>
        <v>0</v>
      </c>
      <c r="K81" s="1687">
        <f t="shared" si="10"/>
        <v>1275267</v>
      </c>
      <c r="L81" s="347"/>
    </row>
    <row r="82" spans="1:12" ht="0.75" customHeight="1" thickTop="1" thickBot="1" x14ac:dyDescent="0.25">
      <c r="A82" s="536" t="s">
        <v>343</v>
      </c>
      <c r="B82" s="537"/>
      <c r="C82" s="538">
        <f>(C81-C79)</f>
        <v>-385699</v>
      </c>
      <c r="D82" s="538">
        <f t="shared" ref="D82:K82" si="11">(D81-D79)</f>
        <v>804986</v>
      </c>
      <c r="E82" s="538">
        <f t="shared" si="11"/>
        <v>5248</v>
      </c>
      <c r="F82" s="538">
        <f t="shared" si="11"/>
        <v>256229</v>
      </c>
      <c r="G82" s="538">
        <f t="shared" si="11"/>
        <v>-45205</v>
      </c>
      <c r="H82" s="538">
        <f t="shared" si="11"/>
        <v>-3136745</v>
      </c>
      <c r="I82" s="538">
        <f t="shared" si="11"/>
        <v>0</v>
      </c>
      <c r="J82" s="538">
        <f t="shared" si="11"/>
        <v>0</v>
      </c>
      <c r="K82" s="538">
        <f t="shared" si="11"/>
        <v>-631208</v>
      </c>
    </row>
    <row r="83" spans="1:12" ht="14.25" hidden="1" thickTop="1" thickBot="1" x14ac:dyDescent="0.25">
      <c r="A83" s="539" t="s">
        <v>344</v>
      </c>
      <c r="B83" s="464"/>
      <c r="C83" s="540">
        <f>C82/C81</f>
        <v>-3.0381257810965227E-2</v>
      </c>
      <c r="D83" s="540">
        <f t="shared" ref="D83:K83" si="12">D82/D81</f>
        <v>0.40552531554700272</v>
      </c>
      <c r="E83" s="540">
        <f t="shared" si="12"/>
        <v>5.9647005204337593E-3</v>
      </c>
      <c r="F83" s="540">
        <f t="shared" si="12"/>
        <v>0.13522767874342212</v>
      </c>
      <c r="G83" s="540">
        <f t="shared" si="12"/>
        <v>-5.1604116913775859E-2</v>
      </c>
      <c r="H83" s="540">
        <f t="shared" si="12"/>
        <v>-0.44092532968419335</v>
      </c>
      <c r="I83" s="540" t="e">
        <f t="shared" si="12"/>
        <v>#DIV/0!</v>
      </c>
      <c r="J83" s="540" t="e">
        <f t="shared" si="12"/>
        <v>#DIV/0!</v>
      </c>
      <c r="K83" s="540">
        <f t="shared" si="12"/>
        <v>-0.49496144728907748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7" activePane="bottomLeft" state="frozen"/>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41163790</v>
      </c>
      <c r="D5" s="481">
        <v>6447642</v>
      </c>
      <c r="E5" s="466">
        <v>1110631</v>
      </c>
      <c r="F5" s="548">
        <v>1342883</v>
      </c>
      <c r="G5" s="466">
        <v>483444</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738961</v>
      </c>
      <c r="D7" s="466"/>
      <c r="E7" s="468"/>
      <c r="F7" s="467"/>
      <c r="G7" s="467"/>
      <c r="H7" s="467"/>
      <c r="I7" s="468"/>
      <c r="J7" s="468"/>
      <c r="K7" s="468"/>
    </row>
    <row r="8" spans="1:12" x14ac:dyDescent="0.2">
      <c r="A8" s="463" t="s">
        <v>413</v>
      </c>
      <c r="B8" s="470">
        <v>1150</v>
      </c>
      <c r="C8" s="475"/>
      <c r="D8" s="475"/>
      <c r="E8" s="477"/>
      <c r="F8" s="477"/>
      <c r="G8" s="481">
        <v>644592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41902751</v>
      </c>
      <c r="D12" s="1706">
        <f t="shared" si="0"/>
        <v>6447642</v>
      </c>
      <c r="E12" s="1706">
        <f t="shared" si="0"/>
        <v>1110631</v>
      </c>
      <c r="F12" s="1706">
        <f t="shared" si="0"/>
        <v>1342883</v>
      </c>
      <c r="G12" s="1706">
        <f t="shared" si="0"/>
        <v>1128036</v>
      </c>
      <c r="H12" s="1706">
        <f t="shared" si="0"/>
        <v>0</v>
      </c>
      <c r="I12" s="1706">
        <f t="shared" si="0"/>
        <v>0</v>
      </c>
      <c r="J12" s="1706">
        <f t="shared" si="0"/>
        <v>0</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100000</v>
      </c>
      <c r="H16" s="466">
        <v>388432</v>
      </c>
      <c r="I16" s="466"/>
      <c r="J16" s="467"/>
      <c r="K16" s="466"/>
    </row>
    <row r="17" spans="1:11" ht="12.75" customHeight="1" x14ac:dyDescent="0.2">
      <c r="A17" s="463" t="s">
        <v>807</v>
      </c>
      <c r="B17" s="470">
        <v>1290</v>
      </c>
      <c r="C17" s="551"/>
      <c r="D17" s="466"/>
      <c r="E17" s="466"/>
      <c r="F17" s="466"/>
      <c r="G17" s="466"/>
      <c r="H17" s="466">
        <v>1972</v>
      </c>
      <c r="I17" s="466"/>
      <c r="J17" s="467"/>
      <c r="K17" s="466"/>
    </row>
    <row r="18" spans="1:11" ht="12.75" customHeight="1" thickBot="1" x14ac:dyDescent="0.25">
      <c r="A18" s="1707" t="s">
        <v>537</v>
      </c>
      <c r="B18" s="1708"/>
      <c r="C18" s="1709">
        <f>SUM(C14:C17)</f>
        <v>0</v>
      </c>
      <c r="D18" s="1709">
        <f t="shared" ref="D18:K18" si="1">SUM(D14:D17)</f>
        <v>0</v>
      </c>
      <c r="E18" s="1709">
        <f t="shared" si="1"/>
        <v>0</v>
      </c>
      <c r="F18" s="1709">
        <f t="shared" si="1"/>
        <v>0</v>
      </c>
      <c r="G18" s="1709">
        <f t="shared" si="1"/>
        <v>100000</v>
      </c>
      <c r="H18" s="1709">
        <f t="shared" si="1"/>
        <v>390404</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271259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271259</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62150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62150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402872+197304</f>
        <v>600176</v>
      </c>
      <c r="D65" s="466">
        <v>36008</v>
      </c>
      <c r="E65" s="466">
        <v>17785</v>
      </c>
      <c r="F65" s="467">
        <v>13895</v>
      </c>
      <c r="G65" s="466">
        <v>5658</v>
      </c>
      <c r="H65" s="466">
        <v>151825</v>
      </c>
      <c r="I65" s="466"/>
      <c r="J65" s="467"/>
      <c r="K65" s="466">
        <v>21700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600176</v>
      </c>
      <c r="D67" s="1687">
        <f t="shared" ref="D67:K67" si="2">SUM(D65:D66)</f>
        <v>36008</v>
      </c>
      <c r="E67" s="1687">
        <f t="shared" si="2"/>
        <v>17785</v>
      </c>
      <c r="F67" s="1687">
        <f t="shared" si="2"/>
        <v>13895</v>
      </c>
      <c r="G67" s="1687">
        <f t="shared" si="2"/>
        <v>5658</v>
      </c>
      <c r="H67" s="1687">
        <f t="shared" si="2"/>
        <v>151825</v>
      </c>
      <c r="I67" s="1687">
        <f t="shared" si="2"/>
        <v>0</v>
      </c>
      <c r="J67" s="1687">
        <f t="shared" si="2"/>
        <v>0</v>
      </c>
      <c r="K67" s="1687">
        <f t="shared" si="2"/>
        <v>21700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25960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25960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135497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135497</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361527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19902</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381429</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35737</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34215</v>
      </c>
      <c r="D98" s="466"/>
      <c r="E98" s="512"/>
      <c r="F98" s="466"/>
      <c r="G98" s="512"/>
      <c r="H98" s="512"/>
      <c r="I98" s="510"/>
      <c r="J98" s="512"/>
      <c r="K98" s="512"/>
    </row>
    <row r="99" spans="1:12" ht="12.75" customHeight="1" x14ac:dyDescent="0.2">
      <c r="A99" s="463" t="s">
        <v>821</v>
      </c>
      <c r="B99" s="470">
        <v>1950</v>
      </c>
      <c r="C99" s="489">
        <v>28109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2120</v>
      </c>
      <c r="D106" s="489"/>
      <c r="E106" s="467"/>
      <c r="F106" s="467"/>
      <c r="G106" s="467"/>
      <c r="H106" s="467"/>
      <c r="I106" s="521"/>
      <c r="J106" s="467"/>
      <c r="K106" s="467"/>
    </row>
    <row r="107" spans="1:12" ht="12.75" customHeight="1" x14ac:dyDescent="0.2">
      <c r="A107" s="463" t="s">
        <v>78</v>
      </c>
      <c r="B107" s="470">
        <v>1999</v>
      </c>
      <c r="C107" s="551">
        <v>76557</v>
      </c>
      <c r="D107" s="466"/>
      <c r="E107" s="466"/>
      <c r="F107" s="466"/>
      <c r="G107" s="466"/>
      <c r="H107" s="466"/>
      <c r="I107" s="466"/>
      <c r="J107" s="467"/>
      <c r="K107" s="466"/>
    </row>
    <row r="108" spans="1:12" ht="12.75" customHeight="1" thickBot="1" x14ac:dyDescent="0.25">
      <c r="A108" s="1707" t="s">
        <v>487</v>
      </c>
      <c r="B108" s="1711"/>
      <c r="C108" s="1706">
        <f>SUM(C95:C107)</f>
        <v>141001</v>
      </c>
      <c r="D108" s="1706">
        <f t="shared" ref="D108:K108" si="3">SUM(D95:D107)</f>
        <v>35737</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43458073</v>
      </c>
      <c r="D109" s="1714">
        <f t="shared" si="4"/>
        <v>6519387</v>
      </c>
      <c r="E109" s="1714">
        <f t="shared" si="4"/>
        <v>1128416</v>
      </c>
      <c r="F109" s="1714">
        <f t="shared" si="4"/>
        <v>1418928</v>
      </c>
      <c r="G109" s="1714">
        <f t="shared" si="4"/>
        <v>1233694</v>
      </c>
      <c r="H109" s="1714">
        <f t="shared" si="4"/>
        <v>542229</v>
      </c>
      <c r="I109" s="1714">
        <f t="shared" si="4"/>
        <v>0</v>
      </c>
      <c r="J109" s="1714">
        <f t="shared" si="4"/>
        <v>0</v>
      </c>
      <c r="K109" s="1701">
        <f t="shared" si="4"/>
        <v>21700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v>1821134</v>
      </c>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0</v>
      </c>
      <c r="D122" s="1706">
        <f t="shared" si="5"/>
        <v>0</v>
      </c>
      <c r="E122" s="1706">
        <f t="shared" si="5"/>
        <v>0</v>
      </c>
      <c r="F122" s="1706">
        <f t="shared" si="5"/>
        <v>0</v>
      </c>
      <c r="G122" s="1706">
        <f t="shared" si="5"/>
        <v>0</v>
      </c>
      <c r="H122" s="1706">
        <f t="shared" si="5"/>
        <v>1821134</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35684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35684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19315</v>
      </c>
      <c r="G152" s="467"/>
      <c r="H152" s="468"/>
      <c r="I152" s="468"/>
      <c r="J152" s="468"/>
      <c r="K152" s="468"/>
    </row>
    <row r="153" spans="1:11" ht="12.75" customHeight="1" x14ac:dyDescent="0.2">
      <c r="A153" s="463" t="s">
        <v>1057</v>
      </c>
      <c r="B153" s="562">
        <v>3510</v>
      </c>
      <c r="C153" s="551"/>
      <c r="D153" s="466"/>
      <c r="E153" s="561"/>
      <c r="F153" s="466">
        <v>242303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261618</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2149</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37833</v>
      </c>
      <c r="D169" s="1721">
        <f t="shared" si="6"/>
        <v>0</v>
      </c>
      <c r="E169" s="1721">
        <f t="shared" si="6"/>
        <v>0</v>
      </c>
      <c r="F169" s="1721">
        <f t="shared" si="6"/>
        <v>261618</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37833</v>
      </c>
      <c r="D170" s="1714">
        <f t="shared" si="7"/>
        <v>0</v>
      </c>
      <c r="E170" s="1714">
        <f t="shared" si="7"/>
        <v>0</v>
      </c>
      <c r="F170" s="1714">
        <f t="shared" si="7"/>
        <v>261618</v>
      </c>
      <c r="G170" s="1714">
        <f t="shared" si="7"/>
        <v>0</v>
      </c>
      <c r="H170" s="1714">
        <f t="shared" si="7"/>
        <v>1821134</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19490</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19490</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95537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1115</v>
      </c>
      <c r="D203" s="466"/>
      <c r="E203" s="468"/>
      <c r="F203" s="466"/>
      <c r="G203" s="466"/>
      <c r="H203" s="468"/>
      <c r="I203" s="468"/>
      <c r="J203" s="468"/>
      <c r="K203" s="468"/>
    </row>
    <row r="204" spans="1:11" ht="12.75" customHeight="1" thickBot="1" x14ac:dyDescent="0.25">
      <c r="A204" s="1707" t="s">
        <v>400</v>
      </c>
      <c r="B204" s="1708"/>
      <c r="C204" s="1706">
        <f>SUM(C200:C203)</f>
        <v>96652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30754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528379</v>
      </c>
      <c r="D213" s="466"/>
      <c r="E213" s="468"/>
      <c r="F213" s="466"/>
      <c r="G213" s="466"/>
      <c r="H213" s="468"/>
      <c r="I213" s="468"/>
      <c r="J213" s="468"/>
      <c r="K213" s="468"/>
    </row>
    <row r="214" spans="1:11" ht="12.75" customHeight="1" x14ac:dyDescent="0.2">
      <c r="A214" s="463" t="s">
        <v>1054</v>
      </c>
      <c r="B214" s="470">
        <v>4625</v>
      </c>
      <c r="C214" s="551">
        <v>20866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579999</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54460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750601</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750601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44246507</v>
      </c>
      <c r="D268" s="1714">
        <f t="shared" si="12"/>
        <v>6519387</v>
      </c>
      <c r="E268" s="1714">
        <f t="shared" si="12"/>
        <v>1128416</v>
      </c>
      <c r="F268" s="1714">
        <f t="shared" si="12"/>
        <v>1680546</v>
      </c>
      <c r="G268" s="1714">
        <f t="shared" si="12"/>
        <v>1233694</v>
      </c>
      <c r="H268" s="1714">
        <f t="shared" si="12"/>
        <v>2363363</v>
      </c>
      <c r="I268" s="1714">
        <f t="shared" si="12"/>
        <v>0</v>
      </c>
      <c r="J268" s="1714">
        <f t="shared" si="12"/>
        <v>0</v>
      </c>
      <c r="K268" s="1701">
        <f t="shared" si="12"/>
        <v>21700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0" activePane="bottomLeft" state="frozen"/>
      <selection pane="bottomLeft" activeCell="F167" sqref="F1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f>17242688-3</f>
        <v>17242685</v>
      </c>
      <c r="D5" s="466">
        <v>2642884</v>
      </c>
      <c r="E5" s="466">
        <v>169327</v>
      </c>
      <c r="F5" s="466">
        <v>669279</v>
      </c>
      <c r="G5" s="466">
        <v>3955</v>
      </c>
      <c r="H5" s="466"/>
      <c r="I5" s="467"/>
      <c r="J5" s="467"/>
      <c r="K5" s="1670">
        <f>SUM(C5:J5)</f>
        <v>20728130</v>
      </c>
      <c r="L5" s="466">
        <v>21308065</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5173506</v>
      </c>
      <c r="D8" s="466">
        <v>1416459</v>
      </c>
      <c r="E8" s="466">
        <v>101978</v>
      </c>
      <c r="F8" s="466">
        <f>18526+165694</f>
        <v>184220</v>
      </c>
      <c r="G8" s="466">
        <v>8947</v>
      </c>
      <c r="H8" s="466">
        <v>106633</v>
      </c>
      <c r="I8" s="467"/>
      <c r="J8" s="467"/>
      <c r="K8" s="1670">
        <f t="shared" si="0"/>
        <v>6991743</v>
      </c>
      <c r="L8" s="466">
        <v>7140022</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c r="D10" s="466"/>
      <c r="E10" s="466"/>
      <c r="F10" s="466"/>
      <c r="G10" s="466"/>
      <c r="H10" s="466"/>
      <c r="I10" s="467"/>
      <c r="J10" s="467"/>
      <c r="K10" s="1670">
        <f t="shared" si="0"/>
        <v>0</v>
      </c>
      <c r="L10" s="466"/>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454574</v>
      </c>
      <c r="D14" s="466">
        <v>8249</v>
      </c>
      <c r="E14" s="466">
        <v>15006</v>
      </c>
      <c r="F14" s="466">
        <v>5296</v>
      </c>
      <c r="G14" s="466"/>
      <c r="H14" s="466"/>
      <c r="I14" s="467"/>
      <c r="J14" s="467"/>
      <c r="K14" s="1670">
        <f t="shared" si="0"/>
        <v>483125</v>
      </c>
      <c r="L14" s="466">
        <v>376305</v>
      </c>
    </row>
    <row r="15" spans="1:14" x14ac:dyDescent="0.2">
      <c r="A15" s="1503" t="s">
        <v>964</v>
      </c>
      <c r="B15" s="614">
        <v>1600</v>
      </c>
      <c r="C15" s="466">
        <v>75240</v>
      </c>
      <c r="D15" s="466">
        <v>528</v>
      </c>
      <c r="E15" s="466"/>
      <c r="F15" s="466"/>
      <c r="G15" s="466"/>
      <c r="H15" s="466"/>
      <c r="I15" s="467"/>
      <c r="J15" s="467"/>
      <c r="K15" s="1670">
        <f t="shared" si="0"/>
        <v>75768</v>
      </c>
      <c r="L15" s="466">
        <v>25000</v>
      </c>
    </row>
    <row r="16" spans="1:14" x14ac:dyDescent="0.2">
      <c r="A16" s="1503" t="s">
        <v>987</v>
      </c>
      <c r="B16" s="614" t="s">
        <v>424</v>
      </c>
      <c r="C16" s="466">
        <v>700746</v>
      </c>
      <c r="D16" s="466">
        <v>124254</v>
      </c>
      <c r="E16" s="466">
        <v>260</v>
      </c>
      <c r="F16" s="466">
        <v>1810</v>
      </c>
      <c r="G16" s="466"/>
      <c r="H16" s="466"/>
      <c r="I16" s="467"/>
      <c r="J16" s="467"/>
      <c r="K16" s="1670">
        <f t="shared" si="0"/>
        <v>827070</v>
      </c>
      <c r="L16" s="466">
        <v>837312</v>
      </c>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23646751</v>
      </c>
      <c r="D33" s="1669">
        <f t="shared" ref="D33:L33" si="1">SUM(D5:D32)</f>
        <v>4192374</v>
      </c>
      <c r="E33" s="1669">
        <f t="shared" si="1"/>
        <v>286571</v>
      </c>
      <c r="F33" s="1669">
        <f t="shared" si="1"/>
        <v>860605</v>
      </c>
      <c r="G33" s="1669">
        <f t="shared" si="1"/>
        <v>12902</v>
      </c>
      <c r="H33" s="1669">
        <f t="shared" si="1"/>
        <v>106633</v>
      </c>
      <c r="I33" s="1669">
        <f t="shared" si="1"/>
        <v>0</v>
      </c>
      <c r="J33" s="1669">
        <f t="shared" si="1"/>
        <v>0</v>
      </c>
      <c r="K33" s="1669">
        <f t="shared" si="1"/>
        <v>29105836</v>
      </c>
      <c r="L33" s="1669">
        <f t="shared" si="1"/>
        <v>29686704</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597975</v>
      </c>
      <c r="D36" s="481">
        <v>106985</v>
      </c>
      <c r="E36" s="481">
        <v>2692</v>
      </c>
      <c r="F36" s="481"/>
      <c r="G36" s="481"/>
      <c r="H36" s="481"/>
      <c r="I36" s="467"/>
      <c r="J36" s="467"/>
      <c r="K36" s="1670">
        <f t="shared" ref="K36:K41" si="2">SUM(C36:J36)</f>
        <v>707652</v>
      </c>
      <c r="L36" s="466">
        <v>749531</v>
      </c>
    </row>
    <row r="37" spans="1:14" x14ac:dyDescent="0.2">
      <c r="A37" s="1503" t="s">
        <v>1090</v>
      </c>
      <c r="B37" s="614">
        <v>2120</v>
      </c>
      <c r="C37" s="466">
        <v>346835</v>
      </c>
      <c r="D37" s="466">
        <v>48961</v>
      </c>
      <c r="E37" s="466"/>
      <c r="F37" s="466"/>
      <c r="G37" s="466"/>
      <c r="H37" s="466"/>
      <c r="I37" s="467"/>
      <c r="J37" s="467"/>
      <c r="K37" s="1670">
        <f t="shared" si="2"/>
        <v>395796</v>
      </c>
      <c r="L37" s="466">
        <v>425053</v>
      </c>
    </row>
    <row r="38" spans="1:14" x14ac:dyDescent="0.2">
      <c r="A38" s="1503" t="s">
        <v>198</v>
      </c>
      <c r="B38" s="614">
        <v>2130</v>
      </c>
      <c r="C38" s="466">
        <v>322929</v>
      </c>
      <c r="D38" s="466">
        <v>81331</v>
      </c>
      <c r="E38" s="466"/>
      <c r="F38" s="466">
        <v>5939</v>
      </c>
      <c r="G38" s="466"/>
      <c r="H38" s="466"/>
      <c r="I38" s="467"/>
      <c r="J38" s="467"/>
      <c r="K38" s="1670">
        <f t="shared" si="2"/>
        <v>410199</v>
      </c>
      <c r="L38" s="466">
        <v>465445</v>
      </c>
    </row>
    <row r="39" spans="1:14" x14ac:dyDescent="0.2">
      <c r="A39" s="1503" t="s">
        <v>199</v>
      </c>
      <c r="B39" s="614">
        <v>2140</v>
      </c>
      <c r="C39" s="466">
        <v>233832</v>
      </c>
      <c r="D39" s="466">
        <v>32020</v>
      </c>
      <c r="E39" s="466">
        <v>18140</v>
      </c>
      <c r="F39" s="466">
        <v>7896</v>
      </c>
      <c r="G39" s="466"/>
      <c r="H39" s="466"/>
      <c r="I39" s="467"/>
      <c r="J39" s="467"/>
      <c r="K39" s="1670">
        <f t="shared" si="2"/>
        <v>291888</v>
      </c>
      <c r="L39" s="466">
        <v>208847</v>
      </c>
    </row>
    <row r="40" spans="1:14" x14ac:dyDescent="0.2">
      <c r="A40" s="1503" t="s">
        <v>200</v>
      </c>
      <c r="B40" s="614">
        <v>2150</v>
      </c>
      <c r="C40" s="466">
        <v>945130</v>
      </c>
      <c r="D40" s="466">
        <v>134560</v>
      </c>
      <c r="E40" s="466">
        <v>2227</v>
      </c>
      <c r="F40" s="466">
        <v>5329</v>
      </c>
      <c r="G40" s="466"/>
      <c r="H40" s="466"/>
      <c r="I40" s="467"/>
      <c r="J40" s="467"/>
      <c r="K40" s="1670">
        <f t="shared" si="2"/>
        <v>1087246</v>
      </c>
      <c r="L40" s="466">
        <v>1160988</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2446701</v>
      </c>
      <c r="D42" s="1669">
        <f t="shared" ref="D42:L42" si="3">SUM(D36:D41)</f>
        <v>403857</v>
      </c>
      <c r="E42" s="1669">
        <f t="shared" si="3"/>
        <v>23059</v>
      </c>
      <c r="F42" s="1669">
        <f t="shared" si="3"/>
        <v>19164</v>
      </c>
      <c r="G42" s="1669">
        <f t="shared" si="3"/>
        <v>0</v>
      </c>
      <c r="H42" s="1669">
        <f t="shared" si="3"/>
        <v>0</v>
      </c>
      <c r="I42" s="1669">
        <f t="shared" si="3"/>
        <v>0</v>
      </c>
      <c r="J42" s="1669">
        <f t="shared" si="3"/>
        <v>0</v>
      </c>
      <c r="K42" s="1669">
        <f t="shared" si="3"/>
        <v>2892781</v>
      </c>
      <c r="L42" s="1669">
        <f t="shared" si="3"/>
        <v>3009864</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1224683</v>
      </c>
      <c r="D44" s="481">
        <v>144816</v>
      </c>
      <c r="E44" s="481">
        <v>439442</v>
      </c>
      <c r="F44" s="481">
        <v>5472</v>
      </c>
      <c r="G44" s="481"/>
      <c r="H44" s="481"/>
      <c r="I44" s="467"/>
      <c r="J44" s="467"/>
      <c r="K44" s="1671">
        <f>SUM(C44:J44)</f>
        <v>1814413</v>
      </c>
      <c r="L44" s="481">
        <v>1860192</v>
      </c>
    </row>
    <row r="45" spans="1:14" x14ac:dyDescent="0.2">
      <c r="A45" s="1503" t="s">
        <v>815</v>
      </c>
      <c r="B45" s="614">
        <v>2220</v>
      </c>
      <c r="C45" s="466">
        <v>739256</v>
      </c>
      <c r="D45" s="466">
        <v>154249</v>
      </c>
      <c r="E45" s="466">
        <v>3472</v>
      </c>
      <c r="F45" s="466">
        <v>45074</v>
      </c>
      <c r="G45" s="466">
        <v>21340</v>
      </c>
      <c r="H45" s="466"/>
      <c r="I45" s="467"/>
      <c r="J45" s="467"/>
      <c r="K45" s="1671">
        <f>SUM(C45:J45)</f>
        <v>963391</v>
      </c>
      <c r="L45" s="466">
        <v>965652</v>
      </c>
    </row>
    <row r="46" spans="1:14" x14ac:dyDescent="0.2">
      <c r="A46" s="1503" t="s">
        <v>816</v>
      </c>
      <c r="B46" s="614">
        <v>2230</v>
      </c>
      <c r="C46" s="466">
        <v>386756</v>
      </c>
      <c r="D46" s="466">
        <v>80150</v>
      </c>
      <c r="E46" s="466">
        <v>115525</v>
      </c>
      <c r="F46" s="466">
        <v>6312</v>
      </c>
      <c r="G46" s="466"/>
      <c r="H46" s="466"/>
      <c r="I46" s="467"/>
      <c r="J46" s="467"/>
      <c r="K46" s="1671">
        <f>SUM(C46:J46)</f>
        <v>588743</v>
      </c>
      <c r="L46" s="466">
        <v>584812</v>
      </c>
    </row>
    <row r="47" spans="1:14" ht="12.75" customHeight="1" thickBot="1" x14ac:dyDescent="0.25">
      <c r="A47" s="1667" t="s">
        <v>561</v>
      </c>
      <c r="B47" s="1668" t="s">
        <v>32</v>
      </c>
      <c r="C47" s="1669">
        <f>SUM(C44:C46)</f>
        <v>2350695</v>
      </c>
      <c r="D47" s="1669">
        <f t="shared" ref="D47:K47" si="4">SUM(D44:D46)</f>
        <v>379215</v>
      </c>
      <c r="E47" s="1669">
        <f t="shared" si="4"/>
        <v>558439</v>
      </c>
      <c r="F47" s="1669">
        <f t="shared" si="4"/>
        <v>56858</v>
      </c>
      <c r="G47" s="1669">
        <f t="shared" si="4"/>
        <v>21340</v>
      </c>
      <c r="H47" s="1669">
        <f t="shared" si="4"/>
        <v>0</v>
      </c>
      <c r="I47" s="1669">
        <f t="shared" si="4"/>
        <v>0</v>
      </c>
      <c r="J47" s="1669">
        <f t="shared" si="4"/>
        <v>0</v>
      </c>
      <c r="K47" s="1669">
        <f t="shared" si="4"/>
        <v>3366547</v>
      </c>
      <c r="L47" s="1669">
        <f>SUM(L44:L46)</f>
        <v>3410656</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759360</v>
      </c>
      <c r="F49" s="481"/>
      <c r="G49" s="481"/>
      <c r="H49" s="481"/>
      <c r="I49" s="467"/>
      <c r="J49" s="467"/>
      <c r="K49" s="1671">
        <f>SUM(C49:J49)</f>
        <v>759360</v>
      </c>
      <c r="L49" s="481">
        <v>837075</v>
      </c>
    </row>
    <row r="50" spans="1:14" x14ac:dyDescent="0.2">
      <c r="A50" s="1503" t="s">
        <v>818</v>
      </c>
      <c r="B50" s="614">
        <v>2320</v>
      </c>
      <c r="C50" s="466">
        <v>662180</v>
      </c>
      <c r="D50" s="466">
        <v>123657</v>
      </c>
      <c r="E50" s="466">
        <v>196943</v>
      </c>
      <c r="F50" s="466">
        <v>14791</v>
      </c>
      <c r="G50" s="466">
        <v>34</v>
      </c>
      <c r="H50" s="466"/>
      <c r="I50" s="467"/>
      <c r="J50" s="467"/>
      <c r="K50" s="1671">
        <f>SUM(C50:J50)</f>
        <v>997605</v>
      </c>
      <c r="L50" s="466">
        <v>978521</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662180</v>
      </c>
      <c r="D53" s="1669">
        <f t="shared" ref="D53:L53" si="5">SUM(D49:D52)</f>
        <v>123657</v>
      </c>
      <c r="E53" s="1669">
        <f t="shared" si="5"/>
        <v>956303</v>
      </c>
      <c r="F53" s="1669">
        <f t="shared" si="5"/>
        <v>14791</v>
      </c>
      <c r="G53" s="1669">
        <f t="shared" si="5"/>
        <v>34</v>
      </c>
      <c r="H53" s="1669">
        <f t="shared" si="5"/>
        <v>0</v>
      </c>
      <c r="I53" s="1669">
        <f t="shared" si="5"/>
        <v>0</v>
      </c>
      <c r="J53" s="1669">
        <f t="shared" si="5"/>
        <v>0</v>
      </c>
      <c r="K53" s="1669">
        <f t="shared" si="5"/>
        <v>1756965</v>
      </c>
      <c r="L53" s="1669">
        <f t="shared" si="5"/>
        <v>1815596</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1830170</v>
      </c>
      <c r="D55" s="481">
        <v>552360</v>
      </c>
      <c r="E55" s="481">
        <v>16782</v>
      </c>
      <c r="F55" s="481">
        <v>3291</v>
      </c>
      <c r="G55" s="481"/>
      <c r="H55" s="481"/>
      <c r="I55" s="467"/>
      <c r="J55" s="467"/>
      <c r="K55" s="1671">
        <f>SUM(C55:J55)</f>
        <v>2402603</v>
      </c>
      <c r="L55" s="481">
        <v>2171412</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1830170</v>
      </c>
      <c r="D57" s="1673">
        <f t="shared" ref="D57:K57" si="6">SUM(D55:D56)</f>
        <v>552360</v>
      </c>
      <c r="E57" s="1673">
        <f t="shared" si="6"/>
        <v>16782</v>
      </c>
      <c r="F57" s="1673">
        <f t="shared" si="6"/>
        <v>3291</v>
      </c>
      <c r="G57" s="1673">
        <f t="shared" si="6"/>
        <v>0</v>
      </c>
      <c r="H57" s="1673">
        <f t="shared" si="6"/>
        <v>0</v>
      </c>
      <c r="I57" s="1673">
        <f t="shared" si="6"/>
        <v>0</v>
      </c>
      <c r="J57" s="1673">
        <f t="shared" si="6"/>
        <v>0</v>
      </c>
      <c r="K57" s="1673">
        <f t="shared" si="6"/>
        <v>2402603</v>
      </c>
      <c r="L57" s="1669">
        <f>SUM(L55:L56)</f>
        <v>2171412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566836</v>
      </c>
      <c r="D59" s="481">
        <v>103013</v>
      </c>
      <c r="E59" s="481">
        <v>36992</v>
      </c>
      <c r="F59" s="481">
        <v>3790</v>
      </c>
      <c r="G59" s="481">
        <v>1000</v>
      </c>
      <c r="H59" s="481"/>
      <c r="I59" s="467"/>
      <c r="J59" s="467"/>
      <c r="K59" s="1671">
        <f t="shared" ref="K59:K64" si="7">SUM(C59:J59)</f>
        <v>711631</v>
      </c>
      <c r="L59" s="481">
        <v>697390</v>
      </c>
      <c r="M59" s="609"/>
      <c r="N59" s="609"/>
    </row>
    <row r="60" spans="1:14" s="343" customFormat="1" x14ac:dyDescent="0.2">
      <c r="A60" s="1503" t="s">
        <v>463</v>
      </c>
      <c r="B60" s="614">
        <v>2520</v>
      </c>
      <c r="C60" s="466"/>
      <c r="D60" s="466"/>
      <c r="E60" s="466"/>
      <c r="F60" s="466"/>
      <c r="G60" s="466"/>
      <c r="H60" s="466"/>
      <c r="I60" s="467"/>
      <c r="J60" s="467"/>
      <c r="K60" s="1671">
        <f t="shared" si="7"/>
        <v>0</v>
      </c>
      <c r="L60" s="466"/>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331443</v>
      </c>
      <c r="D63" s="466">
        <v>785</v>
      </c>
      <c r="E63" s="466">
        <v>30483</v>
      </c>
      <c r="F63" s="466"/>
      <c r="G63" s="466"/>
      <c r="H63" s="466"/>
      <c r="I63" s="467"/>
      <c r="J63" s="467"/>
      <c r="K63" s="1671">
        <f t="shared" si="7"/>
        <v>362711</v>
      </c>
      <c r="L63" s="466">
        <v>342933</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898279</v>
      </c>
      <c r="D65" s="1669">
        <f t="shared" ref="D65:L65" si="8">SUM(D59:D64)</f>
        <v>103798</v>
      </c>
      <c r="E65" s="1669">
        <f t="shared" si="8"/>
        <v>67475</v>
      </c>
      <c r="F65" s="1669">
        <f t="shared" si="8"/>
        <v>3790</v>
      </c>
      <c r="G65" s="1669">
        <f t="shared" si="8"/>
        <v>1000</v>
      </c>
      <c r="H65" s="1669">
        <f t="shared" si="8"/>
        <v>0</v>
      </c>
      <c r="I65" s="1669">
        <f t="shared" si="8"/>
        <v>0</v>
      </c>
      <c r="J65" s="1669">
        <f t="shared" si="8"/>
        <v>0</v>
      </c>
      <c r="K65" s="1669">
        <f t="shared" si="8"/>
        <v>1074342</v>
      </c>
      <c r="L65" s="1669">
        <f t="shared" si="8"/>
        <v>1040323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v>1744366</v>
      </c>
      <c r="F69" s="466">
        <v>623912</v>
      </c>
      <c r="G69" s="466">
        <v>1160736</v>
      </c>
      <c r="H69" s="466"/>
      <c r="I69" s="467"/>
      <c r="J69" s="467"/>
      <c r="K69" s="1671">
        <f>SUM(C69:J69)</f>
        <v>3529014</v>
      </c>
      <c r="L69" s="466">
        <v>2929128</v>
      </c>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v>31139</v>
      </c>
      <c r="F71" s="466"/>
      <c r="G71" s="466"/>
      <c r="H71" s="466"/>
      <c r="I71" s="467"/>
      <c r="J71" s="467"/>
      <c r="K71" s="1671">
        <f>SUM(C71:J71)</f>
        <v>31139</v>
      </c>
      <c r="L71" s="466">
        <v>15000</v>
      </c>
      <c r="M71" s="609"/>
      <c r="N71" s="609"/>
    </row>
    <row r="72" spans="1:14" s="343" customFormat="1" ht="12.75" customHeight="1" thickBot="1" x14ac:dyDescent="0.25">
      <c r="A72" s="1667" t="s">
        <v>37</v>
      </c>
      <c r="B72" s="1674" t="s">
        <v>36</v>
      </c>
      <c r="C72" s="1669">
        <f>SUM(C67:C71)</f>
        <v>0</v>
      </c>
      <c r="D72" s="1669">
        <f t="shared" ref="D72:K72" si="9">SUM(D67:D71)</f>
        <v>0</v>
      </c>
      <c r="E72" s="1669">
        <f t="shared" si="9"/>
        <v>1775505</v>
      </c>
      <c r="F72" s="1669">
        <f t="shared" si="9"/>
        <v>623912</v>
      </c>
      <c r="G72" s="1669">
        <f t="shared" si="9"/>
        <v>1160736</v>
      </c>
      <c r="H72" s="1669">
        <f t="shared" si="9"/>
        <v>0</v>
      </c>
      <c r="I72" s="1669">
        <f t="shared" si="9"/>
        <v>0</v>
      </c>
      <c r="J72" s="1669">
        <f t="shared" si="9"/>
        <v>0</v>
      </c>
      <c r="K72" s="1669">
        <f t="shared" si="9"/>
        <v>3560153</v>
      </c>
      <c r="L72" s="1669">
        <f>SUM(L67:L71)</f>
        <v>2944128</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8188025</v>
      </c>
      <c r="D74" s="1676">
        <f t="shared" ref="D74:K74" si="10">SUM(D42,D47,D53,D57,D65,D72,D73)</f>
        <v>1562887</v>
      </c>
      <c r="E74" s="1676">
        <f t="shared" si="10"/>
        <v>3397563</v>
      </c>
      <c r="F74" s="1676">
        <f t="shared" si="10"/>
        <v>721806</v>
      </c>
      <c r="G74" s="1676">
        <f t="shared" si="10"/>
        <v>1183110</v>
      </c>
      <c r="H74" s="1676">
        <f t="shared" si="10"/>
        <v>0</v>
      </c>
      <c r="I74" s="1676">
        <f t="shared" si="10"/>
        <v>0</v>
      </c>
      <c r="J74" s="1676">
        <f t="shared" si="10"/>
        <v>0</v>
      </c>
      <c r="K74" s="1676">
        <f t="shared" si="10"/>
        <v>15053391</v>
      </c>
      <c r="L74" s="1676">
        <f>SUM(L42,L47,L53,L57,L65,L72,L73)</f>
        <v>14391979</v>
      </c>
    </row>
    <row r="75" spans="1:14" s="259" customFormat="1" ht="15.75" customHeight="1" thickTop="1" thickBot="1" x14ac:dyDescent="0.25">
      <c r="A75" s="1609" t="s">
        <v>47</v>
      </c>
      <c r="B75" s="1610" t="s">
        <v>575</v>
      </c>
      <c r="C75" s="573">
        <v>155977</v>
      </c>
      <c r="D75" s="573">
        <v>24922</v>
      </c>
      <c r="E75" s="573">
        <v>1297</v>
      </c>
      <c r="F75" s="573">
        <v>7661</v>
      </c>
      <c r="G75" s="573"/>
      <c r="H75" s="573">
        <v>648</v>
      </c>
      <c r="I75" s="531"/>
      <c r="J75" s="531"/>
      <c r="K75" s="1669">
        <f>SUM(C75:J75)</f>
        <v>190505</v>
      </c>
      <c r="L75" s="576">
        <v>202028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219224</v>
      </c>
      <c r="F79" s="616"/>
      <c r="G79" s="616"/>
      <c r="H79" s="466">
        <v>63941</v>
      </c>
      <c r="I79" s="477"/>
      <c r="J79" s="477"/>
      <c r="K79" s="1670">
        <f t="shared" si="11"/>
        <v>283165</v>
      </c>
      <c r="L79" s="466">
        <v>613000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219224</v>
      </c>
      <c r="F84" s="616"/>
      <c r="G84" s="616"/>
      <c r="H84" s="1669">
        <f>SUM(H78:H83)</f>
        <v>63941</v>
      </c>
      <c r="I84" s="477"/>
      <c r="J84" s="477"/>
      <c r="K84" s="1669">
        <f>SUM(K78:K83)</f>
        <v>283165</v>
      </c>
      <c r="L84" s="1669">
        <f>SUM(L78:L83)</f>
        <v>613000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v>8570</v>
      </c>
      <c r="I99" s="477"/>
      <c r="J99" s="477"/>
      <c r="K99" s="1676">
        <f>SUM(E99,H99)</f>
        <v>8570</v>
      </c>
      <c r="L99" s="530"/>
    </row>
    <row r="100" spans="1:14" ht="14.25" thickTop="1" thickBot="1" x14ac:dyDescent="0.25">
      <c r="A100" s="1679" t="s">
        <v>1486</v>
      </c>
      <c r="B100" s="1680">
        <v>4300</v>
      </c>
      <c r="C100" s="616"/>
      <c r="D100" s="616"/>
      <c r="E100" s="1676">
        <f>SUM(E93:E99)</f>
        <v>0</v>
      </c>
      <c r="F100" s="616"/>
      <c r="G100" s="616"/>
      <c r="H100" s="1676">
        <f>SUM(H93:H99)</f>
        <v>8570</v>
      </c>
      <c r="I100" s="477"/>
      <c r="J100" s="477"/>
      <c r="K100" s="1676">
        <f>SUM(K93:K99)</f>
        <v>8570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219224</v>
      </c>
      <c r="F102" s="616"/>
      <c r="G102" s="616"/>
      <c r="H102" s="1676">
        <f>SUM(H84,H92,H100,H101)</f>
        <v>72511</v>
      </c>
      <c r="I102" s="477"/>
      <c r="J102" s="477"/>
      <c r="K102" s="1676">
        <f>SUM(K84,K92,K100,K101)</f>
        <v>291735</v>
      </c>
      <c r="L102" s="1676">
        <f>SUM(L84,L92,L100,L101)</f>
        <v>613000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31990753</v>
      </c>
      <c r="D114" s="1669">
        <f t="shared" ref="D114:K114" si="13">SUM(D33,D74,D75,D102,D112,D113)</f>
        <v>5780183</v>
      </c>
      <c r="E114" s="1669">
        <f t="shared" si="13"/>
        <v>3904655</v>
      </c>
      <c r="F114" s="1669">
        <f t="shared" si="13"/>
        <v>1590072</v>
      </c>
      <c r="G114" s="1669">
        <f t="shared" si="13"/>
        <v>1196012</v>
      </c>
      <c r="H114" s="1669">
        <f>SUM(H33,H74,H75,H102,H112,H113)</f>
        <v>179792</v>
      </c>
      <c r="I114" s="1669">
        <f t="shared" si="13"/>
        <v>0</v>
      </c>
      <c r="J114" s="1669">
        <f t="shared" si="13"/>
        <v>0</v>
      </c>
      <c r="K114" s="1669">
        <f t="shared" si="13"/>
        <v>44641467</v>
      </c>
      <c r="L114" s="1669">
        <f>SUM(L33,L74,L75,L102,L112,L113)</f>
        <v>44893711</v>
      </c>
    </row>
    <row r="115" spans="1:14" ht="13.5" thickTop="1" x14ac:dyDescent="0.2">
      <c r="A115" s="2157" t="s">
        <v>996</v>
      </c>
      <c r="B115" s="2158"/>
      <c r="C115" s="618"/>
      <c r="D115" s="618"/>
      <c r="E115" s="618"/>
      <c r="F115" s="618"/>
      <c r="G115" s="618"/>
      <c r="H115" s="618"/>
      <c r="I115" s="618"/>
      <c r="J115" s="618"/>
      <c r="K115" s="1683">
        <f>'Revenues 9-14'!C268-'Expenditures 15-22'!K114</f>
        <v>-394960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566758</v>
      </c>
      <c r="D124" s="466">
        <v>104907</v>
      </c>
      <c r="E124" s="466">
        <v>1842485</v>
      </c>
      <c r="F124" s="466">
        <v>806922</v>
      </c>
      <c r="G124" s="466">
        <v>2317669</v>
      </c>
      <c r="H124" s="466"/>
      <c r="I124" s="467"/>
      <c r="J124" s="467"/>
      <c r="K124" s="1669">
        <f>SUM(C124:J124)</f>
        <v>5638741</v>
      </c>
      <c r="L124" s="466">
        <v>5887807</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566758</v>
      </c>
      <c r="D127" s="1669">
        <f t="shared" ref="D127:L127" si="14">SUM(D122:D126)</f>
        <v>104907</v>
      </c>
      <c r="E127" s="1669">
        <f t="shared" si="14"/>
        <v>1842485</v>
      </c>
      <c r="F127" s="1669">
        <f t="shared" si="14"/>
        <v>806922</v>
      </c>
      <c r="G127" s="1669">
        <f t="shared" si="14"/>
        <v>2317669</v>
      </c>
      <c r="H127" s="1669">
        <f t="shared" si="14"/>
        <v>0</v>
      </c>
      <c r="I127" s="1669">
        <f t="shared" si="14"/>
        <v>0</v>
      </c>
      <c r="J127" s="1669">
        <f t="shared" si="14"/>
        <v>0</v>
      </c>
      <c r="K127" s="1669">
        <f t="shared" si="14"/>
        <v>5638741</v>
      </c>
      <c r="L127" s="1669">
        <f t="shared" si="14"/>
        <v>5887807</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566758</v>
      </c>
      <c r="D129" s="1676">
        <f t="shared" ref="D129:L129" si="15">SUM(D120,D127,D128)</f>
        <v>104907</v>
      </c>
      <c r="E129" s="1676">
        <f t="shared" si="15"/>
        <v>1842485</v>
      </c>
      <c r="F129" s="1676">
        <f t="shared" si="15"/>
        <v>806922</v>
      </c>
      <c r="G129" s="1676">
        <f t="shared" si="15"/>
        <v>2317669</v>
      </c>
      <c r="H129" s="1676">
        <f t="shared" si="15"/>
        <v>0</v>
      </c>
      <c r="I129" s="1676">
        <f t="shared" si="15"/>
        <v>0</v>
      </c>
      <c r="J129" s="1676">
        <f t="shared" si="15"/>
        <v>0</v>
      </c>
      <c r="K129" s="1676">
        <f t="shared" si="15"/>
        <v>5638741</v>
      </c>
      <c r="L129" s="1676">
        <f t="shared" si="15"/>
        <v>5887807</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4" t="s">
        <v>620</v>
      </c>
      <c r="B151" s="2154"/>
      <c r="C151" s="1669">
        <f>SUM(C129,C130,C139,C149,C150)</f>
        <v>566758</v>
      </c>
      <c r="D151" s="1669">
        <f t="shared" ref="D151:K151" si="16">SUM(D129,D130,D139,D149,D150)</f>
        <v>104907</v>
      </c>
      <c r="E151" s="1669">
        <f t="shared" si="16"/>
        <v>1842485</v>
      </c>
      <c r="F151" s="1669">
        <f t="shared" si="16"/>
        <v>806922</v>
      </c>
      <c r="G151" s="1669">
        <f t="shared" si="16"/>
        <v>2317669</v>
      </c>
      <c r="H151" s="1669">
        <f t="shared" si="16"/>
        <v>0</v>
      </c>
      <c r="I151" s="1669">
        <f t="shared" si="16"/>
        <v>0</v>
      </c>
      <c r="J151" s="1669">
        <f t="shared" si="16"/>
        <v>0</v>
      </c>
      <c r="K151" s="1669">
        <f t="shared" si="16"/>
        <v>5638741</v>
      </c>
      <c r="L151" s="1669">
        <f>SUM(L129,L130,L139,L149,L150)</f>
        <v>5887807</v>
      </c>
    </row>
    <row r="152" spans="1:14" ht="12.75" customHeight="1" thickTop="1" x14ac:dyDescent="0.2">
      <c r="A152" s="2177" t="s">
        <v>1178</v>
      </c>
      <c r="B152" s="2178"/>
      <c r="C152" s="618"/>
      <c r="D152" s="618"/>
      <c r="E152" s="618"/>
      <c r="F152" s="618"/>
      <c r="G152" s="618"/>
      <c r="H152" s="618"/>
      <c r="I152" s="618"/>
      <c r="J152" s="616"/>
      <c r="K152" s="1683">
        <f>'Revenues 9-14'!D268-'Expenditures 15-22'!K151</f>
        <v>880646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f>680917+75660</f>
        <v>756577</v>
      </c>
      <c r="I169" s="616"/>
      <c r="J169" s="616"/>
      <c r="K169" s="1670">
        <f>SUM(C169:H169)</f>
        <v>756577</v>
      </c>
      <c r="L169" s="656">
        <v>756578</v>
      </c>
    </row>
    <row r="170" spans="1:14" ht="33.75" customHeight="1" x14ac:dyDescent="0.2">
      <c r="A170" s="669" t="s">
        <v>1670</v>
      </c>
      <c r="B170" s="671" t="s">
        <v>31</v>
      </c>
      <c r="C170" s="616"/>
      <c r="D170" s="616"/>
      <c r="E170" s="616"/>
      <c r="F170" s="616"/>
      <c r="G170" s="616"/>
      <c r="H170" s="569">
        <v>440000</v>
      </c>
      <c r="I170" s="616"/>
      <c r="J170" s="616"/>
      <c r="K170" s="1670">
        <f>SUM(C170:J170)</f>
        <v>440000</v>
      </c>
      <c r="L170" s="569">
        <v>440000</v>
      </c>
    </row>
    <row r="171" spans="1:14" ht="15.75" customHeight="1" x14ac:dyDescent="0.2">
      <c r="A171" s="621" t="s">
        <v>766</v>
      </c>
      <c r="B171" s="672" t="s">
        <v>84</v>
      </c>
      <c r="C171" s="616"/>
      <c r="D171" s="616"/>
      <c r="E171" s="466"/>
      <c r="F171" s="616"/>
      <c r="G171" s="616"/>
      <c r="H171" s="569">
        <v>2251</v>
      </c>
      <c r="I171" s="477"/>
      <c r="J171" s="616"/>
      <c r="K171" s="1670">
        <f>SUM(C171:J171)</f>
        <v>2251</v>
      </c>
      <c r="L171" s="569">
        <v>5000</v>
      </c>
    </row>
    <row r="172" spans="1:14" ht="12.75" customHeight="1" thickBot="1" x14ac:dyDescent="0.25">
      <c r="A172" s="1667" t="s">
        <v>638</v>
      </c>
      <c r="B172" s="1668" t="s">
        <v>492</v>
      </c>
      <c r="C172" s="616"/>
      <c r="D172" s="616"/>
      <c r="E172" s="1676">
        <f>SUM(E168,E169,E170,E171)</f>
        <v>0</v>
      </c>
      <c r="F172" s="616"/>
      <c r="G172" s="616"/>
      <c r="H172" s="1676">
        <f>SUM(H168,H169,H170,H171)</f>
        <v>1198828</v>
      </c>
      <c r="I172" s="638"/>
      <c r="J172" s="616"/>
      <c r="K172" s="1676">
        <f>SUM(K168,K169,K170,K171)</f>
        <v>1198828</v>
      </c>
      <c r="L172" s="1676">
        <f>SUM(L168,L169,L170,L171)</f>
        <v>1201578</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1198828</v>
      </c>
      <c r="I174" s="638"/>
      <c r="J174" s="616"/>
      <c r="K174" s="1676">
        <f>SUM(K160,K172,K173)</f>
        <v>1198828</v>
      </c>
      <c r="L174" s="1676">
        <f>SUM(L160,L172,L173)</f>
        <v>1201578</v>
      </c>
    </row>
    <row r="175" spans="1:14" ht="13.5" thickTop="1" x14ac:dyDescent="0.2">
      <c r="A175" s="2157" t="s">
        <v>996</v>
      </c>
      <c r="B175" s="2158"/>
      <c r="C175" s="616"/>
      <c r="D175" s="616"/>
      <c r="E175" s="616"/>
      <c r="F175" s="616"/>
      <c r="G175" s="616"/>
      <c r="H175" s="618"/>
      <c r="I175" s="616"/>
      <c r="J175" s="616"/>
      <c r="K175" s="1683">
        <f>'Revenues 9-14'!E268-'Expenditures 15-22'!K174</f>
        <v>-70412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49001</v>
      </c>
      <c r="D182" s="466">
        <v>8738</v>
      </c>
      <c r="E182" s="466">
        <v>1366578</v>
      </c>
      <c r="F182" s="466"/>
      <c r="G182" s="466"/>
      <c r="H182" s="466"/>
      <c r="I182" s="467"/>
      <c r="J182" s="467"/>
      <c r="K182" s="1670">
        <f>SUM(C182:J182)</f>
        <v>1424317</v>
      </c>
      <c r="L182" s="466">
        <v>1596795</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49001</v>
      </c>
      <c r="D184" s="1676">
        <f t="shared" ref="D184:J184" si="17">SUM(D180,D182,D183)</f>
        <v>8738</v>
      </c>
      <c r="E184" s="1676">
        <f t="shared" si="17"/>
        <v>1366578</v>
      </c>
      <c r="F184" s="1676">
        <f t="shared" si="17"/>
        <v>0</v>
      </c>
      <c r="G184" s="1676">
        <f t="shared" si="17"/>
        <v>0</v>
      </c>
      <c r="H184" s="1676">
        <f t="shared" si="17"/>
        <v>0</v>
      </c>
      <c r="I184" s="1676">
        <f t="shared" si="17"/>
        <v>0</v>
      </c>
      <c r="J184" s="1676">
        <f t="shared" si="17"/>
        <v>0</v>
      </c>
      <c r="K184" s="1676">
        <f>SUM(K180,K182,K183)</f>
        <v>1424317</v>
      </c>
      <c r="L184" s="1676">
        <f>SUM(L180, L182:L183)</f>
        <v>1596795</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49001</v>
      </c>
      <c r="D210" s="1669">
        <f>SUM(D184,D185)</f>
        <v>8738</v>
      </c>
      <c r="E210" s="1669">
        <f>SUM(E184,E185,E196)</f>
        <v>1366578</v>
      </c>
      <c r="F210" s="1669">
        <f>SUM(F184,F185)</f>
        <v>0</v>
      </c>
      <c r="G210" s="1669">
        <f>SUM(G184,G185)</f>
        <v>0</v>
      </c>
      <c r="H210" s="1669">
        <f>SUM(H184,H185,H196,H208,H209)</f>
        <v>0</v>
      </c>
      <c r="I210" s="1669">
        <f>SUM(I184,I185)</f>
        <v>0</v>
      </c>
      <c r="J210" s="1669">
        <f>SUM(J184,J185)</f>
        <v>0</v>
      </c>
      <c r="K210" s="1670">
        <f>SUM(K184,K185,K196,K208,K209)</f>
        <v>1424317</v>
      </c>
      <c r="L210" s="1669">
        <f>SUM(L184,L185,L196,L208,L209)</f>
        <v>1596795</v>
      </c>
    </row>
    <row r="211" spans="1:14" ht="13.5" thickTop="1" x14ac:dyDescent="0.2">
      <c r="A211" s="2157" t="s">
        <v>996</v>
      </c>
      <c r="B211" s="2158"/>
      <c r="C211" s="618"/>
      <c r="D211" s="618"/>
      <c r="E211" s="618"/>
      <c r="F211" s="618"/>
      <c r="G211" s="618"/>
      <c r="H211" s="618"/>
      <c r="I211" s="616"/>
      <c r="J211" s="616"/>
      <c r="K211" s="1683">
        <f>'Revenues 9-14'!F268-'Expenditures 15-22'!K210</f>
        <v>256229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f>182437+149428</f>
        <v>331865</v>
      </c>
      <c r="E215" s="616"/>
      <c r="F215" s="616"/>
      <c r="G215" s="616"/>
      <c r="H215" s="616"/>
      <c r="I215" s="616"/>
      <c r="J215" s="616"/>
      <c r="K215" s="1670">
        <f>D215</f>
        <v>331865</v>
      </c>
      <c r="L215" s="466"/>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416608</v>
      </c>
      <c r="E217" s="616"/>
      <c r="F217" s="616"/>
      <c r="G217" s="616"/>
      <c r="H217" s="616"/>
      <c r="I217" s="616"/>
      <c r="J217" s="616"/>
      <c r="K217" s="1670">
        <f t="shared" si="19"/>
        <v>416608</v>
      </c>
      <c r="L217" s="466">
        <v>657029</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c r="E219" s="616"/>
      <c r="F219" s="616"/>
      <c r="G219" s="616"/>
      <c r="H219" s="616"/>
      <c r="I219" s="616"/>
      <c r="J219" s="616"/>
      <c r="K219" s="1670">
        <f t="shared" si="19"/>
        <v>0</v>
      </c>
      <c r="L219" s="466"/>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21593</v>
      </c>
      <c r="E223" s="616"/>
      <c r="F223" s="616"/>
      <c r="G223" s="616"/>
      <c r="H223" s="616"/>
      <c r="I223" s="616"/>
      <c r="J223" s="616"/>
      <c r="K223" s="1670">
        <f t="shared" si="19"/>
        <v>21593</v>
      </c>
      <c r="L223" s="466"/>
    </row>
    <row r="224" spans="1:14" x14ac:dyDescent="0.2">
      <c r="A224" s="1503" t="s">
        <v>964</v>
      </c>
      <c r="B224" s="614">
        <v>1600</v>
      </c>
      <c r="C224" s="616"/>
      <c r="D224" s="466">
        <v>5451</v>
      </c>
      <c r="E224" s="616"/>
      <c r="F224" s="616"/>
      <c r="G224" s="616"/>
      <c r="H224" s="616"/>
      <c r="I224" s="616"/>
      <c r="J224" s="616"/>
      <c r="K224" s="1670">
        <f t="shared" si="19"/>
        <v>5451</v>
      </c>
      <c r="L224" s="466"/>
    </row>
    <row r="225" spans="1:12" x14ac:dyDescent="0.2">
      <c r="A225" s="1503" t="s">
        <v>987</v>
      </c>
      <c r="B225" s="614">
        <v>1650</v>
      </c>
      <c r="C225" s="616"/>
      <c r="D225" s="466">
        <v>9703</v>
      </c>
      <c r="E225" s="616"/>
      <c r="F225" s="616"/>
      <c r="G225" s="616"/>
      <c r="H225" s="616"/>
      <c r="I225" s="616"/>
      <c r="J225" s="616"/>
      <c r="K225" s="1670">
        <f t="shared" si="19"/>
        <v>9703</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785220</v>
      </c>
      <c r="E229" s="616"/>
      <c r="F229" s="616"/>
      <c r="G229" s="616"/>
      <c r="H229" s="616"/>
      <c r="I229" s="616"/>
      <c r="J229" s="616"/>
      <c r="K229" s="1669">
        <f>SUM(K215:K228)</f>
        <v>785220</v>
      </c>
      <c r="L229" s="1669">
        <f>SUM(L215:L228)</f>
        <v>657029</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8189</v>
      </c>
      <c r="E232" s="616"/>
      <c r="F232" s="616"/>
      <c r="G232" s="616"/>
      <c r="H232" s="616"/>
      <c r="I232" s="616"/>
      <c r="J232" s="616"/>
      <c r="K232" s="1670">
        <f t="shared" ref="K232:K237" si="20">D232</f>
        <v>8189</v>
      </c>
      <c r="L232" s="466">
        <v>492190</v>
      </c>
    </row>
    <row r="233" spans="1:12" x14ac:dyDescent="0.2">
      <c r="A233" s="1503" t="s">
        <v>1090</v>
      </c>
      <c r="B233" s="614">
        <v>2120</v>
      </c>
      <c r="C233" s="616"/>
      <c r="D233" s="466">
        <v>4934</v>
      </c>
      <c r="E233" s="616"/>
      <c r="F233" s="616"/>
      <c r="G233" s="616"/>
      <c r="H233" s="616"/>
      <c r="I233" s="616"/>
      <c r="J233" s="616"/>
      <c r="K233" s="1670">
        <f t="shared" si="20"/>
        <v>4934</v>
      </c>
      <c r="L233" s="466"/>
    </row>
    <row r="234" spans="1:12" x14ac:dyDescent="0.2">
      <c r="A234" s="1503" t="s">
        <v>198</v>
      </c>
      <c r="B234" s="614">
        <v>2130</v>
      </c>
      <c r="C234" s="616"/>
      <c r="D234" s="466">
        <v>38963</v>
      </c>
      <c r="E234" s="616"/>
      <c r="F234" s="616"/>
      <c r="G234" s="616"/>
      <c r="H234" s="616"/>
      <c r="I234" s="616"/>
      <c r="J234" s="616"/>
      <c r="K234" s="1670">
        <f t="shared" si="20"/>
        <v>38963</v>
      </c>
      <c r="L234" s="466"/>
    </row>
    <row r="235" spans="1:12" x14ac:dyDescent="0.2">
      <c r="A235" s="1503" t="s">
        <v>199</v>
      </c>
      <c r="B235" s="614">
        <v>2140</v>
      </c>
      <c r="C235" s="616"/>
      <c r="D235" s="466">
        <v>7652</v>
      </c>
      <c r="E235" s="616"/>
      <c r="F235" s="616"/>
      <c r="G235" s="616"/>
      <c r="H235" s="616"/>
      <c r="I235" s="616"/>
      <c r="J235" s="616"/>
      <c r="K235" s="1670">
        <f t="shared" si="20"/>
        <v>7652</v>
      </c>
      <c r="L235" s="466"/>
    </row>
    <row r="236" spans="1:12" x14ac:dyDescent="0.2">
      <c r="A236" s="1503" t="s">
        <v>200</v>
      </c>
      <c r="B236" s="614">
        <v>2150</v>
      </c>
      <c r="C236" s="616"/>
      <c r="D236" s="466">
        <v>11565</v>
      </c>
      <c r="E236" s="616"/>
      <c r="F236" s="616"/>
      <c r="G236" s="616"/>
      <c r="H236" s="616"/>
      <c r="I236" s="616"/>
      <c r="J236" s="616"/>
      <c r="K236" s="1670">
        <f t="shared" si="20"/>
        <v>11565</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71303</v>
      </c>
      <c r="E238" s="616"/>
      <c r="F238" s="616"/>
      <c r="G238" s="616"/>
      <c r="H238" s="616"/>
      <c r="I238" s="616"/>
      <c r="J238" s="616"/>
      <c r="K238" s="1669">
        <f>SUM(K232:K237)</f>
        <v>71303</v>
      </c>
      <c r="L238" s="1669">
        <f>SUM(L232:L237)</f>
        <v>492190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18020</v>
      </c>
      <c r="E240" s="616"/>
      <c r="F240" s="616"/>
      <c r="G240" s="616"/>
      <c r="H240" s="616"/>
      <c r="I240" s="616"/>
      <c r="J240" s="616"/>
      <c r="K240" s="1671">
        <f>D240</f>
        <v>18020</v>
      </c>
      <c r="L240" s="481"/>
    </row>
    <row r="241" spans="1:12" x14ac:dyDescent="0.2">
      <c r="A241" s="1503" t="s">
        <v>815</v>
      </c>
      <c r="B241" s="614">
        <v>2220</v>
      </c>
      <c r="C241" s="616"/>
      <c r="D241" s="466">
        <v>61716</v>
      </c>
      <c r="E241" s="616"/>
      <c r="F241" s="616"/>
      <c r="G241" s="616"/>
      <c r="H241" s="616"/>
      <c r="I241" s="616"/>
      <c r="J241" s="616"/>
      <c r="K241" s="1671">
        <f>D241</f>
        <v>61716</v>
      </c>
      <c r="L241" s="466"/>
    </row>
    <row r="242" spans="1:12" x14ac:dyDescent="0.2">
      <c r="A242" s="1503" t="s">
        <v>816</v>
      </c>
      <c r="B242" s="614">
        <v>2230</v>
      </c>
      <c r="C242" s="616"/>
      <c r="D242" s="466">
        <v>38042</v>
      </c>
      <c r="E242" s="616"/>
      <c r="F242" s="616"/>
      <c r="G242" s="616"/>
      <c r="H242" s="616"/>
      <c r="I242" s="616"/>
      <c r="J242" s="616"/>
      <c r="K242" s="1671">
        <f>D242</f>
        <v>38042</v>
      </c>
      <c r="L242" s="466"/>
    </row>
    <row r="243" spans="1:12" ht="12.75" customHeight="1" thickBot="1" x14ac:dyDescent="0.25">
      <c r="A243" s="1693" t="s">
        <v>561</v>
      </c>
      <c r="B243" s="1694">
        <v>2200</v>
      </c>
      <c r="C243" s="616"/>
      <c r="D243" s="1669">
        <f>SUM(D240:D242)</f>
        <v>117778</v>
      </c>
      <c r="E243" s="616"/>
      <c r="F243" s="616"/>
      <c r="G243" s="616"/>
      <c r="H243" s="616"/>
      <c r="I243" s="616"/>
      <c r="J243" s="616"/>
      <c r="K243" s="1669">
        <f>SUM(K240:K242)</f>
        <v>117778</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38907</v>
      </c>
      <c r="E246" s="616"/>
      <c r="F246" s="616"/>
      <c r="G246" s="616"/>
      <c r="H246" s="616"/>
      <c r="I246" s="616"/>
      <c r="J246" s="616"/>
      <c r="K246" s="1671">
        <f t="shared" ref="K246:K256" si="21">D246</f>
        <v>38907</v>
      </c>
      <c r="L246" s="466"/>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38907</v>
      </c>
      <c r="E257" s="616"/>
      <c r="F257" s="616"/>
      <c r="G257" s="616"/>
      <c r="H257" s="616"/>
      <c r="I257" s="616"/>
      <c r="J257" s="616"/>
      <c r="K257" s="1669">
        <f>SUM(K245:K256)</f>
        <v>38907</v>
      </c>
      <c r="L257" s="1669">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94151</v>
      </c>
      <c r="E259" s="616"/>
      <c r="F259" s="616"/>
      <c r="G259" s="616"/>
      <c r="H259" s="616"/>
      <c r="I259" s="616"/>
      <c r="J259" s="616"/>
      <c r="K259" s="1671">
        <f>D259</f>
        <v>94151</v>
      </c>
      <c r="L259" s="481"/>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94151</v>
      </c>
      <c r="E261" s="616"/>
      <c r="F261" s="616"/>
      <c r="G261" s="616"/>
      <c r="H261" s="616"/>
      <c r="I261" s="616"/>
      <c r="J261" s="616"/>
      <c r="K261" s="1669">
        <f>SUM(K259:K260)</f>
        <v>94151</v>
      </c>
      <c r="L261" s="1669">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33430</v>
      </c>
      <c r="E263" s="616"/>
      <c r="F263" s="616"/>
      <c r="G263" s="616"/>
      <c r="H263" s="616"/>
      <c r="I263" s="616"/>
      <c r="J263" s="616"/>
      <c r="K263" s="1671">
        <f>D263</f>
        <v>33430</v>
      </c>
      <c r="L263" s="481"/>
    </row>
    <row r="264" spans="1:14" x14ac:dyDescent="0.2">
      <c r="A264" s="1503" t="s">
        <v>463</v>
      </c>
      <c r="B264" s="685">
        <v>2520</v>
      </c>
      <c r="C264" s="616"/>
      <c r="D264" s="466"/>
      <c r="E264" s="616"/>
      <c r="F264" s="616"/>
      <c r="G264" s="616"/>
      <c r="H264" s="616"/>
      <c r="I264" s="616"/>
      <c r="J264" s="616"/>
      <c r="K264" s="1671">
        <f t="shared" ref="K264:K269" si="22">D264</f>
        <v>0</v>
      </c>
      <c r="L264" s="466"/>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80374</v>
      </c>
      <c r="E266" s="616"/>
      <c r="F266" s="616"/>
      <c r="G266" s="616"/>
      <c r="H266" s="616"/>
      <c r="I266" s="616"/>
      <c r="J266" s="616"/>
      <c r="K266" s="1671">
        <f t="shared" si="22"/>
        <v>80374</v>
      </c>
      <c r="L266" s="466"/>
    </row>
    <row r="267" spans="1:14" x14ac:dyDescent="0.2">
      <c r="A267" s="1503" t="s">
        <v>953</v>
      </c>
      <c r="B267" s="614">
        <v>2550</v>
      </c>
      <c r="C267" s="616"/>
      <c r="D267" s="466">
        <v>9202</v>
      </c>
      <c r="E267" s="616"/>
      <c r="F267" s="616"/>
      <c r="G267" s="616"/>
      <c r="H267" s="616"/>
      <c r="I267" s="616"/>
      <c r="J267" s="616"/>
      <c r="K267" s="1671">
        <f t="shared" si="22"/>
        <v>9202</v>
      </c>
      <c r="L267" s="466"/>
    </row>
    <row r="268" spans="1:14" x14ac:dyDescent="0.2">
      <c r="A268" s="1503" t="s">
        <v>100</v>
      </c>
      <c r="B268" s="614">
        <v>2560</v>
      </c>
      <c r="C268" s="616"/>
      <c r="D268" s="466">
        <v>27922</v>
      </c>
      <c r="E268" s="616"/>
      <c r="F268" s="616"/>
      <c r="G268" s="616"/>
      <c r="H268" s="616"/>
      <c r="I268" s="616"/>
      <c r="J268" s="616"/>
      <c r="K268" s="1671">
        <f t="shared" si="22"/>
        <v>27922</v>
      </c>
      <c r="L268" s="466"/>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150928</v>
      </c>
      <c r="E270" s="616"/>
      <c r="F270" s="616"/>
      <c r="G270" s="616"/>
      <c r="H270" s="616"/>
      <c r="I270" s="616"/>
      <c r="J270" s="616"/>
      <c r="K270" s="1669">
        <f>SUM(K263:K269)</f>
        <v>150928</v>
      </c>
      <c r="L270" s="1669">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473067</v>
      </c>
      <c r="E279" s="616"/>
      <c r="F279" s="616"/>
      <c r="G279" s="616"/>
      <c r="H279" s="616"/>
      <c r="I279" s="616"/>
      <c r="J279" s="616"/>
      <c r="K279" s="1676">
        <f>SUM(K238,K243,K257,K261,K270,K277,K278)</f>
        <v>473067</v>
      </c>
      <c r="L279" s="1676">
        <f>SUM(L238,L243,L257,L261,L270,L277,L278)</f>
        <v>492190</v>
      </c>
    </row>
    <row r="280" spans="1:12" ht="15.75" customHeight="1" thickTop="1" thickBot="1" x14ac:dyDescent="0.25">
      <c r="A280" s="1623" t="s">
        <v>875</v>
      </c>
      <c r="B280" s="1612">
        <v>3000</v>
      </c>
      <c r="C280" s="616"/>
      <c r="D280" s="576">
        <v>20612</v>
      </c>
      <c r="E280" s="616"/>
      <c r="F280" s="616"/>
      <c r="G280" s="616"/>
      <c r="H280" s="616"/>
      <c r="I280" s="616"/>
      <c r="J280" s="616"/>
      <c r="K280" s="1678">
        <f>D280</f>
        <v>20612</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69">
        <f>SUM(D229,D279,D280,D285)</f>
        <v>1278899</v>
      </c>
      <c r="E295" s="616"/>
      <c r="F295" s="616"/>
      <c r="G295" s="616"/>
      <c r="H295" s="1669">
        <f>H293</f>
        <v>0</v>
      </c>
      <c r="I295" s="616"/>
      <c r="J295" s="616"/>
      <c r="K295" s="1669">
        <f>SUM(K229,K279,K280,K285,K293,K294)</f>
        <v>1278899</v>
      </c>
      <c r="L295" s="1669">
        <f>SUM(L229,L279,L280,L285,L293,L294)</f>
        <v>1149219</v>
      </c>
    </row>
    <row r="296" spans="1:14" ht="13.5" thickTop="1" x14ac:dyDescent="0.2">
      <c r="A296" s="2157" t="s">
        <v>996</v>
      </c>
      <c r="B296" s="2158"/>
      <c r="C296" s="616"/>
      <c r="D296" s="618"/>
      <c r="E296" s="616"/>
      <c r="F296" s="616"/>
      <c r="G296" s="616"/>
      <c r="H296" s="687"/>
      <c r="I296" s="616"/>
      <c r="J296" s="616"/>
      <c r="K296" s="1683">
        <f>'Revenues 9-14'!G268-'Expenditures 15-22'!K295</f>
        <v>-45205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5500108</v>
      </c>
      <c r="H301" s="466"/>
      <c r="I301" s="467"/>
      <c r="J301" s="467"/>
      <c r="K301" s="1670">
        <f>SUM(C301:J301)</f>
        <v>5500108</v>
      </c>
      <c r="L301" s="467">
        <v>4987000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5500108</v>
      </c>
      <c r="H303" s="1676">
        <f t="shared" si="23"/>
        <v>0</v>
      </c>
      <c r="I303" s="1676">
        <f t="shared" si="23"/>
        <v>0</v>
      </c>
      <c r="J303" s="1676">
        <f t="shared" si="23"/>
        <v>0</v>
      </c>
      <c r="K303" s="1676">
        <f t="shared" si="23"/>
        <v>5500108</v>
      </c>
      <c r="L303" s="1676">
        <f t="shared" si="23"/>
        <v>4987000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69">
        <f>SUM(C303)</f>
        <v>0</v>
      </c>
      <c r="D312" s="1669">
        <f>SUM(D303)</f>
        <v>0</v>
      </c>
      <c r="E312" s="1669">
        <f>SUM(E303,E310)</f>
        <v>0</v>
      </c>
      <c r="F312" s="1669">
        <f>SUM(F303)</f>
        <v>0</v>
      </c>
      <c r="G312" s="1669">
        <f>SUM(G303)</f>
        <v>5500108</v>
      </c>
      <c r="H312" s="1669">
        <f>SUM(H303,H310)</f>
        <v>0</v>
      </c>
      <c r="I312" s="1669">
        <f>SUM(I303)</f>
        <v>0</v>
      </c>
      <c r="J312" s="1669">
        <f>SUM(J303)</f>
        <v>0</v>
      </c>
      <c r="K312" s="1669">
        <f>SUM(K303,K310,K311)</f>
        <v>5500108</v>
      </c>
      <c r="L312" s="1669">
        <f>SUM(L303,L310,L311)</f>
        <v>4987000</v>
      </c>
      <c r="M312" s="665"/>
      <c r="N312" s="665"/>
    </row>
    <row r="313" spans="1:14" ht="13.5" thickTop="1" x14ac:dyDescent="0.2">
      <c r="A313" s="2168" t="s">
        <v>996</v>
      </c>
      <c r="B313" s="2169"/>
      <c r="C313" s="626"/>
      <c r="D313" s="626"/>
      <c r="E313" s="626"/>
      <c r="F313" s="626"/>
      <c r="G313" s="626"/>
      <c r="H313" s="626"/>
      <c r="I313" s="626"/>
      <c r="J313" s="626"/>
      <c r="K313" s="1684">
        <f>'Revenues 9-14'!H268-'Expenditures 15-22'!K312</f>
        <v>-3136745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70" t="s">
        <v>996</v>
      </c>
      <c r="B343" s="2171"/>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652908</v>
      </c>
      <c r="H348" s="466"/>
      <c r="I348" s="467"/>
      <c r="J348" s="467"/>
      <c r="K348" s="1670">
        <f>SUM(C348:J348)</f>
        <v>652908</v>
      </c>
      <c r="L348" s="466">
        <v>1200000</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652908</v>
      </c>
      <c r="H350" s="1669">
        <f t="shared" si="26"/>
        <v>0</v>
      </c>
      <c r="I350" s="1669">
        <f t="shared" si="26"/>
        <v>0</v>
      </c>
      <c r="J350" s="1669">
        <f t="shared" si="26"/>
        <v>0</v>
      </c>
      <c r="K350" s="1669">
        <f t="shared" si="26"/>
        <v>652908</v>
      </c>
      <c r="L350" s="1669">
        <f t="shared" si="26"/>
        <v>1200000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652908</v>
      </c>
      <c r="H352" s="1669">
        <f t="shared" si="27"/>
        <v>0</v>
      </c>
      <c r="I352" s="1669">
        <f t="shared" si="27"/>
        <v>0</v>
      </c>
      <c r="J352" s="1669">
        <f t="shared" si="27"/>
        <v>0</v>
      </c>
      <c r="K352" s="1669">
        <f t="shared" si="27"/>
        <v>652908</v>
      </c>
      <c r="L352" s="1669">
        <f t="shared" si="27"/>
        <v>1200000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652908</v>
      </c>
      <c r="H367" s="1669">
        <f t="shared" si="28"/>
        <v>0</v>
      </c>
      <c r="I367" s="1669">
        <f t="shared" si="28"/>
        <v>0</v>
      </c>
      <c r="J367" s="1669">
        <f t="shared" si="28"/>
        <v>0</v>
      </c>
      <c r="K367" s="1669">
        <f t="shared" si="28"/>
        <v>652908</v>
      </c>
      <c r="L367" s="1669">
        <f t="shared" si="28"/>
        <v>1200000</v>
      </c>
    </row>
    <row r="368" spans="1:14" ht="13.5" thickTop="1" x14ac:dyDescent="0.2">
      <c r="A368" s="2157" t="s">
        <v>996</v>
      </c>
      <c r="B368" s="2158"/>
      <c r="C368" s="654"/>
      <c r="D368" s="654"/>
      <c r="E368" s="626"/>
      <c r="F368" s="626"/>
      <c r="G368" s="626"/>
      <c r="H368" s="626"/>
      <c r="I368" s="626"/>
      <c r="J368" s="623"/>
      <c r="K368" s="1670">
        <f>'Revenues 9-14'!K268-'Expenditures 15-22'!K367</f>
        <v>-631208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purl.org/dc/terms/"/>
    <ds:schemaRef ds:uri="http://schemas.microsoft.com/office/2006/documentManagement/types"/>
    <ds:schemaRef ds:uri="http://www.w3.org/XML/1998/namespace"/>
    <ds:schemaRef ds:uri="http://purl.org/dc/elements/1.1/"/>
    <ds:schemaRef ds:uri="http://schemas.microsoft.com/office/infopath/2007/PartnerControls"/>
    <ds:schemaRef ds:uri="6ce3111e-7420-4802-b50a-75d4e9a0b980"/>
    <ds:schemaRef ds:uri="http://purl.org/dc/dcmitype/"/>
    <ds:schemaRef ds:uri="http://schemas.microsoft.com/sharepoint/v3"/>
    <ds:schemaRef ds:uri="http://schemas.openxmlformats.org/package/2006/metadata/core-propertie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2019-10-15T19:22:43Z</cp:lastPrinted>
  <dcterms:created xsi:type="dcterms:W3CDTF">2003-10-29T19:06:34Z</dcterms:created>
  <dcterms:modified xsi:type="dcterms:W3CDTF">2019-12-10T19:51:20Z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