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C3ABD54-2326-492B-BC6D-0D5578FA94EA}" xr6:coauthVersionLast="36" xr6:coauthVersionMax="36" xr10:uidLastSave="{00000000-0000-0000-0000-000000000000}"/>
  <bookViews>
    <workbookView xWindow="-120" yWindow="-120" windowWidth="24240" windowHeight="1314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3" i="11" l="1"/>
  <c r="H13" i="11"/>
  <c r="D13" i="11"/>
  <c r="C13" i="11"/>
  <c r="D280" i="29"/>
  <c r="D274" i="29"/>
  <c r="D268" i="29"/>
  <c r="D267" i="29"/>
  <c r="D266" i="29"/>
  <c r="D263" i="29"/>
  <c r="D260" i="29"/>
  <c r="D259" i="29"/>
  <c r="D246" i="29"/>
  <c r="D241" i="29"/>
  <c r="D240" i="29"/>
  <c r="D237" i="29"/>
  <c r="D235" i="29"/>
  <c r="D234" i="29"/>
  <c r="D233" i="29"/>
  <c r="D224" i="29"/>
  <c r="D223" i="29"/>
  <c r="D219" i="29"/>
  <c r="D217" i="29"/>
  <c r="D216" i="29"/>
  <c r="G65" i="5"/>
  <c r="G8" i="5"/>
  <c r="G5" i="5"/>
  <c r="M19" i="3"/>
  <c r="G32" i="3"/>
  <c r="G6" i="3"/>
  <c r="G4" i="3"/>
  <c r="C27" i="3"/>
  <c r="C8" i="3"/>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F19" i="181" s="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B66" i="127"/>
  <c r="D27" i="108"/>
  <c r="E27" i="108"/>
  <c r="F27" i="108"/>
  <c r="G27" i="108"/>
  <c r="F31" i="108"/>
  <c r="F36" i="108"/>
  <c r="G28"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G26" i="108" l="1"/>
  <c r="E26" i="108"/>
  <c r="F38" i="34"/>
  <c r="H33" i="118"/>
  <c r="D22" i="37"/>
  <c r="F42" i="34"/>
  <c r="E34" i="108"/>
  <c r="F34" i="34"/>
  <c r="F36" i="34"/>
  <c r="G35" i="108"/>
  <c r="F68" i="34"/>
  <c r="F46" i="34"/>
  <c r="D68" i="36"/>
  <c r="G30" i="108"/>
  <c r="F28" i="108"/>
  <c r="D14" i="4"/>
  <c r="B2570" i="106" s="1"/>
  <c r="D2570" i="106" s="1"/>
  <c r="F50" i="34"/>
  <c r="E38" i="108"/>
  <c r="H342" i="29"/>
  <c r="B7221" i="106" s="1"/>
  <c r="D7221" i="106" s="1"/>
  <c r="F72" i="34"/>
  <c r="E35" i="108"/>
  <c r="G29" i="108"/>
  <c r="G14" i="4"/>
  <c r="B2609" i="106" s="1"/>
  <c r="D2609" i="106" s="1"/>
  <c r="F52" i="34"/>
  <c r="G39" i="108"/>
  <c r="B2724" i="106"/>
  <c r="D2724" i="106" s="1"/>
  <c r="F71" i="34"/>
  <c r="E33" i="108"/>
  <c r="C352" i="29"/>
  <c r="B3621" i="106" s="1"/>
  <c r="D3621" i="106" s="1"/>
  <c r="L22" i="37"/>
  <c r="J22" i="37"/>
  <c r="F19" i="7"/>
  <c r="B1807" i="106" s="1"/>
  <c r="D1807" i="106" s="1"/>
  <c r="D6103" i="106"/>
  <c r="D69" i="36"/>
  <c r="C129" i="29"/>
  <c r="B1225" i="106" s="1"/>
  <c r="D1225" i="106" s="1"/>
  <c r="B6289" i="106"/>
  <c r="D6289" i="106" s="1"/>
  <c r="H76" i="4"/>
  <c r="B3298" i="106" s="1"/>
  <c r="D3298" i="106" s="1"/>
  <c r="J77" i="4"/>
  <c r="B6262" i="106" s="1"/>
  <c r="D6262" i="106" s="1"/>
  <c r="D54" i="36"/>
  <c r="D24" i="37"/>
  <c r="B4270" i="106" s="1"/>
  <c r="D4270" i="106" s="1"/>
  <c r="H28" i="118"/>
  <c r="B3647" i="106"/>
  <c r="D3647" i="106" s="1"/>
  <c r="K76" i="4"/>
  <c r="B3586" i="106" s="1"/>
  <c r="D3586" i="106" s="1"/>
  <c r="C342" i="29"/>
  <c r="B7216" i="106" s="1"/>
  <c r="D7216" i="106" s="1"/>
  <c r="J352" i="29"/>
  <c r="J367" i="29" s="1"/>
  <c r="B7245" i="106" s="1"/>
  <c r="D7245" i="106" s="1"/>
  <c r="J41" i="3"/>
  <c r="B6216" i="106" s="1"/>
  <c r="D6216" i="106" s="1"/>
  <c r="G15" i="145"/>
  <c r="L367" i="29"/>
  <c r="J210" i="29"/>
  <c r="B7072" i="106" s="1"/>
  <c r="D7072" i="106" s="1"/>
  <c r="H365" i="29"/>
  <c r="B7242" i="106" s="1"/>
  <c r="D7242" i="106" s="1"/>
  <c r="L342" i="29"/>
  <c r="I210" i="29"/>
  <c r="B7071" i="106" s="1"/>
  <c r="D7071" i="106" s="1"/>
  <c r="K184" i="29"/>
  <c r="F13" i="4" s="1"/>
  <c r="B2596" i="106" s="1"/>
  <c r="D2596" i="106" s="1"/>
  <c r="F77" i="4"/>
  <c r="B3255" i="106" s="1"/>
  <c r="D3255" i="106" s="1"/>
  <c r="L13" i="11"/>
  <c r="B2060" i="106" s="1"/>
  <c r="D2060" i="106" s="1"/>
  <c r="L5" i="11"/>
  <c r="B2056" i="106" s="1"/>
  <c r="D2056" i="106" s="1"/>
  <c r="G210" i="29"/>
  <c r="E29" i="108"/>
  <c r="B1124" i="106"/>
  <c r="D1124"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365" i="29" l="1"/>
  <c r="D51" i="36"/>
  <c r="B4435" i="106"/>
  <c r="D4435" i="106" s="1"/>
  <c r="C151" i="29"/>
  <c r="B1226" i="106" s="1"/>
  <c r="D1226" i="106" s="1"/>
  <c r="H151" i="29"/>
  <c r="B1273" i="106" s="1"/>
  <c r="D1273" i="106" s="1"/>
  <c r="C367" i="29"/>
  <c r="B3622" i="106" s="1"/>
  <c r="D3622" i="106" s="1"/>
  <c r="B1328" i="106"/>
  <c r="D1328" i="106" s="1"/>
  <c r="B7215" i="106"/>
  <c r="D7215" i="106" s="1"/>
  <c r="D7250" i="106"/>
  <c r="G170" i="5"/>
  <c r="B5778" i="106" s="1"/>
  <c r="D5778" i="106" s="1"/>
  <c r="D7256" i="106"/>
  <c r="D7251" i="106"/>
  <c r="H77" i="4"/>
  <c r="B3299" i="106" s="1"/>
  <c r="D3299" i="106" s="1"/>
  <c r="K28" i="118"/>
  <c r="O27" i="118" s="1"/>
  <c r="O29" i="118" s="1"/>
  <c r="B1381" i="106"/>
  <c r="D1381" i="106" s="1"/>
  <c r="B7235" i="106"/>
  <c r="D7235" i="106" s="1"/>
  <c r="K77" i="4"/>
  <c r="B3587" i="106" s="1"/>
  <c r="D3587" i="106" s="1"/>
  <c r="N23" i="3"/>
  <c r="B284" i="106" s="1"/>
  <c r="D284" i="106" s="1"/>
  <c r="F41" i="108"/>
  <c r="G43" i="108" s="1"/>
  <c r="K342" i="29"/>
  <c r="F13" i="34" s="1"/>
  <c r="L16" i="11"/>
  <c r="B2061" i="106" s="1"/>
  <c r="D2061" i="106" s="1"/>
  <c r="B1365" i="106"/>
  <c r="D1365" i="106" s="1"/>
  <c r="F65" i="34"/>
  <c r="L114" i="29"/>
  <c r="D41" i="108"/>
  <c r="E43" i="108" s="1"/>
  <c r="C114" i="29"/>
  <c r="B757" i="106" s="1"/>
  <c r="D757" i="106"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24" i="106"/>
  <c r="D7224" i="106" s="1"/>
  <c r="G6" i="4"/>
  <c r="B2604" i="106" s="1"/>
  <c r="D2604" i="106" s="1"/>
  <c r="F24" i="37"/>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K17" i="4"/>
  <c r="K20" i="4" s="1"/>
  <c r="B6223" i="106"/>
  <c r="D6223" i="106" s="1"/>
  <c r="J20" i="4"/>
  <c r="J78" i="4"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D10" i="146"/>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7" i="34"/>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<sst xmlns="http://schemas.openxmlformats.org/spreadsheetml/2006/main" count="5102" uniqueCount="2110">
  <si>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</si>
  <si>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</si>
  <si>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</si>
  <si>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</si>
  <si>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</si>
  <si>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</si>
  <si>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</si>
  <si>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</si>
  <si>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</si>
  <si>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</si>
  <si>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</si>
  <si>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</si>
  <si>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</si>
  <si>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</si>
  <si>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</si>
  <si>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</si>
  <si>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</si>
  <si>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</si>
  <si>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</si>
  <si>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</si>
  <si>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</si>
  <si>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</si>
  <si>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</si>
  <si>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</si>
  <si>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</si>
  <si>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</si>
  <si>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</si>
  <si>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</si>
  <si>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</si>
  <si>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</si>
  <si>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</si>
  <si>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</si>
  <si>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</si>
  <si>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</si>
  <si>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</si>
  <si>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</si>
  <si>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</si>
  <si>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</si>
  <si>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</si>
  <si>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</si>
  <si>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</si>
  <si>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</si>
  <si>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</si>
  <si>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</si>
  <si>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</si>
  <si>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</si>
  <si>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</si>
  <si>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</si>
  <si>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</si>
  <si>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</si>
  <si>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</si>
  <si>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</si>
  <si>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</si>
  <si>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</si>
  <si>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</si>
  <si>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</si>
  <si>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</si>
  <si>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</si>
  <si>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</si>
  <si>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</si>
  <si>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</si>
  <si>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</si>
  <si>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</si>
  <si>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</si>
  <si>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</si>
  <si>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</si>
  <si>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</si>
  <si>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</si>
  <si>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</si>
  <si>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</si>
  <si>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</si>
  <si>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</si>
  <si>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</si>
  <si>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</si>
  <si>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</si>
  <si>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</si>
  <si>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</si>
  <si>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</si>
  <si>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</si>
  <si>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</si>
  <si>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</si>
  <si>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</si>
  <si>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</si>
  <si>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</si>
  <si>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</si>
  <si>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</si>
  <si>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</si>
  <si>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</si>
  <si>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</si>
  <si>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</si>
  <si>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</si>
  <si>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</si>
  <si>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</si>
  <si>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</si>
  <si>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</si>
  <si>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</si>
  <si>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</si>
  <si>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</si>
  <si>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</si>
  <si>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</si>
  <si>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</si>
  <si>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</si>
  <si>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</si>
  <si>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</si>
  <si>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</si>
  <si>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</si>
  <si>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</si>
  <si>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</si>
  <si>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</si>
  <si>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</si>
  <si>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</si>
  <si>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</si>
  <si>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</si>
  <si>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</si>
  <si>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</si>
  <si>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</si>
  <si>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</si>
  <si>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</si>
  <si>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</si>
  <si>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</si>
  <si>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</si>
  <si>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</si>
  <si>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</si>
  <si>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</si>
  <si>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</si>
  <si>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</si>
  <si>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</si>
  <si>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</si>
  <si>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</si>
  <si>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</si>
  <si>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</si>
  <si>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</si>
  <si>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</si>
  <si>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</si>
  <si>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</si>
  <si>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</si>
  <si>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</si>
  <si>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</si>
  <si>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</si>
  <si>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</si>
  <si>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</si>
  <si>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</si>
  <si>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</si>
  <si>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</si>
  <si>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</si>
  <si>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</si>
  <si>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</si>
  <si>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</si>
  <si>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</si>
  <si>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</si>
  <si>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</si>
  <si>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</si>
  <si>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</si>
  <si>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</si>
  <si>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</si>
  <si>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</si>
  <si>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</si>
  <si>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</si>
  <si>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</si>
  <si>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</si>
  <si>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</si>
  <si>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</si>
  <si>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</si>
  <si>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</si>
  <si>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</si>
  <si>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</si>
  <si>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</si>
  <si>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</si>
  <si>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</si>
  <si>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</si>
  <si>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</si>
  <si>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</si>
  <si>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</si>
  <si>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</si>
  <si>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</si>
  <si>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</si>
  <si>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</si>
  <si>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</si>
  <si>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</si>
  <si>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</si>
  <si>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</si>
  <si>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</si>
  <si>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</si>
  <si>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</si>
  <si>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</si>
  <si>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</si>
  <si>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</si>
  <si>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</si>
  <si>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</si>
  <si>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</si>
  <si>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</si>
  <si>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</si>
  <si>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</si>
  <si>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</si>
  <si>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</si>
  <si>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</si>
  <si>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</si>
  <si>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</si>
  <si>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</si>
  <si>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</si>
  <si>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</si>
  <si>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</si>
  <si>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</si>
  <si>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</si>
  <si>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</si>
  <si>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</si>
  <si>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</si>
  <si>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</si>
  <si>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</si>
  <si>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</si>
  <si>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</si>
  <si>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</si>
  <si>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</si>
  <si>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</si>
  <si>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</si>
  <si>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</si>
  <si>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</si>
  <si>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</si>
  <si>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</si>
  <si>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</si>
  <si>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</si>
  <si>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</si>
  <si>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</si>
  <si>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</si>
  <si>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</si>
  <si>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</si>
  <si>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</si>
  <si>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</si>
  <si>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</si>
  <si>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</si>
  <si>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</si>
  <si>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</si>
  <si>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</si>
  <si>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</si>
  <si>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</si>
  <si>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</si>
  <si>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</si>
  <si>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</si>
  <si>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</si>
  <si>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</si>
  <si>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</si>
  <si>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</si>
  <si>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</si>
  <si>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</si>
  <si>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</si>
  <si>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</si>
  <si>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</si>
  <si>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</si>
  <si>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</si>
  <si>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</si>
  <si>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</si>
  <si>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</si>
  <si>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</si>
  <si>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</si>
  <si>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</si>
  <si>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</si>
  <si>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</si>
  <si>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</si>
  <si>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</si>
  <si>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</si>
  <si>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</si>
  <si>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</si>
  <si>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</si>
  <si>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</si>
  <si>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</si>
  <si>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</si>
  <si>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</si>
  <si>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</si>
  <si>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</si>
  <si>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</si>
  <si>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</si>
  <si>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</si>
  <si>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</si>
  <si>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</si>
  <si>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</si>
  <si>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</si>
  <si>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</si>
  <si>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</si>
  <si>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</si>
  <si>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</si>
  <si>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</si>
  <si>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</si>
  <si>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</si>
  <si>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</si>
  <si>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</si>
  <si>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</si>
  <si>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</si>
  <si>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</si>
  <si>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</si>
  <si>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</si>
  <si>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</si>
  <si>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</si>
  <si>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</si>
  <si>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</si>
  <si>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</si>
  <si>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</si>
  <si>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</si>
  <si>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</si>
  <si>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</si>
  <si>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</si>
  <si>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</si>
  <si>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</si>
  <si>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</si>
  <si>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</si>
  <si>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</si>
  <si>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</si>
  <si>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</si>
  <si>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</si>
  <si>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</si>
  <si>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</si>
  <si>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</si>
  <si>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</si>
  <si>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</si>
  <si>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</si>
  <si>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</si>
  <si>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</si>
  <si>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</si>
  <si>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</si>
  <si>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</si>
  <si>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</si>
  <si>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</si>
  <si>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</si>
  <si>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</si>
  <si>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</si>
  <si>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</si>
  <si>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</si>
  <si>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</si>
  <si>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</si>
  <si>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</si>
  <si>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</si>
  <si>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</si>
  <si>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</si>
  <si>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</si>
  <si>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</si>
  <si>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</si>
  <si>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</si>
  <si>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</si>
  <si>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</si>
  <si>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</si>
  <si>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</si>
  <si>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</si>
  <si>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</si>
  <si>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</si>
  <si>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</si>
  <si>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</si>
  <si>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</si>
  <si>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</si>
  <si>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</si>
  <si>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</si>
  <si>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</si>
  <si>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</si>
  <si>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</si>
  <si>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</si>
  <si>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</si>
  <si>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</si>
  <si>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</si>
  <si>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</si>
  <si>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</si>
  <si>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</si>
  <si>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</si>
  <si>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</si>
  <si>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</si>
  <si>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</si>
  <si>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</si>
  <si>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</si>
  <si>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</si>
  <si>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</si>
  <si>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</si>
  <si>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</si>
  <si>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</si>
  <si>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</si>
  <si>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</si>
  <si>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</si>
  <si>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</si>
  <si>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</si>
  <si>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</si>
  <si>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</si>
  <si>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</si>
  <si>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</si>
  <si>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</si>
  <si>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</si>
  <si>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</si>
  <si>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</si>
  <si>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</si>
  <si>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</si>
  <si>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</si>
  <si>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</si>
  <si>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</si>
  <si>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</si>
  <si>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</si>
  <si>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</si>
  <si>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</si>
  <si>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</si>
  <si>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</si>
  <si>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</si>
  <si>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</si>
  <si>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</si>
  <si>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</si>
  <si>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</si>
  <si>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</si>
  <si>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</si>
  <si>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</si>
  <si>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</si>
  <si>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</si>
  <si>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</si>
  <si>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</si>
  <si>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</si>
  <si>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</si>
  <si>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</si>
  <si>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</si>
  <si>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</si>
  <si>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</si>
  <si>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</si>
  <si>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</si>
  <si>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</si>
  <si>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</si>
  <si>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</si>
  <si>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</si>
  <si>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</si>
  <si>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</si>
  <si>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</si>
  <si>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</si>
  <si>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</si>
  <si>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</si>
  <si>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</si>
  <si>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</si>
  <si>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</si>
  <si>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</si>
  <si>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</si>
  <si>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</si>
  <si>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</si>
  <si>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</si>
  <si>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</si>
  <si>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</si>
  <si>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</si>
  <si>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</si>
  <si>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</si>
  <si>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</si>
  <si>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</si>
  <si>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</si>
  <si>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</si>
  <si>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</si>
  <si>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</si>
  <si>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</si>
  <si>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</si>
  <si>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</si>
  <si>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</si>
  <si>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</si>
  <si>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</si>
  <si>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</si>
  <si>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</si>
  <si>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</si>
  <si>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</si>
  <si>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</si>
  <si>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</si>
  <si>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</si>
  <si>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</si>
  <si>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</si>
  <si>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</si>
  <si>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</si>
  <si>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</si>
  <si>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</si>
  <si>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</si>
  <si>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</si>
  <si>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</si>
  <si>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</si>
  <si>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</si>
  <si>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</si>
  <si>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</si>
  <si>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</si>
  <si>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</si>
  <si>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</si>
  <si>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</si>
  <si>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</si>
  <si>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</si>
  <si>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</si>
  <si>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</si>
  <si>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</si>
  <si>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</si>
  <si>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</si>
  <si>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</si>
  <si>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</si>
  <si>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</si>
  <si>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</si>
  <si>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</si>
  <si>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</si>
  <si>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</si>
  <si>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</si>
  <si>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</si>
  <si>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</si>
  <si>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</si>
  <si>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</si>
  <si>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</si>
  <si>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</si>
  <si>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</si>
  <si>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</si>
  <si>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</si>
  <si>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</si>
  <si>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</si>
  <si>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</si>
  <si>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</si>
  <si>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</si>
  <si>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</si>
  <si>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</si>
  <si>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</si>
  <si>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</si>
  <si>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</si>
  <si>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</si>
  <si>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</si>
  <si>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</si>
  <si>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</si>
  <si>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</si>
  <si>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</si>
  <si>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</si>
  <si>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</si>
  <si>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</si>
  <si>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</si>
  <si>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</si>
  <si>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</si>
  <si>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</si>
  <si>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</si>
  <si>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</si>
  <si>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</si>
  <si>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</si>
  <si>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</si>
  <si>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</si>
  <si>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</si>
  <si>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</si>
  <si>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</si>
  <si>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</si>
  <si>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</si>
  <si>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</si>
  <si>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</si>
  <si>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</si>
  <si>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</si>
  <si>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</si>
  <si>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</si>
  <si>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</si>
  <si>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</si>
  <si>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</si>
  <si>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</si>
  <si>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</si>
  <si>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</si>
  <si>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</si>
  <si>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</si>
  <si>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</si>
  <si>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</si>
  <si>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</si>
  <si>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</si>
  <si>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</si>
  <si>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</si>
  <si>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</si>
  <si>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</si>
  <si>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</si>
  <si>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</si>
  <si>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</si>
  <si>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</si>
  <si>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</si>
  <si>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</si>
  <si>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</si>
  <si>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</si>
  <si>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</si>
  <si>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</si>
  <si>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</si>
  <si>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</si>
  <si>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</si>
  <si>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</si>
  <si>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</si>
  <si>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</si>
  <si>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</si>
  <si>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</si>
  <si>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</si>
  <si>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</si>
  <si>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</si>
  <si>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</si>
  <si>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</si>
  <si>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</si>
  <si>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</si>
  <si>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</si>
  <si>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</si>
  <si>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</si>
  <si>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</si>
  <si>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</si>
  <si>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</si>
  <si>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</si>
  <si>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</si>
  <si>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</si>
  <si>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</si>
  <si>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</si>
  <si>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</si>
  <si>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</si>
  <si>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</si>
  <si>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</si>
  <si>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</si>
  <si>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</si>
  <si>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</si>
  <si>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</si>
  <si>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</si>
  <si>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</si>
  <si>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</si>
  <si>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</si>
  <si>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</si>
  <si>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</si>
  <si>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</si>
  <si>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</si>
  <si>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</si>
  <si>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</si>
  <si>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</si>
  <si>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</si>
  <si>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</si>
  <si>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</si>
  <si>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</si>
  <si>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</si>
  <si>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</si>
  <si>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</si>
  <si>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</si>
  <si>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</si>
  <si>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</si>
  <si>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</si>
  <si>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</si>
  <si>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</si>
  <si>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</si>
  <si>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</si>
  <si>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</si>
  <si>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</si>
  <si>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</si>
  <si>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</si>
  <si>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</si>
  <si>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</si>
  <si>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</si>
  <si>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</si>
  <si>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</si>
  <si>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</si>
  <si>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</si>
  <si>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</si>
  <si>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</si>
  <si>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</si>
  <si>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</si>
  <si>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</si>
  <si>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</si>
  <si>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</si>
  <si>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</si>
  <si>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</si>
  <si>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</si>
  <si>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</si>
  <si>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</si>
  <si>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</si>
  <si>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</si>
  <si>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</si>
  <si>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</si>
  <si>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</si>
  <si>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</si>
  <si>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</si>
  <si>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</si>
  <si>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</si>
  <si>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</si>
  <si>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</si>
  <si>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</si>
  <si>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</si>
  <si>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</si>
  <si>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</si>
  <si>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</si>
  <si>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</si>
  <si>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</si>
  <si>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</si>
  <si>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</si>
  <si>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</si>
  <si>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</si>
  <si>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</si>
  <si>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</si>
  <si>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</si>
  <si>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</si>
  <si>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</si>
  <si>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</si>
  <si>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</si>
  <si>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</si>
  <si>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</si>
  <si>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</si>
  <si>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</si>
  <si>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</si>
  <si>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</si>
  <si>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</si>
  <si>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</si>
  <si>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</si>
  <si>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</si>
  <si>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</si>
  <si>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</si>
  <si>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</si>
  <si>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</si>
  <si>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</si>
  <si>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</si>
  <si>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</si>
  <si>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</si>
  <si>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</si>
  <si>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</si>
  <si>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</si>
  <si>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</si>
  <si>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</si>
  <si>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</si>
  <si>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</si>
  <si>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</si>
  <si>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</si>
  <si>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</si>
  <si>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</si>
  <si>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</si>
  <si>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</si>
  <si>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</si>
  <si>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</si>
  <si>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</si>
  <si>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</si>
  <si>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</si>
  <si>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</si>
  <si>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</si>
  <si>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</si>
  <si>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</si>
  <si>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</si>
  <si>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</si>
  <si>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</si>
  <si>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</si>
  <si>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</si>
  <si>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</si>
  <si>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</si>
  <si>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</si>
  <si>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</si>
  <si>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</si>
  <si>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</si>
  <si>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</si>
  <si>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</si>
  <si>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</si>
  <si>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</si>
  <si>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</si>
  <si>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</si>
  <si>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</si>
  <si>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</si>
  <si>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</si>
  <si>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</si>
  <si>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</si>
  <si>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</si>
  <si>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</si>
  <si>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</si>
  <si>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</si>
  <si>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</si>
  <si>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</si>
  <si>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</si>
  <si>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</si>
  <si>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</si>
  <si>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</si>
  <si>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</si>
  <si>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</si>
  <si>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</si>
  <si>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</si>
  <si>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</si>
  <si>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</si>
  <si>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</si>
  <si>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</si>
  <si>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</si>
  <si>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</si>
  <si>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</si>
  <si>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</si>
  <si>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</si>
  <si>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</si>
  <si>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</si>
  <si>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</si>
  <si>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</si>
  <si>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</si>
  <si>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</si>
  <si>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</si>
  <si>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</si>
  <si>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</si>
  <si>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</si>
  <si>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</si>
  <si>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</si>
  <si>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</si>
  <si>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</si>
  <si>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</si>
  <si>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</si>
  <si>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</si>
  <si>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</si>
  <si>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</si>
  <si>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</si>
  <si>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</si>
  <si>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</si>
  <si>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</si>
  <si>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</si>
  <si>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</si>
  <si>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</si>
  <si>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</si>
  <si>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</si>
  <si>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</si>
  <si>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</si>
  <si>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</si>
  <si>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</si>
  <si>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</si>
  <si>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</si>
  <si>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</si>
  <si>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</si>
  <si>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</si>
  <si>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</si>
  <si>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</si>
  <si>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</si>
  <si>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</si>
  <si>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</si>
  <si>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</si>
  <si>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</si>
  <si>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</si>
  <si>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</si>
  <si>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</si>
  <si>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</si>
  <si>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</si>
  <si>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</si>
  <si>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</si>
  <si>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</si>
  <si>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</si>
  <si>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</si>
  <si>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</si>
  <si>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</si>
  <si>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</si>
  <si>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</si>
  <si>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</si>
  <si>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</si>
  <si>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</si>
  <si>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</si>
  <si>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</si>
  <si>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</si>
  <si>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</si>
  <si>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</si>
  <si>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</si>
  <si>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</si>
  <si>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</si>
  <si>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</si>
  <si>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</si>
  <si>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</si>
  <si>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</si>
  <si>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</si>
  <si>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</si>
  <si>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</si>
  <si>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</si>
  <si>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</si>
  <si>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</si>
  <si>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</si>
  <si>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</si>
  <si>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</si>
  <si>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</si>
  <si>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</si>
  <si>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</si>
  <si>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</si>
  <si>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</si>
  <si>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</si>
  <si>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</si>
  <si>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</si>
  <si>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</si>
  <si>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</si>
  <si>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</si>
  <si>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</si>
  <si>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</si>
  <si>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</si>
  <si>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</si>
  <si>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</si>
  <si>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</si>
  <si>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</si>
  <si>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</si>
  <si>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</si>
  <si>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</si>
  <si>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</si>
  <si>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</si>
  <si>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</si>
  <si>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</si>
  <si>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</si>
  <si>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</si>
  <si>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</si>
  <si>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</si>
  <si>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</si>
  <si>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</si>
  <si>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</si>
  <si>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</si>
  <si>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</si>
  <si>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</si>
  <si>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</si>
  <si>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</si>
  <si>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</si>
  <si>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</si>
  <si>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</si>
  <si>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</si>
  <si>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</si>
  <si>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</si>
  <si>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</si>
  <si>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</si>
  <si>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</si>
  <si>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</si>
  <si>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</si>
  <si>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</si>
  <si>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</si>
  <si>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</si>
  <si>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</si>
  <si>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</si>
  <si>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</si>
  <si>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</si>
  <si>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</si>
  <si>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</si>
  <si>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</si>
  <si>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</si>
  <si>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</si>
  <si>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</si>
  <si>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</si>
  <si>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</si>
  <si>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</si>
  <si>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</si>
  <si>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</si>
  <si>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</si>
  <si>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</si>
  <si>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</si>
  <si>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</si>
  <si>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</si>
  <si>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</si>
  <si>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</si>
  <si>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</si>
  <si>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</si>
  <si>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</si>
  <si>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</si>
  <si>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</si>
  <si>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</si>
  <si>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</si>
  <si>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</si>
  <si>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</si>
  <si>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</si>
  <si>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</si>
  <si>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</si>
  <si>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</si>
  <si>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</si>
  <si>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</si>
  <si>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</si>
  <si>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</si>
  <si>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</si>
  <si>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</si>
  <si>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</si>
  <si>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</si>
  <si>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</si>
  <si>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</si>
  <si>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</si>
  <si>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</si>
  <si>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</si>
  <si>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</si>
  <si>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</si>
  <si>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</si>
  <si>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</si>
  <si>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</si>
  <si>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</si>
  <si>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</si>
  <si>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</si>
  <si>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</si>
  <si>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</si>
  <si>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</si>
  <si>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</si>
  <si>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</si>
  <si>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</si>
  <si>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</si>
  <si>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</si>
  <si>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</si>
  <si>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</si>
  <si>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</si>
  <si>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</si>
  <si>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</si>
  <si>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</si>
  <si>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</si>
  <si>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</si>
  <si>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</si>
  <si>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</si>
  <si>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</si>
  <si>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</si>
  <si>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</si>
  <si>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</si>
  <si>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</si>
  <si>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</si>
  <si>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</si>
  <si>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</si>
  <si>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</si>
  <si>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</si>
  <si>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</si>
  <si>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</si>
  <si>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</si>
  <si>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</si>
  <si>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</si>
  <si>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</si>
  <si>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</si>
  <si>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</si>
  <si>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</si>
  <si>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</si>
  <si>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</si>
  <si>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</si>
  <si>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</si>
  <si>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</si>
  <si>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</si>
  <si>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</si>
  <si>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</si>
  <si>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</si>
  <si>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</si>
  <si>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</si>
  <si>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</si>
  <si>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</si>
  <si>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</si>
  <si>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</si>
  <si>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</si>
  <si>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</si>
  <si>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</si>
  <si>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</si>
  <si>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</si>
  <si>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</si>
  <si>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</si>
  <si>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</si>
  <si>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</si>
  <si>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</si>
  <si>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</si>
  <si>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</si>
  <si>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</si>
  <si>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</si>
  <si>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</si>
  <si>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</si>
  <si>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</si>
  <si>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</si>
  <si>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</si>
  <si>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</si>
  <si>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</si>
  <si>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</si>
  <si>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</si>
  <si>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</si>
  <si>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</si>
  <si>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</si>
  <si>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</si>
  <si>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</si>
  <si>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</si>
  <si>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</si>
  <si>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</si>
  <si>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</si>
  <si>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</si>
  <si>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</si>
  <si>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</si>
  <si>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</si>
  <si>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</si>
  <si>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</si>
  <si>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</si>
  <si>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</si>
  <si>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</si>
  <si>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</si>
  <si>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</si>
  <si>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</si>
  <si>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</si>
  <si>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</si>
  <si>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</si>
  <si>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</si>
  <si>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</si>
  <si>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</si>
  <si>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</si>
  <si>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</si>
  <si>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</si>
  <si>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</si>
  <si>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</si>
  <si>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</si>
  <si>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</si>
  <si>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</si>
  <si>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</si>
  <si>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</si>
  <si>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</si>
  <si>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</si>
  <si>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</si>
  <si>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</si>
  <si>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</si>
  <si>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</si>
  <si>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</si>
  <si>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</si>
  <si>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</si>
  <si>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</si>
  <si>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</si>
  <si>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</si>
  <si>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</si>
  <si>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</si>
  <si>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</si>
  <si>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</si>
  <si>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</si>
  <si>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</si>
  <si>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</si>
  <si>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</si>
  <si>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</si>
  <si>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</si>
  <si>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</si>
  <si>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</si>
  <si>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</si>
  <si>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</si>
  <si>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</si>
  <si>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</si>
  <si>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</si>
  <si>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</si>
  <si>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</si>
  <si>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</si>
  <si>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</si>
  <si>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</si>
  <si>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</si>
  <si>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</si>
  <si>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</si>
  <si>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</si>
  <si>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</si>
  <si>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</si>
  <si>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</si>
  <si>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</si>
  <si>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</si>
  <si>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</si>
  <si>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</si>
  <si>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</si>
  <si>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</si>
  <si>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</si>
  <si>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</si>
  <si>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</si>
  <si>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</si>
  <si>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</si>
  <si>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</si>
  <si>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</si>
  <si>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</si>
  <si>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</si>
  <si>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</si>
  <si>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</si>
  <si>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</si>
  <si>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</si>
  <si>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</si>
  <si>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</si>
  <si>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</si>
  <si>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</si>
  <si>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</si>
  <si>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</si>
  <si>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</si>
  <si>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</si>
  <si>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</si>
  <si>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</si>
  <si>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</si>
  <si>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</si>
  <si>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</si>
  <si>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</si>
  <si>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</si>
  <si>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</si>
  <si>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</si>
  <si>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</si>
  <si>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</si>
  <si>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</si>
  <si>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</si>
  <si>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</si>
  <si>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</si>
  <si>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</si>
  <si>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</si>
  <si>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</si>
  <si>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</si>
  <si>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</si>
  <si>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</si>
  <si>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</si>
  <si>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</si>
  <si>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</si>
  <si>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</si>
  <si>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</si>
  <si>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</si>
  <si>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</si>
  <si>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</si>
  <si>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</si>
  <si>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</si>
  <si>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</si>
  <si>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</si>
  <si>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</si>
  <si>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</si>
  <si>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</si>
  <si>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</si>
  <si>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</si>
  <si>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</si>
  <si>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</si>
  <si>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</si>
  <si>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</si>
  <si>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</si>
  <si>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</si>
  <si>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</si>
  <si>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</si>
  <si>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</si>
  <si>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</si>
  <si>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</si>
  <si>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</si>
  <si>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</si>
  <si>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</si>
  <si>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</si>
  <si>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</si>
  <si>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</si>
  <si>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</si>
  <si>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</si>
  <si>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</si>
  <si>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</si>
  <si>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</si>
  <si>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</si>
  <si>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</si>
  <si>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</si>
  <si>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</si>
  <si>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</si>
  <si>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</si>
  <si>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</si>
  <si>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</si>
  <si>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</si>
  <si>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</si>
  <si>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</si>
  <si>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</si>
  <si>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</si>
  <si>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</si>
  <si>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</si>
  <si>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</si>
  <si>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</si>
  <si>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</si>
  <si>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</si>
  <si>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</si>
  <si>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</si>
  <si>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</si>
  <si>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</si>
  <si>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</si>
  <si>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</si>
  <si>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</si>
  <si>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</si>
  <si>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</si>
  <si>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</si>
  <si>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</si>
  <si>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</si>
  <si>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</si>
  <si>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</si>
  <si>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</si>
  <si>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</si>
  <si>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</si>
  <si>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</si>
  <si>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</si>
  <si>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</si>
  <si>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</si>
  <si>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</si>
  <si>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</si>
  <si>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</si>
  <si>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</si>
  <si>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</si>
  <si>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</si>
  <si>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</si>
  <si>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</si>
  <si>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</si>
  <si>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</si>
  <si>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</si>
  <si>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</si>
  <si>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</si>
  <si>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</si>
  <si>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</si>
  <si>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</si>
  <si>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</si>
  <si>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</si>
  <si>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</si>
  <si>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</si>
  <si>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</si>
  <si>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</si>
  <si>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</si>
  <si>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</si>
  <si>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</si>
  <si>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</si>
  <si>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</si>
  <si>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</si>
  <si>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</si>
  <si>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</si>
  <si>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</si>
  <si>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</si>
  <si>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</si>
  <si>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</si>
  <si>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</si>
  <si>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</si>
  <si>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</si>
  <si>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</si>
  <si>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</si>
  <si>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</si>
  <si>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</si>
  <si>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</si>
  <si>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</si>
  <si>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</si>
  <si>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</si>
  <si>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</si>
  <si>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</si>
  <si>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</si>
  <si>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</si>
  <si>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</si>
  <si>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</si>
  <si>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</si>
  <si>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</si>
  <si>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</si>
  <si>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</si>
  <si>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</si>
  <si>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</si>
  <si>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</si>
  <si>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</si>
  <si>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</si>
  <si>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</si>
  <si>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</si>
  <si>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</si>
  <si>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</si>
  <si>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</si>
  <si>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</si>
  <si>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</si>
  <si>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</si>
  <si>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</si>
  <si>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</si>
  <si>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</si>
  <si>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</si>
  <si>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</si>
  <si>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</si>
  <si>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</si>
  <si>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</si>
  <si>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</si>
  <si>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</si>
  <si>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</si>
  <si>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</si>
  <si>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</si>
  <si>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</si>
  <si>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</si>
  <si>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</si>
  <si>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</si>
  <si>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</si>
  <si>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</si>
  <si>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</si>
  <si>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</si>
  <si>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</si>
  <si>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</si>
  <si>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</si>
  <si>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</si>
  <si>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</si>
  <si>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</si>
  <si>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</si>
  <si>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</si>
  <si>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</si>
  <si>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</si>
  <si>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</si>
  <si>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</si>
  <si>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</si>
  <si>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</si>
  <si>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</si>
  <si>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</si>
  <si>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</si>
  <si>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</si>
  <si>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</si>
  <si>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</si>
  <si>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</si>
  <si>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</si>
  <si>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</si>
  <si>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</si>
  <si>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</si>
  <si>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</si>
  <si>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</si>
  <si>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</si>
  <si>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</si>
  <si>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</si>
  <si>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</si>
  <si>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</si>
  <si>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</si>
  <si>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</si>
  <si>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</si>
  <si>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</si>
  <si>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</si>
  <si>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</si>
  <si>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</si>
  <si>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</si>
  <si>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</si>
  <si>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</si>
  <si>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</si>
  <si>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</si>
  <si>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</si>
  <si>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</si>
  <si>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</si>
  <si>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</si>
  <si>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</si>
  <si>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</si>
  <si>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</si>
  <si>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</si>
  <si>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</si>
  <si>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</si>
  <si>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</si>
  <si>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</si>
  <si>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</si>
  <si>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</si>
  <si>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</si>
  <si>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</si>
  <si>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</si>
  <si>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</si>
  <si>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</si>
  <si>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</si>
  <si>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</si>
  <si>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</si>
  <si>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</si>
  <si>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</si>
  <si>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</si>
  <si>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</si>
  <si>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</si>
  <si>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</si>
  <si>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</si>
  <si>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</si>
  <si>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</si>
  <si>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</si>
  <si>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</si>
  <si>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</si>
  <si>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</si>
  <si>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</si>
  <si>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</si>
  <si>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</si>
  <si>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</si>
  <si>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</si>
  <si>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</si>
  <si>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</si>
  <si>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</si>
  <si>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</si>
  <si>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</si>
  <si>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</si>
  <si>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</si>
  <si>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</si>
  <si>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</si>
  <si>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</si>
  <si>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</si>
  <si>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</si>
  <si>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</si>
  <si>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</si>
  <si>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</si>
  <si>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</si>
  <si>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</si>
  <si>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</si>
  <si>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</si>
  <si>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</si>
  <si>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</si>
  <si>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</si>
  <si>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</si>
  <si>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</si>
  <si>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</si>
  <si>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</si>
  <si>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</si>
  <si>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</si>
  <si>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</si>
  <si>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</si>
  <si>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</si>
  <si>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</si>
  <si>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</si>
  <si>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</si>
  <si>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</si>
  <si>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</si>
  <si>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</si>
  <si>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</si>
  <si>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</si>
  <si>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</si>
  <si>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</si>
  <si>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</si>
  <si>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</si>
  <si>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</si>
  <si>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</si>
  <si>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</si>
  <si>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</si>
  <si>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</si>
  <si>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</si>
  <si>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</si>
  <si>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</si>
  <si>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</si>
  <si>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</si>
  <si>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</si>
  <si>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</si>
  <si>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</si>
  <si>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</si>
  <si>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</si>
  <si>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</si>
  <si>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</si>
  <si>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</si>
  <si>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</si>
  <si>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</si>
  <si>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</si>
  <si>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</si>
  <si>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</si>
  <si>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</si>
  <si>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</si>
  <si>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</si>
  <si>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</si>
  <si>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</si>
  <si>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</si>
  <si>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</si>
  <si>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</si>
  <si>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</si>
  <si>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</si>
  <si>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</si>
  <si>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</si>
  <si>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</si>
  <si>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</si>
  <si>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</si>
  <si>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</si>
  <si>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</si>
  <si>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</si>
  <si>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</si>
  <si>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</si>
  <si>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</si>
  <si>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</si>
  <si>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</si>
  <si>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</si>
  <si>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</si>
  <si>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</si>
  <si>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</si>
  <si>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</si>
  <si>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</si>
  <si>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</si>
  <si>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</si>
  <si>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</si>
  <si>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</si>
  <si>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</si>
  <si>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</si>
  <si>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</si>
  <si>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</si>
  <si>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</si>
  <si>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</si>
  <si>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</si>
  <si>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</si>
  <si>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</si>
  <si>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</si>
  <si>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</si>
  <si>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</si>
  <si>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</si>
  <si>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</si>
  <si>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</si>
  <si>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</si>
  <si>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</si>
  <si>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</si>
  <si>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</si>
  <si>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</si>
  <si>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</si>
  <si>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</si>
  <si>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</si>
  <si>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</si>
  <si>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</si>
  <si>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</si>
  <si>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</si>
  <si>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</si>
  <si>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</si>
  <si>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</si>
  <si>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</si>
  <si>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</si>
  <si>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</si>
  <si>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</si>
  <si>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</si>
  <si>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</si>
  <si>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</si>
  <si>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</si>
  <si>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</si>
  <si>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</si>
  <si>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</si>
  <si>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</si>
  <si>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</si>
  <si>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</si>
  <si>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</si>
  <si>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</si>
  <si>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</si>
  <si>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</si>
  <si>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</si>
  <si>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</si>
  <si>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</si>
  <si>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</si>
  <si>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</si>
  <si>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</si>
  <si>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</si>
  <si>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</si>
  <si>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</si>
  <si>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</si>
  <si>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</si>
  <si>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</si>
  <si>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</si>
  <si>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</si>
  <si>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</si>
  <si>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</si>
  <si>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</si>
  <si>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</si>
  <si>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</si>
  <si>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</si>
  <si>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</si>
  <si>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</si>
  <si>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</si>
  <si>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</si>
  <si>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</si>
  <si>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</si>
  <si>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</si>
  <si>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</si>
  <si>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</si>
  <si>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</si>
  <si>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</si>
  <si>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</si>
  <si>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</si>
  <si>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</si>
  <si>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</si>
  <si>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</si>
  <si>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</si>
  <si>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</si>
  <si>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</si>
  <si>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</si>
  <si>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</si>
  <si>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</si>
  <si>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</si>
  <si>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</si>
  <si>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</si>
  <si>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</si>
  <si>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</si>
  <si>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</si>
  <si>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</si>
  <si>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</si>
  <si>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</si>
  <si>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</si>
  <si>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</si>
  <si>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</si>
  <si>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</si>
  <si>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</si>
  <si>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</si>
  <si>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</si>
  <si>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</si>
  <si>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</si>
  <si>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</si>
  <si>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</si>
  <si>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</si>
  <si>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</si>
  <si>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</si>
  <si>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</si>
  <si>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</si>
  <si>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</si>
  <si>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</si>
  <si>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</si>
  <si>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</si>
  <si>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</si>
  <si>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</si>
  <si>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</si>
  <si>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</si>
  <si>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</si>
  <si>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</si>
  <si>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</si>
  <si>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</si>
  <si>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</si>
  <si>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</si>
  <si>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</si>
  <si>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</si>
  <si>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</si>
  <si>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</si>
  <si>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</si>
  <si>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</si>
  <si>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</si>
  <si>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</si>
  <si>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</si>
  <si>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</si>
  <si>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</si>
  <si>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</si>
  <si>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</si>
  <si>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</si>
  <si>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</si>
  <si>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</si>
  <si>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</si>
  <si>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</si>
  <si>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</si>
  <si>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</si>
  <si>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</si>
  <si>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</si>
  <si>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</si>
  <si>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</si>
  <si>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</si>
  <si>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</si>
  <si>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</si>
  <si>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</si>
  <si>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</si>
  <si>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</si>
  <si>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</si>
  <si>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</si>
  <si>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</si>
  <si>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</si>
  <si>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</si>
  <si>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</si>
  <si>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</si>
  <si>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</si>
  <si>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</si>
  <si>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</si>
  <si>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</si>
  <si>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</si>
  <si>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</si>
  <si>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</si>
  <si>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</si>
  <si>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</si>
  <si>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</si>
  <si>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</si>
  <si>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</si>
  <si>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</si>
  <si>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</si>
  <si>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</si>
  <si>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</si>
  <si>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</si>
  <si>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</si>
  <si>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</si>
  <si>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</si>
  <si>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</si>
  <si>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</si>
  <si>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</si>
  <si>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</si>
  <si>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</si>
  <si>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</si>
  <si>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</si>
  <si>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</si>
  <si>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</si>
  <si>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</si>
  <si>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</si>
  <si>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</si>
  <si>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</si>
  <si>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</si>
  <si>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</si>
  <si>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</si>
  <si>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</si>
  <si>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</si>
  <si>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</si>
  <si>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</si>
  <si>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</si>
  <si>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</si>
  <si>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</si>
  <si>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</si>
  <si>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</si>
  <si>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</si>
  <si>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</si>
  <si>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</si>
  <si>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</si>
  <si>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</si>
  <si>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</si>
  <si>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</si>
  <si>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</si>
  <si>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</si>
  <si>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</si>
  <si>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</si>
  <si>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</si>
  <si>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</si>
  <si>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</si>
  <si>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</si>
  <si>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</si>
  <si>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</si>
  <si>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</si>
  <si>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</si>
  <si>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</si>
  <si>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</si>
  <si>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</si>
  <si>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</si>
  <si>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</si>
  <si>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</si>
  <si>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</si>
  <si>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</si>
  <si>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</si>
  <si>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</si>
  <si>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</si>
  <si>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</si>
  <si>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</si>
  <si>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</si>
  <si>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</si>
  <si>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</si>
  <si>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</si>
  <si>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</si>
  <si>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</si>
  <si>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</si>
  <si>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</si>
  <si>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</si>
  <si>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</si>
  <si>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</si>
  <si>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</si>
  <si>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</si>
  <si>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</si>
  <si>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</si>
  <si>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</si>
  <si>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</si>
  <si>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</si>
  <si>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</si>
  <si>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</si>
  <si>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</si>
  <si>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</si>
  <si>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</si>
  <si>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</si>
  <si>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</si>
  <si>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</si>
  <si>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</si>
  <si>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</si>
  <si>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</si>
  <si>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</si>
  <si>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</si>
  <si>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</si>
  <si>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</si>
  <si>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</si>
  <si>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</si>
  <si>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</si>
  <si>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</si>
  <si>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</si>
  <si>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</si>
  <si>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</si>
  <si>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</si>
  <si>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</si>
  <si>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</si>
  <si>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</si>
  <si>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</si>
  <si>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</si>
  <si>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</si>
  <si>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</si>
  <si>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</si>
  <si>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</si>
  <si>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</si>
  <si>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</si>
  <si>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</si>
  <si>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</si>
  <si>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</si>
  <si>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</si>
  <si>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</si>
  <si>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</si>
  <si>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</si>
  <si>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</si>
  <si>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</si>
  <si>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</si>
  <si>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</si>
  <si>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</si>
  <si>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</si>
  <si>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</si>
  <si>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</si>
  <si>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</si>
  <si>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</si>
  <si>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</si>
  <si>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</si>
  <si>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</si>
  <si>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</si>
  <si>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</si>
  <si>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</si>
  <si>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</si>
  <si>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</si>
  <si>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</si>
  <si>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</si>
  <si>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</si>
  <si>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</si>
  <si>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</si>
  <si>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</si>
  <si>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</si>
  <si>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</si>
  <si>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</si>
  <si>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</si>
  <si>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</si>
  <si>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</si>
  <si>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</si>
  <si>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</si>
  <si>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</si>
  <si>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</si>
  <si>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</si>
  <si>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</si>
  <si>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</si>
  <si>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</si>
  <si>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</si>
  <si>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</si>
  <si>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</si>
  <si>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</si>
  <si>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</si>
  <si>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</si>
  <si>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</si>
  <si>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</si>
  <si>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</si>
  <si>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</si>
  <si>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</si>
  <si>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</si>
  <si>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</si>
  <si>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</si>
  <si>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</si>
  <si>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</si>
  <si>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</si>
  <si>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</si>
  <si>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</si>
  <si>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</si>
  <si>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</si>
  <si>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</si>
  <si>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</si>
  <si>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</si>
  <si>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</si>
  <si>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</si>
  <si>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</si>
  <si>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</si>
  <si>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</si>
  <si>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</si>
  <si>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</si>
  <si>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</si>
  <si>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</si>
  <si>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</si>
  <si>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</si>
  <si>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</si>
  <si>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</si>
  <si>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</si>
  <si>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</si>
  <si>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</si>
  <si>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</si>
  <si>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</si>
  <si>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</si>
  <si>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</si>
  <si>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</si>
  <si>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</si>
  <si>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</si>
  <si>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</si>
  <si>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</si>
  <si>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</si>
  <si>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</si>
  <si>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</si>
  <si>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</si>
  <si>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</si>
  <si>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</si>
  <si>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</si>
  <si>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</si>
  <si>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</si>
  <si>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</si>
  <si>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</si>
  <si>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</si>
  <si>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</si>
  <si>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</si>
  <si>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</si>
  <si>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</si>
  <si>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</si>
  <si>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</si>
  <si>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</si>
  <si>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</si>
  <si>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</si>
  <si>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</si>
  <si>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</si>
  <si>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</si>
  <si>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</si>
  <si>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</si>
  <si>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</si>
  <si>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</si>
  <si>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</si>
  <si>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</si>
  <si>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</si>
  <si>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</si>
  <si>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</si>
  <si>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</si>
  <si>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</si>
  <si>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</si>
  <si>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</si>
  <si>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</si>
  <si>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</si>
  <si>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</si>
  <si>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</si>
  <si>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</si>
  <si>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</si>
  <si>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</si>
  <si>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</si>
  <si>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</si>
  <si>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</si>
  <si>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</si>
  <si>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</si>
  <si>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</si>
  <si>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</si>
  <si>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</si>
  <si>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</si>
  <si>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</si>
  <si>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</si>
  <si>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</si>
  <si>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</si>
  <si>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</si>
  <si>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</si>
  <si>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</si>
  <si>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</si>
  <si>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</si>
  <si>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</si>
  <si>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</si>
  <si>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</si>
  <si>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</si>
  <si>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</si>
  <si>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</si>
  <si>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</si>
  <si>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</si>
  <si>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</si>
  <si>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</si>
  <si>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</si>
  <si>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</si>
  <si>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</si>
  <si>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</si>
  <si>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</si>
  <si>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</si>
  <si>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</si>
  <si>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</si>
  <si>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</si>
  <si>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</si>
  <si>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</si>
  <si>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</si>
  <si>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</si>
  <si>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</si>
  <si>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</si>
  <si>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</si>
  <si>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</si>
  <si>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</si>
  <si>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</si>
  <si>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</si>
  <si>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</si>
  <si>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</si>
  <si>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</si>
  <si>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</si>
  <si>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</si>
  <si>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</si>
  <si>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</si>
  <si>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</si>
  <si>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</si>
  <si>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</si>
  <si>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</si>
  <si>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</si>
  <si>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</si>
  <si>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</si>
  <si>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</si>
  <si>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</si>
  <si>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</si>
  <si>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</si>
  <si>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</si>
  <si>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</si>
  <si>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</si>
  <si>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</si>
  <si>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</si>
  <si>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</si>
  <si>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</si>
  <si>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</si>
  <si>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</si>
  <si>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</si>
  <si>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</si>
  <si>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</si>
  <si>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</si>
  <si>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</si>
  <si>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</si>
  <si>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</si>
  <si>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</si>
  <si>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</si>
  <si>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</si>
  <si>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</si>
  <si>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</si>
  <si>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</si>
  <si>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</si>
  <si>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</si>
  <si>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</si>
  <si>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</si>
  <si>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</si>
  <si>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</si>
  <si>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</si>
  <si>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</si>
  <si>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</si>
  <si>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</si>
  <si>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</si>
  <si>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</si>
  <si>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</si>
  <si>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</si>
  <si>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</si>
  <si>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</si>
  <si>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</si>
  <si>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</si>
  <si>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</si>
  <si>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</si>
  <si>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</si>
  <si>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</si>
  <si>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</si>
  <si>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</si>
  <si>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</si>
  <si>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</si>
  <si>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</si>
  <si>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</si>
  <si>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</si>
  <si>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</si>
  <si>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</si>
  <si>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</si>
  <si>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</si>
  <si>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</si>
  <si>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</si>
  <si>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</si>
  <si>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</si>
  <si>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</si>
  <si>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</si>
  <si>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</si>
  <si>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</si>
  <si>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</si>
  <si>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</si>
  <si>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</si>
  <si>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Lake</t>
  </si>
  <si>
    <t>28855 N. Fremont Center</t>
  </si>
  <si>
    <t>Mundelein</t>
  </si>
  <si>
    <t>Evans, Marshall and Pease, PC</t>
  </si>
  <si>
    <t>Jeffery M. Rollefson, CPA</t>
  </si>
  <si>
    <t>1875 Hicks Road</t>
  </si>
  <si>
    <t>Rolling Meadows</t>
  </si>
  <si>
    <t>IL</t>
  </si>
  <si>
    <t>847-221-5700</t>
  </si>
  <si>
    <t>847-221-5701</t>
  </si>
  <si>
    <t>jeff@empcpa.com</t>
  </si>
  <si>
    <t>Refunding School Bonds-Series 2015</t>
  </si>
  <si>
    <t>Refunding School Bonds-Series 2016</t>
  </si>
  <si>
    <t>Capital leases</t>
  </si>
  <si>
    <t>var</t>
  </si>
  <si>
    <t>SINGLE PATH</t>
  </si>
  <si>
    <t>ED-Educational Media Services-Purchased Services</t>
  </si>
  <si>
    <t>10-2200-300</t>
  </si>
  <si>
    <t>ROE-COMMON CORE PLANNING SD75, SD 120</t>
  </si>
  <si>
    <t>X</t>
  </si>
  <si>
    <t>LINCOLN SCHOOL SD 75, SD 73</t>
  </si>
  <si>
    <t>ROE APPLITRACK</t>
  </si>
  <si>
    <t>ADMIN PROF DEVELOPMENT ROE ESC SD 75</t>
  </si>
  <si>
    <t>LINCOLN PRINCIPAL SD 75</t>
  </si>
  <si>
    <t>SEDOL</t>
  </si>
  <si>
    <t>CLIC</t>
  </si>
  <si>
    <t>SD 75, SD 76, SD 120, SEDOL</t>
  </si>
  <si>
    <t>SD 75, SD 76, SD 120, UMBRELLA AGREEMENT</t>
  </si>
  <si>
    <t>O&amp;M-Operations and Plant Services-Purchased Services</t>
  </si>
  <si>
    <t>20-2540-300</t>
  </si>
  <si>
    <t>TENACIOUS CLEANING</t>
  </si>
  <si>
    <t>Page 15 (C41), (D41), (F41)-Extra duty expenses</t>
  </si>
  <si>
    <t>Page 16 (C56),(D56), (E56), (F56),(H56)-Assistant Superintendent of Learning expenses.</t>
  </si>
  <si>
    <t>Page 19 (D237)-Extra duty expenses</t>
  </si>
  <si>
    <t>Page 20 (D260)-Assistant Superintendent of Learning expenses.</t>
  </si>
  <si>
    <t>Page 12 (C168)-Library</t>
  </si>
  <si>
    <t>Page 9 (G11)-Sedol taxes</t>
  </si>
  <si>
    <t>Page 17 (H136)-Payments to other governmental units</t>
  </si>
  <si>
    <t>Page 18 (H171)-Service charges</t>
  </si>
  <si>
    <t>Page 24 (G33)-Payments on capital lease</t>
  </si>
  <si>
    <t>066.005340</t>
  </si>
  <si>
    <t>$59,734; (F107) Other revenue - $28,405.</t>
  </si>
  <si>
    <t>Page 11 (C107) Rentals-$13,454, Refund of prior year expenses-$3,605, and Other revenues-$216,645; (D107) User fee-$25,172 and Other revenue-</t>
  </si>
  <si>
    <t>Fremont SD 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</si>
</sst>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181841</xdr:colOff>
          <xdr:row>0</xdr:row>
          <xdr:rowOff>112568</xdr:rowOff>
        </xdr:from>
        <xdr:to>
          <xdr:col>1</xdr:col>
          <xdr:colOff>1092777</xdr:colOff>
          <xdr:row>4</xdr:row>
          <xdr:rowOff>150668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1191491</xdr:colOff>
          <xdr:row>0</xdr:row>
          <xdr:rowOff>105641</xdr:rowOff>
        </xdr:from>
        <xdr:to>
          <xdr:col>1</xdr:col>
          <xdr:colOff>2108489</xdr:colOff>
          <xdr:row>4</xdr:row>
          <xdr:rowOff>143741</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topLeftCell="A8"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2" t="s">
        <v>405</v>
      </c>
      <c r="J1" s="2023"/>
      <c r="K1" s="2023"/>
      <c r="L1" s="2023"/>
      <c r="M1" s="2023"/>
      <c r="N1" s="2023"/>
      <c r="O1" s="2023"/>
      <c r="P1" s="2023"/>
      <c r="Q1" s="2023"/>
      <c r="R1" s="2023"/>
      <c r="S1" s="2023"/>
    </row>
    <row r="2" spans="1:28" ht="12" customHeight="1" x14ac:dyDescent="0.2">
      <c r="A2" s="47" t="s">
        <v>1991</v>
      </c>
      <c r="D2" s="48"/>
      <c r="I2" s="2024" t="s">
        <v>979</v>
      </c>
      <c r="J2" s="2023"/>
      <c r="K2" s="2023"/>
      <c r="L2" s="2023"/>
      <c r="M2" s="2023"/>
      <c r="N2" s="2023"/>
      <c r="O2" s="2023"/>
      <c r="P2" s="2023"/>
      <c r="Q2" s="2023"/>
      <c r="R2" s="2023"/>
      <c r="S2" s="2023"/>
    </row>
    <row r="3" spans="1:28" ht="12" customHeight="1" x14ac:dyDescent="0.2">
      <c r="A3" s="155" t="s">
        <v>1943</v>
      </c>
      <c r="B3" s="156"/>
      <c r="C3" s="156"/>
      <c r="D3" s="157"/>
      <c r="I3" s="2024" t="s">
        <v>52</v>
      </c>
      <c r="J3" s="2023"/>
      <c r="K3" s="2023"/>
      <c r="L3" s="2023"/>
      <c r="M3" s="2023"/>
      <c r="N3" s="2023"/>
      <c r="O3" s="2023"/>
      <c r="P3" s="2023"/>
      <c r="Q3" s="2023"/>
      <c r="R3" s="2023"/>
      <c r="S3" s="2023"/>
    </row>
    <row r="4" spans="1:28" ht="12" customHeight="1" x14ac:dyDescent="0.2">
      <c r="A4" s="37"/>
      <c r="I4" s="2024" t="s">
        <v>524</v>
      </c>
      <c r="J4" s="2023"/>
      <c r="K4" s="2023"/>
      <c r="L4" s="2023"/>
      <c r="M4" s="2023"/>
      <c r="N4" s="2023"/>
      <c r="O4" s="2023"/>
      <c r="P4" s="2023"/>
      <c r="Q4" s="2023"/>
      <c r="R4" s="2023"/>
      <c r="S4" s="2023"/>
    </row>
    <row r="5" spans="1:28" ht="14.1" customHeight="1" x14ac:dyDescent="0.2">
      <c r="B5" s="104" t="s">
        <v>2065</v>
      </c>
      <c r="C5" s="26" t="s">
        <v>910</v>
      </c>
      <c r="D5" s="84"/>
      <c r="E5" s="84"/>
      <c r="H5" s="38"/>
      <c r="I5" s="2031" t="s">
        <v>680</v>
      </c>
      <c r="J5" s="1975"/>
      <c r="K5" s="1975"/>
      <c r="L5" s="1975"/>
      <c r="M5" s="1975"/>
      <c r="N5" s="1975"/>
      <c r="O5" s="1975"/>
      <c r="P5" s="1975"/>
      <c r="Q5" s="1975"/>
      <c r="R5" s="1975"/>
      <c r="S5" s="1975"/>
    </row>
    <row r="6" spans="1:28" ht="14.1" customHeight="1" x14ac:dyDescent="0.2">
      <c r="B6" s="104"/>
      <c r="C6" s="26" t="s">
        <v>911</v>
      </c>
      <c r="D6" s="84"/>
      <c r="E6" s="84"/>
      <c r="I6" s="2030" t="s">
        <v>883</v>
      </c>
      <c r="J6" s="1975"/>
      <c r="K6" s="1975"/>
      <c r="L6" s="1975"/>
      <c r="M6" s="1975"/>
      <c r="N6" s="1975"/>
      <c r="O6" s="1975"/>
      <c r="P6" s="1975"/>
      <c r="Q6" s="1975"/>
      <c r="R6" s="1975"/>
      <c r="S6" s="1975"/>
    </row>
    <row r="7" spans="1:28" ht="12.2" customHeight="1" x14ac:dyDescent="0.2">
      <c r="I7" s="2025">
        <v>43646</v>
      </c>
      <c r="J7" s="2026"/>
      <c r="K7" s="2026"/>
      <c r="L7" s="2026"/>
      <c r="M7" s="2026"/>
      <c r="N7" s="2026"/>
      <c r="O7" s="2026"/>
      <c r="P7" s="2026"/>
      <c r="Q7" s="2026"/>
      <c r="R7" s="2026"/>
      <c r="S7" s="202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7" t="s">
        <v>674</v>
      </c>
      <c r="J9" s="2028"/>
      <c r="K9" s="2028"/>
      <c r="L9" s="2028"/>
      <c r="M9" s="2028"/>
      <c r="N9" s="2028"/>
      <c r="O9" s="2028"/>
      <c r="P9" s="2028"/>
      <c r="Q9" s="2028"/>
      <c r="R9" s="2028"/>
      <c r="S9" s="2029"/>
      <c r="T9" s="1971" t="s">
        <v>533</v>
      </c>
      <c r="U9" s="1972"/>
      <c r="V9" s="1972"/>
      <c r="W9" s="1972"/>
      <c r="X9" s="1972"/>
      <c r="Y9" s="1972"/>
      <c r="Z9" s="1972"/>
      <c r="AA9" s="1973"/>
    </row>
    <row r="10" spans="1:28" ht="13.5" customHeight="1" x14ac:dyDescent="0.2">
      <c r="A10" s="1980" t="s">
        <v>675</v>
      </c>
      <c r="B10" s="1981"/>
      <c r="C10" s="1981"/>
      <c r="D10" s="1981"/>
      <c r="E10" s="1981"/>
      <c r="F10" s="1981"/>
      <c r="G10" s="1981"/>
      <c r="H10" s="1982"/>
      <c r="I10" s="29"/>
      <c r="J10" s="30"/>
      <c r="K10" s="28"/>
      <c r="R10" s="30"/>
      <c r="S10" s="30"/>
      <c r="T10" s="1974"/>
      <c r="U10" s="1975"/>
      <c r="V10" s="1975"/>
      <c r="W10" s="1975"/>
      <c r="X10" s="1975"/>
      <c r="Y10" s="1975"/>
      <c r="Z10" s="1975"/>
      <c r="AA10" s="1976"/>
    </row>
    <row r="11" spans="1:28" ht="14.25" customHeight="1" x14ac:dyDescent="0.2">
      <c r="A11" s="1983" t="s">
        <v>955</v>
      </c>
      <c r="B11" s="1984"/>
      <c r="C11" s="1984"/>
      <c r="D11" s="1984"/>
      <c r="E11" s="1984"/>
      <c r="F11" s="1984"/>
      <c r="G11" s="1984"/>
      <c r="H11" s="1985"/>
      <c r="I11" s="27"/>
      <c r="J11" s="74"/>
      <c r="K11" s="27"/>
      <c r="O11" s="148"/>
      <c r="P11" s="100" t="s">
        <v>201</v>
      </c>
      <c r="Q11" s="30"/>
      <c r="R11" s="28"/>
      <c r="S11" s="27"/>
      <c r="T11" s="1977"/>
      <c r="U11" s="1978"/>
      <c r="V11" s="1978"/>
      <c r="W11" s="1978"/>
      <c r="X11" s="1978"/>
      <c r="Y11" s="1978"/>
      <c r="Z11" s="1978"/>
      <c r="AA11" s="1979"/>
    </row>
    <row r="12" spans="1:28" ht="13.5" customHeight="1" x14ac:dyDescent="0.2">
      <c r="A12" s="85" t="s">
        <v>925</v>
      </c>
      <c r="B12" s="76"/>
      <c r="C12" s="76"/>
      <c r="D12" s="76"/>
      <c r="E12" s="76"/>
      <c r="F12" s="76"/>
      <c r="G12" s="76"/>
      <c r="H12" s="53"/>
      <c r="I12" s="29"/>
      <c r="J12" s="30"/>
      <c r="K12" s="28"/>
      <c r="O12" s="149" t="s">
        <v>2065</v>
      </c>
      <c r="P12" s="100" t="s">
        <v>202</v>
      </c>
      <c r="Q12" s="74"/>
      <c r="R12" s="30"/>
      <c r="S12" s="30"/>
      <c r="T12" s="85" t="s">
        <v>265</v>
      </c>
      <c r="U12" s="51"/>
      <c r="V12" s="51"/>
      <c r="W12" s="51"/>
      <c r="X12" s="51"/>
      <c r="Y12" s="45"/>
      <c r="Z12" s="45"/>
      <c r="AA12" s="46"/>
    </row>
    <row r="13" spans="1:28" ht="13.5" customHeight="1" x14ac:dyDescent="0.2">
      <c r="A13" s="1991">
        <v>34049079002</v>
      </c>
      <c r="B13" s="1992"/>
      <c r="C13" s="1992"/>
      <c r="D13" s="1992"/>
      <c r="E13" s="1992"/>
      <c r="F13" s="1992"/>
      <c r="G13" s="1992"/>
      <c r="H13" s="1993"/>
      <c r="I13" s="31"/>
      <c r="J13" s="30"/>
      <c r="K13" s="28"/>
      <c r="L13" s="30"/>
      <c r="M13" s="30"/>
      <c r="N13" s="30"/>
      <c r="O13" s="30"/>
      <c r="P13" s="30"/>
      <c r="Q13" s="30"/>
      <c r="R13" s="30"/>
      <c r="S13" s="30"/>
      <c r="T13" s="1996" t="s">
        <v>2069</v>
      </c>
      <c r="U13" s="1997"/>
      <c r="V13" s="1997"/>
      <c r="W13" s="1997"/>
      <c r="X13" s="1997"/>
      <c r="Y13" s="1998"/>
      <c r="Z13" s="1998"/>
      <c r="AA13" s="199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9" t="s">
        <v>2066</v>
      </c>
      <c r="B15" s="1994"/>
      <c r="C15" s="1994"/>
      <c r="D15" s="1994"/>
      <c r="E15" s="1994"/>
      <c r="F15" s="1994"/>
      <c r="G15" s="1994"/>
      <c r="H15" s="1995"/>
      <c r="T15" s="1957" t="s">
        <v>2070</v>
      </c>
      <c r="U15" s="1958"/>
      <c r="V15" s="1958"/>
      <c r="W15" s="1958"/>
      <c r="X15" s="1958"/>
      <c r="Y15" s="2000"/>
      <c r="Z15" s="2000"/>
      <c r="AA15" s="200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9" t="s">
        <v>2109</v>
      </c>
      <c r="B17" s="2020"/>
      <c r="C17" s="2020"/>
      <c r="D17" s="2020"/>
      <c r="E17" s="2020"/>
      <c r="F17" s="2020"/>
      <c r="G17" s="2020"/>
      <c r="H17" s="2021"/>
      <c r="T17" s="2006" t="s">
        <v>2071</v>
      </c>
      <c r="U17" s="2007"/>
      <c r="V17" s="2007"/>
      <c r="W17" s="2007"/>
      <c r="X17" s="2007"/>
      <c r="Y17" s="2007"/>
      <c r="Z17" s="2007"/>
      <c r="AA17" s="2008"/>
    </row>
    <row r="18" spans="1:27" ht="13.5" customHeight="1" x14ac:dyDescent="0.2">
      <c r="A18" s="85" t="s">
        <v>530</v>
      </c>
      <c r="B18" s="76"/>
      <c r="C18" s="72"/>
      <c r="D18" s="76"/>
      <c r="E18" s="76"/>
      <c r="F18" s="76"/>
      <c r="G18" s="76"/>
      <c r="H18" s="56"/>
      <c r="I18" s="2016" t="s">
        <v>676</v>
      </c>
      <c r="J18" s="2017"/>
      <c r="K18" s="2017"/>
      <c r="L18" s="2017"/>
      <c r="M18" s="2017"/>
      <c r="N18" s="2017"/>
      <c r="O18" s="2017"/>
      <c r="P18" s="2017"/>
      <c r="Q18" s="2017"/>
      <c r="R18" s="2017"/>
      <c r="S18" s="2018"/>
      <c r="T18" s="85" t="s">
        <v>711</v>
      </c>
      <c r="U18" s="51"/>
      <c r="V18" s="72"/>
      <c r="W18" s="50"/>
      <c r="X18" s="85" t="s">
        <v>266</v>
      </c>
      <c r="Y18" s="81"/>
      <c r="Z18" s="159" t="s">
        <v>677</v>
      </c>
      <c r="AA18" s="46"/>
    </row>
    <row r="19" spans="1:27" ht="13.5" customHeight="1" x14ac:dyDescent="0.2">
      <c r="A19" s="1989" t="s">
        <v>2067</v>
      </c>
      <c r="B19" s="1990"/>
      <c r="C19" s="1990"/>
      <c r="D19" s="1990"/>
      <c r="E19" s="1990"/>
      <c r="F19" s="1990"/>
      <c r="G19" s="1990"/>
      <c r="H19" s="1988"/>
      <c r="I19" s="30"/>
      <c r="J19" s="99"/>
      <c r="K19" s="40"/>
      <c r="L19" s="38"/>
      <c r="M19" s="112" t="s">
        <v>315</v>
      </c>
      <c r="P19" s="27"/>
      <c r="Q19" s="27"/>
      <c r="R19" s="27"/>
      <c r="S19" s="31"/>
      <c r="T19" s="1989" t="s">
        <v>2072</v>
      </c>
      <c r="U19" s="1987"/>
      <c r="V19" s="1987"/>
      <c r="W19" s="1988"/>
      <c r="X19" s="2004" t="s">
        <v>2073</v>
      </c>
      <c r="Y19" s="2005"/>
      <c r="Z19" s="2002">
        <v>60008</v>
      </c>
      <c r="AA19" s="200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6" t="s">
        <v>2068</v>
      </c>
      <c r="B21" s="1987"/>
      <c r="C21" s="1987"/>
      <c r="D21" s="1987"/>
      <c r="E21" s="1987"/>
      <c r="F21" s="1987"/>
      <c r="G21" s="1987"/>
      <c r="H21" s="1988"/>
      <c r="I21" s="2012" t="s">
        <v>678</v>
      </c>
      <c r="J21" s="1975"/>
      <c r="K21" s="1975"/>
      <c r="L21" s="1975"/>
      <c r="M21" s="1975"/>
      <c r="N21" s="1975"/>
      <c r="O21" s="1975"/>
      <c r="P21" s="1975"/>
      <c r="Q21" s="1975"/>
      <c r="R21" s="1975"/>
      <c r="S21" s="1976"/>
      <c r="T21" s="1954" t="s">
        <v>2074</v>
      </c>
      <c r="U21" s="1955"/>
      <c r="V21" s="1955"/>
      <c r="W21" s="1955"/>
      <c r="X21" s="1968" t="s">
        <v>2075</v>
      </c>
      <c r="Y21" s="1969"/>
      <c r="Z21" s="1969"/>
      <c r="AA21" s="1970"/>
    </row>
    <row r="22" spans="1:27" ht="13.5" customHeight="1" x14ac:dyDescent="0.2">
      <c r="A22" s="87" t="s">
        <v>531</v>
      </c>
      <c r="B22" s="59"/>
      <c r="C22" s="59"/>
      <c r="D22" s="59"/>
      <c r="E22" s="59"/>
      <c r="F22" s="59"/>
      <c r="G22" s="59"/>
      <c r="H22" s="60"/>
      <c r="I22" s="2013" t="s">
        <v>1429</v>
      </c>
      <c r="J22" s="2014"/>
      <c r="K22" s="2014"/>
      <c r="L22" s="2014"/>
      <c r="M22" s="2014"/>
      <c r="N22" s="2014"/>
      <c r="O22" s="2014"/>
      <c r="P22" s="2014"/>
      <c r="Q22" s="2014"/>
      <c r="R22" s="2014"/>
      <c r="S22" s="2015"/>
      <c r="T22" s="85" t="s">
        <v>1516</v>
      </c>
      <c r="U22" s="51"/>
      <c r="V22" s="72"/>
      <c r="W22" s="51"/>
      <c r="X22" s="160" t="s">
        <v>1318</v>
      </c>
      <c r="Z22" s="45"/>
      <c r="AA22" s="46"/>
    </row>
    <row r="23" spans="1:27" ht="13.5" customHeight="1" x14ac:dyDescent="0.2">
      <c r="A23" s="2009"/>
      <c r="B23" s="2010"/>
      <c r="C23" s="2010"/>
      <c r="D23" s="2010"/>
      <c r="E23" s="2010"/>
      <c r="F23" s="2010"/>
      <c r="G23" s="2010"/>
      <c r="H23" s="2011"/>
      <c r="T23" s="1949" t="s">
        <v>2106</v>
      </c>
      <c r="U23" s="1950"/>
      <c r="V23" s="1950"/>
      <c r="W23" s="1950"/>
      <c r="X23" s="1965">
        <v>43790</v>
      </c>
      <c r="Y23" s="1966"/>
      <c r="Z23" s="1966"/>
      <c r="AA23" s="1967"/>
    </row>
    <row r="24" spans="1:27" ht="14.1" customHeight="1" x14ac:dyDescent="0.2">
      <c r="A24" s="88" t="s">
        <v>677</v>
      </c>
      <c r="B24" s="49"/>
      <c r="C24" s="49"/>
      <c r="D24" s="49"/>
      <c r="E24" s="49"/>
      <c r="F24" s="49"/>
      <c r="G24" s="49"/>
      <c r="H24" s="61"/>
      <c r="J24" s="2052">
        <f>IF(B5="x",IF(AUDITCHECK!D29="AFR form Incomplete.","",IF(AUDITCHECK!D29="Deficit reduction plan is required.","School District must complete a deficit reduction plan in the 2019-2020 Budget",)),"")</f>
        <v>0</v>
      </c>
      <c r="K24" s="2052"/>
      <c r="L24" s="2052"/>
      <c r="M24" s="2052"/>
      <c r="N24" s="2052"/>
      <c r="O24" s="2052"/>
      <c r="P24" s="2052"/>
      <c r="Q24" s="2052"/>
      <c r="R24" s="2052"/>
      <c r="S24" s="2053"/>
      <c r="T24" s="105" t="s">
        <v>531</v>
      </c>
      <c r="U24" s="106"/>
      <c r="V24" s="106"/>
      <c r="W24" s="106"/>
      <c r="X24" s="107"/>
      <c r="Y24" s="107"/>
      <c r="Z24" s="107"/>
      <c r="AA24" s="108"/>
    </row>
    <row r="25" spans="1:27" ht="14.1" customHeight="1" x14ac:dyDescent="0.2">
      <c r="A25" s="1986">
        <v>60060</v>
      </c>
      <c r="B25" s="1987"/>
      <c r="C25" s="1987"/>
      <c r="D25" s="1987"/>
      <c r="E25" s="1987"/>
      <c r="F25" s="1987"/>
      <c r="G25" s="1987"/>
      <c r="H25" s="1988"/>
      <c r="I25" s="113"/>
      <c r="J25" s="2054"/>
      <c r="K25" s="2054"/>
      <c r="L25" s="2054"/>
      <c r="M25" s="2054"/>
      <c r="N25" s="2054"/>
      <c r="O25" s="2054"/>
      <c r="P25" s="2054"/>
      <c r="Q25" s="2054"/>
      <c r="R25" s="2054"/>
      <c r="S25" s="2055"/>
      <c r="T25" s="1946" t="s">
        <v>2076</v>
      </c>
      <c r="U25" s="1947"/>
      <c r="V25" s="1947"/>
      <c r="W25" s="1947"/>
      <c r="X25" s="1947"/>
      <c r="Y25" s="1947"/>
      <c r="Z25" s="1947"/>
      <c r="AA25" s="19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5" t="s">
        <v>1511</v>
      </c>
      <c r="J27" s="2017"/>
      <c r="K27" s="2017"/>
      <c r="L27" s="2017"/>
      <c r="M27" s="2017"/>
      <c r="N27" s="2017"/>
      <c r="O27" s="2017"/>
      <c r="P27" s="2017"/>
      <c r="Q27" s="2017"/>
      <c r="R27" s="2017"/>
      <c r="S27" s="201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0"/>
      <c r="Q35" s="1987"/>
      <c r="R35" s="198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9"/>
      <c r="B38" s="2020"/>
      <c r="C38" s="2020"/>
      <c r="D38" s="2020"/>
      <c r="E38" s="2020"/>
      <c r="F38" s="1987"/>
      <c r="G38" s="1987"/>
      <c r="H38" s="1988"/>
      <c r="I38" s="2039"/>
      <c r="J38" s="1958"/>
      <c r="K38" s="1958"/>
      <c r="L38" s="1958"/>
      <c r="M38" s="1958"/>
      <c r="N38" s="1958"/>
      <c r="O38" s="1958"/>
      <c r="P38" s="1959"/>
      <c r="Q38" s="1959"/>
      <c r="R38" s="1959"/>
      <c r="S38" s="1960"/>
      <c r="T38" s="1957"/>
      <c r="U38" s="1958"/>
      <c r="V38" s="1958"/>
      <c r="W38" s="1958"/>
      <c r="X38" s="1959"/>
      <c r="Y38" s="1959"/>
      <c r="Z38" s="1959"/>
      <c r="AA38" s="1960"/>
    </row>
    <row r="39" spans="1:27" ht="12" customHeight="1" x14ac:dyDescent="0.2">
      <c r="A39" s="2043" t="s">
        <v>531</v>
      </c>
      <c r="B39" s="2044"/>
      <c r="C39" s="72"/>
      <c r="D39" s="69"/>
      <c r="E39" s="69"/>
      <c r="F39" s="79"/>
      <c r="G39" s="69"/>
      <c r="H39" s="56"/>
      <c r="I39" s="2043" t="s">
        <v>531</v>
      </c>
      <c r="J39" s="2044"/>
      <c r="K39" s="2044"/>
      <c r="L39" s="2044"/>
      <c r="M39" s="2044"/>
      <c r="N39" s="67"/>
      <c r="O39" s="72"/>
      <c r="P39" s="72"/>
      <c r="Q39" s="78"/>
      <c r="R39" s="72"/>
      <c r="S39" s="56"/>
      <c r="T39" s="72" t="s">
        <v>531</v>
      </c>
      <c r="U39" s="51"/>
      <c r="V39" s="72"/>
      <c r="W39" s="50"/>
      <c r="X39" s="78"/>
      <c r="Y39" s="45"/>
      <c r="Z39" s="45"/>
      <c r="AA39" s="46"/>
    </row>
    <row r="40" spans="1:27" ht="13.5" customHeight="1" x14ac:dyDescent="0.2">
      <c r="A40" s="2046"/>
      <c r="B40" s="2047"/>
      <c r="C40" s="2048"/>
      <c r="D40" s="2048"/>
      <c r="E40" s="2048"/>
      <c r="F40" s="2049"/>
      <c r="G40" s="2049"/>
      <c r="H40" s="2050"/>
      <c r="I40" s="1961"/>
      <c r="J40" s="1963"/>
      <c r="K40" s="1963"/>
      <c r="L40" s="1963"/>
      <c r="M40" s="1963"/>
      <c r="N40" s="1963"/>
      <c r="O40" s="1963"/>
      <c r="P40" s="1963"/>
      <c r="Q40" s="1963"/>
      <c r="R40" s="1963"/>
      <c r="S40" s="1964"/>
      <c r="T40" s="1961"/>
      <c r="U40" s="1962"/>
      <c r="V40" s="1963"/>
      <c r="W40" s="1963"/>
      <c r="X40" s="1963"/>
      <c r="Y40" s="1963"/>
      <c r="Z40" s="1963"/>
      <c r="AA40" s="196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6"/>
      <c r="B42" s="2037"/>
      <c r="C42" s="2038"/>
      <c r="D42" s="2051"/>
      <c r="E42" s="2037"/>
      <c r="F42" s="2037"/>
      <c r="G42" s="2037"/>
      <c r="H42" s="2038"/>
      <c r="I42" s="1956"/>
      <c r="J42" s="1952"/>
      <c r="K42" s="1952"/>
      <c r="L42" s="1952"/>
      <c r="M42" s="1952"/>
      <c r="N42" s="1952"/>
      <c r="O42" s="1953"/>
      <c r="P42" s="1951"/>
      <c r="Q42" s="1952"/>
      <c r="R42" s="1952"/>
      <c r="S42" s="1953"/>
      <c r="T42" s="1956"/>
      <c r="U42" s="1952"/>
      <c r="V42" s="1952"/>
      <c r="W42" s="1953"/>
      <c r="X42" s="1951"/>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0"/>
      <c r="B44" s="2041"/>
      <c r="C44" s="2041"/>
      <c r="D44" s="2041"/>
      <c r="E44" s="2041"/>
      <c r="F44" s="2041"/>
      <c r="G44" s="2041"/>
      <c r="H44" s="2042"/>
      <c r="I44" s="2032"/>
      <c r="J44" s="2034"/>
      <c r="K44" s="2034"/>
      <c r="L44" s="2034"/>
      <c r="M44" s="2034"/>
      <c r="N44" s="2034"/>
      <c r="O44" s="2034"/>
      <c r="P44" s="2034"/>
      <c r="Q44" s="2034"/>
      <c r="R44" s="2034"/>
      <c r="S44" s="2035"/>
      <c r="T44" s="2032"/>
      <c r="U44" s="2033"/>
      <c r="V44" s="2033"/>
      <c r="W44" s="2033"/>
      <c r="X44" s="2033"/>
      <c r="Y44" s="2033"/>
      <c r="Z44" s="2034"/>
      <c r="AA44" s="203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topLeftCell="A5" colorId="8" zoomScale="110" zoomScaleNormal="110" workbookViewId="0">
      <selection activeCell="A15" sqref="A15:H1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9" t="s">
        <v>1802</v>
      </c>
      <c r="B2" s="1528" t="s">
        <v>1949</v>
      </c>
      <c r="C2" s="714" t="s">
        <v>1950</v>
      </c>
      <c r="D2" s="714" t="s">
        <v>1951</v>
      </c>
      <c r="E2" s="714" t="s">
        <v>1952</v>
      </c>
      <c r="F2" s="714" t="s">
        <v>1953</v>
      </c>
    </row>
    <row r="3" spans="1:6" ht="12" customHeight="1" x14ac:dyDescent="0.2">
      <c r="A3" s="2190"/>
      <c r="B3" s="1525"/>
      <c r="C3" s="1526"/>
      <c r="D3" s="1527" t="s">
        <v>256</v>
      </c>
      <c r="E3" s="1526"/>
      <c r="F3" s="1527" t="s">
        <v>257</v>
      </c>
    </row>
    <row r="4" spans="1:6" ht="13.7" customHeight="1" x14ac:dyDescent="0.2">
      <c r="A4" s="715" t="s">
        <v>1155</v>
      </c>
      <c r="B4" s="1749">
        <f>'Revenues 9-14'!C5</f>
        <v>18522093</v>
      </c>
      <c r="C4" s="1524">
        <v>9950411</v>
      </c>
      <c r="D4" s="1752">
        <f>B4-C4</f>
        <v>8571682</v>
      </c>
      <c r="E4" s="1524">
        <v>20279778</v>
      </c>
      <c r="F4" s="1752">
        <f>E4-C4</f>
        <v>10329367</v>
      </c>
    </row>
    <row r="5" spans="1:6" ht="13.7" customHeight="1" x14ac:dyDescent="0.2">
      <c r="A5" s="715" t="s">
        <v>870</v>
      </c>
      <c r="B5" s="1750">
        <f>'Revenues 9-14'!D5</f>
        <v>2289141</v>
      </c>
      <c r="C5" s="585">
        <v>1229773</v>
      </c>
      <c r="D5" s="1753">
        <f t="shared" ref="D5:D18" si="0">B5-C5</f>
        <v>1059368</v>
      </c>
      <c r="E5" s="585">
        <v>2506381</v>
      </c>
      <c r="F5" s="1753">
        <f>E5-C5</f>
        <v>1276608</v>
      </c>
    </row>
    <row r="6" spans="1:6" ht="13.7" customHeight="1" x14ac:dyDescent="0.2">
      <c r="A6" s="715" t="s">
        <v>411</v>
      </c>
      <c r="B6" s="1750">
        <f>'Revenues 9-14'!E5</f>
        <v>2832914</v>
      </c>
      <c r="C6" s="585">
        <v>1507390</v>
      </c>
      <c r="D6" s="1753">
        <f t="shared" si="0"/>
        <v>1325524</v>
      </c>
      <c r="E6" s="585">
        <v>3072187</v>
      </c>
      <c r="F6" s="1753">
        <f t="shared" ref="F6:F18" si="1">E6-C6</f>
        <v>1564797</v>
      </c>
    </row>
    <row r="7" spans="1:6" ht="13.7" customHeight="1" x14ac:dyDescent="0.2">
      <c r="A7" s="715" t="s">
        <v>155</v>
      </c>
      <c r="B7" s="1750">
        <f>'Revenues 9-14'!F5</f>
        <v>1124972</v>
      </c>
      <c r="C7" s="585">
        <v>604438</v>
      </c>
      <c r="D7" s="1753">
        <f t="shared" si="0"/>
        <v>520534</v>
      </c>
      <c r="E7" s="585">
        <v>1231896</v>
      </c>
      <c r="F7" s="1753">
        <f t="shared" si="1"/>
        <v>627458</v>
      </c>
    </row>
    <row r="8" spans="1:6" ht="13.7" customHeight="1" x14ac:dyDescent="0.2">
      <c r="A8" s="715" t="s">
        <v>1179</v>
      </c>
      <c r="B8" s="1750">
        <f>'Revenues 9-14'!G5</f>
        <v>444893</v>
      </c>
      <c r="C8" s="585">
        <v>93290</v>
      </c>
      <c r="D8" s="1753">
        <f t="shared" si="0"/>
        <v>351603</v>
      </c>
      <c r="E8" s="585">
        <v>190132</v>
      </c>
      <c r="F8" s="1753">
        <f t="shared" si="1"/>
        <v>96842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226010</v>
      </c>
      <c r="C16" s="585">
        <v>267237</v>
      </c>
      <c r="D16" s="1753">
        <f t="shared" si="0"/>
        <v>-41227</v>
      </c>
      <c r="E16" s="585">
        <v>544652</v>
      </c>
      <c r="F16" s="1753">
        <f t="shared" si="1"/>
        <v>277415</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52176</v>
      </c>
      <c r="C18" s="585">
        <v>26181</v>
      </c>
      <c r="D18" s="1753">
        <f t="shared" si="0"/>
        <v>25995</v>
      </c>
      <c r="E18" s="585">
        <v>53359</v>
      </c>
      <c r="F18" s="1753">
        <f t="shared" si="1"/>
        <v>27178</v>
      </c>
    </row>
    <row r="19" spans="1:6" ht="13.7" customHeight="1" thickBot="1" x14ac:dyDescent="0.25">
      <c r="A19" s="1754" t="s">
        <v>1161</v>
      </c>
      <c r="B19" s="1751">
        <f>SUM(B4:B18)</f>
        <v>25492199</v>
      </c>
      <c r="C19" s="1751">
        <f>SUM(C4:C18)</f>
        <v>13678720</v>
      </c>
      <c r="D19" s="1751">
        <f>SUM(D4:D18)</f>
        <v>11813479</v>
      </c>
      <c r="E19" s="1751">
        <f>SUM(E4:E18)</f>
        <v>27878385</v>
      </c>
      <c r="F19" s="1751">
        <f>SUM(F4:F18)</f>
        <v>14199665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C29" colorId="8" zoomScale="110" zoomScaleNormal="110" workbookViewId="0">
      <selection activeCell="A15" sqref="A15:H1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5" t="s">
        <v>629</v>
      </c>
      <c r="B1" s="2196"/>
      <c r="C1" s="721"/>
    </row>
    <row r="2" spans="1:7" ht="33.75" x14ac:dyDescent="0.2">
      <c r="A2" s="2204" t="s">
        <v>1802</v>
      </c>
      <c r="B2" s="2205"/>
      <c r="C2" s="1884" t="s">
        <v>1954</v>
      </c>
      <c r="D2" s="723" t="s">
        <v>1955</v>
      </c>
      <c r="E2" s="723" t="s">
        <v>1956</v>
      </c>
      <c r="F2" s="1884" t="s">
        <v>1957</v>
      </c>
    </row>
    <row r="3" spans="1:7" ht="15.75" customHeight="1" x14ac:dyDescent="0.2">
      <c r="A3" s="2208" t="s">
        <v>1114</v>
      </c>
      <c r="B3" s="2209"/>
      <c r="C3" s="2197"/>
      <c r="D3" s="2198"/>
      <c r="E3" s="2198"/>
      <c r="F3" s="2199"/>
    </row>
    <row r="4" spans="1:7" ht="12.75" customHeight="1" thickBot="1" x14ac:dyDescent="0.25">
      <c r="A4" s="2206" t="s">
        <v>630</v>
      </c>
      <c r="B4" s="2207"/>
      <c r="C4" s="581"/>
      <c r="D4" s="581"/>
      <c r="E4" s="581"/>
      <c r="F4" s="1755">
        <f>SUM(C4+D4)-E4</f>
        <v>0</v>
      </c>
    </row>
    <row r="5" spans="1:7" ht="15.75" customHeight="1" thickTop="1" x14ac:dyDescent="0.2">
      <c r="A5" s="2191" t="s">
        <v>1110</v>
      </c>
      <c r="B5" s="2192"/>
      <c r="C5" s="2200"/>
      <c r="D5" s="2201"/>
      <c r="E5" s="2201"/>
      <c r="F5" s="220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3" t="s">
        <v>1111</v>
      </c>
      <c r="B16" s="2192"/>
      <c r="C16" s="2200"/>
      <c r="D16" s="2201"/>
      <c r="E16" s="2201"/>
      <c r="F16" s="2202"/>
    </row>
    <row r="17" spans="1:11" ht="12.75" customHeight="1" thickBot="1" x14ac:dyDescent="0.25">
      <c r="A17" s="2216" t="s">
        <v>64</v>
      </c>
      <c r="B17" s="2217"/>
      <c r="C17" s="726"/>
      <c r="D17" s="585"/>
      <c r="E17" s="726"/>
      <c r="F17" s="1755">
        <f>SUM(C17+D17)-E17</f>
        <v>0</v>
      </c>
    </row>
    <row r="18" spans="1:11" ht="12.75" customHeight="1" thickTop="1" thickBot="1" x14ac:dyDescent="0.25">
      <c r="A18" s="2216" t="s">
        <v>6</v>
      </c>
      <c r="B18" s="2217"/>
      <c r="C18" s="726"/>
      <c r="D18" s="585"/>
      <c r="E18" s="726"/>
      <c r="F18" s="1755">
        <f>SUM(C18+D18)-E18</f>
        <v>0</v>
      </c>
    </row>
    <row r="19" spans="1:11" ht="12.75" customHeight="1" thickTop="1" thickBot="1" x14ac:dyDescent="0.25">
      <c r="A19" s="2216" t="s">
        <v>388</v>
      </c>
      <c r="B19" s="2217"/>
      <c r="C19" s="726"/>
      <c r="D19" s="585"/>
      <c r="E19" s="726"/>
      <c r="F19" s="1755">
        <f>SUM(C19+D19)-E19</f>
        <v>0</v>
      </c>
    </row>
    <row r="20" spans="1:11" ht="12.75" customHeight="1" thickTop="1" thickBot="1" x14ac:dyDescent="0.25">
      <c r="A20" s="2216" t="s">
        <v>448</v>
      </c>
      <c r="B20" s="2217"/>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218" t="s">
        <v>1112</v>
      </c>
      <c r="B22" s="2192"/>
      <c r="C22" s="2200"/>
      <c r="D22" s="2201"/>
      <c r="E22" s="2201"/>
      <c r="F22" s="2202"/>
    </row>
    <row r="23" spans="1:11" ht="13.5" thickBot="1" x14ac:dyDescent="0.25">
      <c r="A23" s="2206" t="s">
        <v>633</v>
      </c>
      <c r="B23" s="2207"/>
      <c r="C23" s="581"/>
      <c r="D23" s="581"/>
      <c r="E23" s="581"/>
      <c r="F23" s="1755">
        <f>SUM(C23+D23)-E23</f>
        <v>0</v>
      </c>
      <c r="G23" s="552"/>
    </row>
    <row r="24" spans="1:11" ht="15.75" customHeight="1" thickTop="1" x14ac:dyDescent="0.2">
      <c r="A24" s="2218" t="s">
        <v>1113</v>
      </c>
      <c r="B24" s="2192"/>
      <c r="C24" s="2200"/>
      <c r="D24" s="2201"/>
      <c r="E24" s="2201"/>
      <c r="F24" s="2202"/>
    </row>
    <row r="25" spans="1:11" ht="13.5" thickBot="1" x14ac:dyDescent="0.25">
      <c r="A25" s="2206" t="s">
        <v>634</v>
      </c>
      <c r="B25" s="2207"/>
      <c r="C25" s="581"/>
      <c r="D25" s="581"/>
      <c r="E25" s="581"/>
      <c r="F25" s="1755">
        <f>SUM(C25+D25)-E25</f>
        <v>0</v>
      </c>
      <c r="G25" s="552"/>
    </row>
    <row r="26" spans="1:11" ht="15.75" customHeight="1" thickTop="1" x14ac:dyDescent="0.2">
      <c r="A26" s="2191" t="s">
        <v>657</v>
      </c>
      <c r="B26" s="2192"/>
      <c r="C26" s="727"/>
      <c r="D26" s="727"/>
      <c r="E26" s="727"/>
      <c r="F26" s="728"/>
    </row>
    <row r="27" spans="1:11" ht="13.5" thickBot="1" x14ac:dyDescent="0.25">
      <c r="A27" s="2193" t="s">
        <v>1070</v>
      </c>
      <c r="B27" s="2194"/>
      <c r="C27" s="585"/>
      <c r="D27" s="585"/>
      <c r="E27" s="585"/>
      <c r="F27" s="1755">
        <f>SUM(C27+D27)-E27</f>
        <v>0</v>
      </c>
      <c r="G27" s="552"/>
    </row>
    <row r="28" spans="1:11" ht="7.5" customHeight="1" thickTop="1" x14ac:dyDescent="0.2">
      <c r="A28" s="593"/>
    </row>
    <row r="29" spans="1:11" ht="23.25" customHeight="1" x14ac:dyDescent="0.2">
      <c r="A29" s="2219" t="s">
        <v>582</v>
      </c>
      <c r="B29" s="2196"/>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2077</v>
      </c>
      <c r="B31" s="733">
        <v>42332</v>
      </c>
      <c r="C31" s="734">
        <v>7835000</v>
      </c>
      <c r="D31" s="735">
        <v>3</v>
      </c>
      <c r="E31" s="734">
        <v>7835000</v>
      </c>
      <c r="F31" s="734">
        <v>0</v>
      </c>
      <c r="G31" s="734"/>
      <c r="H31" s="734"/>
      <c r="I31" s="1756">
        <f>((E31+F31)-H31)+G31</f>
        <v>7835000</v>
      </c>
      <c r="J31" s="734">
        <v>6520962</v>
      </c>
      <c r="K31" s="736"/>
    </row>
    <row r="32" spans="1:11" ht="12" customHeight="1" x14ac:dyDescent="0.2">
      <c r="A32" s="732" t="s">
        <v>2078</v>
      </c>
      <c r="B32" s="733">
        <v>42647</v>
      </c>
      <c r="C32" s="734">
        <v>10840000</v>
      </c>
      <c r="D32" s="735">
        <v>3</v>
      </c>
      <c r="E32" s="734">
        <v>8425000</v>
      </c>
      <c r="F32" s="734">
        <v>0</v>
      </c>
      <c r="G32" s="734"/>
      <c r="H32" s="734">
        <v>2515000</v>
      </c>
      <c r="I32" s="1756">
        <f>((E32+F32)-H32)+G32</f>
        <v>5910000</v>
      </c>
      <c r="J32" s="734">
        <v>4918709</v>
      </c>
      <c r="K32" s="736"/>
    </row>
    <row r="33" spans="1:11" ht="12" customHeight="1" x14ac:dyDescent="0.2">
      <c r="A33" s="732" t="s">
        <v>2079</v>
      </c>
      <c r="B33" s="733" t="s">
        <v>2080</v>
      </c>
      <c r="C33" s="734"/>
      <c r="D33" s="735">
        <v>7</v>
      </c>
      <c r="E33" s="734">
        <v>433190</v>
      </c>
      <c r="F33" s="734">
        <v>477408</v>
      </c>
      <c r="G33" s="734">
        <v>-224189</v>
      </c>
      <c r="H33" s="734"/>
      <c r="I33" s="1756">
        <f t="shared" ref="I33:I48" si="1">((E33+F33)-H33)+G33</f>
        <v>686409</v>
      </c>
      <c r="J33" s="734">
        <v>686409</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18675000</v>
      </c>
      <c r="D49" s="745"/>
      <c r="E49" s="1756">
        <f t="shared" ref="E49:J49" si="2">SUM(E31:E48)</f>
        <v>16693190</v>
      </c>
      <c r="F49" s="1756">
        <f t="shared" si="2"/>
        <v>477408</v>
      </c>
      <c r="G49" s="1756">
        <f t="shared" si="2"/>
        <v>-224189</v>
      </c>
      <c r="H49" s="1756">
        <f t="shared" si="2"/>
        <v>2515000</v>
      </c>
      <c r="I49" s="1756">
        <f t="shared" si="2"/>
        <v>14431409</v>
      </c>
      <c r="J49" s="1756">
        <f t="shared" si="2"/>
        <v>12126080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0" t="s">
        <v>584</v>
      </c>
      <c r="C52" s="2211"/>
      <c r="D52" s="2211"/>
      <c r="E52" s="749" t="s">
        <v>845</v>
      </c>
      <c r="F52" s="2212"/>
      <c r="G52" s="2213"/>
      <c r="H52" s="736"/>
      <c r="I52" s="736"/>
      <c r="J52" s="746"/>
    </row>
    <row r="53" spans="1:11" ht="11.25" customHeight="1" x14ac:dyDescent="0.2">
      <c r="A53" s="750" t="s">
        <v>913</v>
      </c>
      <c r="B53" s="751" t="s">
        <v>951</v>
      </c>
      <c r="C53" s="746"/>
      <c r="D53" s="737"/>
      <c r="E53" s="749" t="s">
        <v>497</v>
      </c>
      <c r="F53" s="2214"/>
      <c r="G53" s="2215"/>
      <c r="H53" s="736"/>
      <c r="I53" s="736"/>
      <c r="J53" s="746"/>
    </row>
    <row r="54" spans="1:11" ht="11.25" customHeight="1" x14ac:dyDescent="0.2">
      <c r="A54" s="752" t="s">
        <v>914</v>
      </c>
      <c r="B54" s="747" t="s">
        <v>952</v>
      </c>
      <c r="C54" s="746"/>
      <c r="D54" s="737"/>
      <c r="E54" s="749" t="s">
        <v>498</v>
      </c>
      <c r="F54" s="2214"/>
      <c r="G54" s="221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topLeftCell="A25" colorId="8" zoomScale="110" zoomScaleNormal="110" workbookViewId="0">
      <selection activeCell="A15" sqref="A15: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856</v>
      </c>
      <c r="B1" s="2245"/>
      <c r="C1" s="2245"/>
      <c r="D1" s="2245"/>
      <c r="E1" s="2245"/>
      <c r="F1" s="2245"/>
      <c r="G1" s="2246"/>
      <c r="H1" s="1530"/>
      <c r="I1" s="760"/>
      <c r="J1" s="433"/>
    </row>
    <row r="2" spans="1:11" ht="26.25" x14ac:dyDescent="0.2">
      <c r="A2" s="2223" t="s">
        <v>1677</v>
      </c>
      <c r="B2" s="2224"/>
      <c r="C2" s="2224"/>
      <c r="D2" s="2224"/>
      <c r="E2" s="2225"/>
      <c r="F2" s="761" t="s">
        <v>904</v>
      </c>
      <c r="G2" s="762" t="s">
        <v>1674</v>
      </c>
      <c r="H2" s="762" t="s">
        <v>410</v>
      </c>
      <c r="I2" s="762" t="s">
        <v>1158</v>
      </c>
      <c r="J2" s="762" t="s">
        <v>1812</v>
      </c>
      <c r="K2" s="762" t="s">
        <v>138</v>
      </c>
    </row>
    <row r="3" spans="1:11" x14ac:dyDescent="0.2">
      <c r="A3" s="2226" t="s">
        <v>1962</v>
      </c>
      <c r="B3" s="2227"/>
      <c r="C3" s="2227"/>
      <c r="D3" s="2227"/>
      <c r="E3" s="2228"/>
      <c r="F3" s="763"/>
      <c r="G3" s="764"/>
      <c r="H3" s="764"/>
      <c r="I3" s="764"/>
      <c r="J3" s="765"/>
      <c r="K3" s="765"/>
    </row>
    <row r="4" spans="1:11" x14ac:dyDescent="0.2">
      <c r="A4" s="2229" t="s">
        <v>369</v>
      </c>
      <c r="B4" s="2230"/>
      <c r="C4" s="2230"/>
      <c r="D4" s="2230"/>
      <c r="E4" s="2211"/>
      <c r="F4" s="766"/>
      <c r="G4" s="767"/>
      <c r="H4" s="768"/>
      <c r="I4" s="767"/>
      <c r="J4" s="769"/>
      <c r="K4" s="769"/>
    </row>
    <row r="5" spans="1:11" x14ac:dyDescent="0.2">
      <c r="A5" s="2247" t="s">
        <v>1069</v>
      </c>
      <c r="B5" s="2220"/>
      <c r="C5" s="2220"/>
      <c r="D5" s="2220"/>
      <c r="E5" s="2248"/>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7" t="s">
        <v>1813</v>
      </c>
      <c r="B10" s="2220"/>
      <c r="C10" s="2220"/>
      <c r="D10" s="2220"/>
      <c r="E10" s="2249"/>
      <c r="F10" s="783" t="s">
        <v>862</v>
      </c>
      <c r="G10" s="782"/>
      <c r="H10" s="784"/>
      <c r="I10" s="764"/>
      <c r="J10" s="765"/>
      <c r="K10" s="765"/>
    </row>
    <row r="11" spans="1:11" x14ac:dyDescent="0.2">
      <c r="A11" s="2247" t="s">
        <v>160</v>
      </c>
      <c r="B11" s="2220"/>
      <c r="C11" s="2220"/>
      <c r="D11" s="2220"/>
      <c r="E11" s="2248"/>
      <c r="F11" s="770" t="s">
        <v>852</v>
      </c>
      <c r="G11" s="771"/>
      <c r="H11" s="764"/>
      <c r="I11" s="764"/>
      <c r="J11" s="765"/>
      <c r="K11" s="773"/>
    </row>
    <row r="12" spans="1:11" ht="13.5" thickBot="1" x14ac:dyDescent="0.25">
      <c r="A12" s="2237" t="s">
        <v>905</v>
      </c>
      <c r="B12" s="2238"/>
      <c r="C12" s="2238"/>
      <c r="D12" s="2238"/>
      <c r="E12" s="2239"/>
      <c r="F12" s="1757"/>
      <c r="G12" s="1758">
        <f>SUM(G5:G11)</f>
        <v>0</v>
      </c>
      <c r="H12" s="1758">
        <f>SUM(H5:H11)</f>
        <v>0</v>
      </c>
      <c r="I12" s="1758">
        <f>SUM(I5:I11)</f>
        <v>0</v>
      </c>
      <c r="J12" s="1758">
        <f>SUM(J5:J11)</f>
        <v>0</v>
      </c>
      <c r="K12" s="1758">
        <f>SUM(K5:K11)</f>
        <v>0</v>
      </c>
    </row>
    <row r="13" spans="1:11" ht="13.5" thickTop="1" x14ac:dyDescent="0.2">
      <c r="A13" s="2231" t="s">
        <v>370</v>
      </c>
      <c r="B13" s="2232"/>
      <c r="C13" s="2232"/>
      <c r="D13" s="2232"/>
      <c r="E13" s="2233"/>
      <c r="F13" s="785"/>
      <c r="G13" s="786"/>
      <c r="H13" s="787"/>
      <c r="I13" s="788"/>
      <c r="J13" s="788"/>
      <c r="K13" s="788"/>
    </row>
    <row r="14" spans="1:11" x14ac:dyDescent="0.2">
      <c r="A14" s="2253" t="s">
        <v>456</v>
      </c>
      <c r="B14" s="2253"/>
      <c r="C14" s="2253"/>
      <c r="D14" s="2253"/>
      <c r="E14" s="2254"/>
      <c r="F14" s="789" t="s">
        <v>854</v>
      </c>
      <c r="G14" s="782"/>
      <c r="H14" s="764"/>
      <c r="I14" s="771"/>
      <c r="J14" s="773"/>
      <c r="K14" s="765"/>
    </row>
    <row r="15" spans="1:11" x14ac:dyDescent="0.2">
      <c r="A15" s="2220" t="s">
        <v>4</v>
      </c>
      <c r="B15" s="2220"/>
      <c r="C15" s="2220"/>
      <c r="D15" s="2220"/>
      <c r="E15" s="2248"/>
      <c r="F15" s="789" t="s">
        <v>855</v>
      </c>
      <c r="G15" s="771"/>
      <c r="H15" s="764"/>
      <c r="I15" s="764"/>
      <c r="J15" s="765"/>
      <c r="K15" s="765"/>
    </row>
    <row r="16" spans="1:11" x14ac:dyDescent="0.2">
      <c r="A16" s="2220" t="s">
        <v>298</v>
      </c>
      <c r="B16" s="2220"/>
      <c r="C16" s="2220"/>
      <c r="D16" s="2220"/>
      <c r="E16" s="2248"/>
      <c r="F16" s="789" t="s">
        <v>923</v>
      </c>
      <c r="G16" s="772"/>
      <c r="H16" s="767"/>
      <c r="I16" s="767"/>
      <c r="J16" s="769"/>
      <c r="K16" s="769"/>
    </row>
    <row r="17" spans="1:11" x14ac:dyDescent="0.2">
      <c r="A17" s="2242" t="s">
        <v>935</v>
      </c>
      <c r="B17" s="2242"/>
      <c r="C17" s="2242"/>
      <c r="D17" s="2242"/>
      <c r="E17" s="2243"/>
      <c r="F17" s="790"/>
      <c r="G17" s="791"/>
      <c r="H17" s="792"/>
      <c r="I17" s="792"/>
      <c r="J17" s="793"/>
      <c r="K17" s="794"/>
    </row>
    <row r="18" spans="1:11" x14ac:dyDescent="0.2">
      <c r="A18" s="2234" t="s">
        <v>368</v>
      </c>
      <c r="B18" s="2235"/>
      <c r="C18" s="2235"/>
      <c r="D18" s="2235"/>
      <c r="E18" s="2236"/>
      <c r="F18" s="789" t="s">
        <v>932</v>
      </c>
      <c r="G18" s="782"/>
      <c r="H18" s="782"/>
      <c r="I18" s="782"/>
      <c r="J18" s="765"/>
      <c r="K18" s="795"/>
    </row>
    <row r="19" spans="1:11" ht="21.75" customHeight="1" x14ac:dyDescent="0.2">
      <c r="A19" s="2255" t="s">
        <v>1809</v>
      </c>
      <c r="B19" s="2255"/>
      <c r="C19" s="2255"/>
      <c r="D19" s="2255"/>
      <c r="E19" s="2256"/>
      <c r="F19" s="789" t="s">
        <v>933</v>
      </c>
      <c r="G19" s="782"/>
      <c r="H19" s="782"/>
      <c r="I19" s="782"/>
      <c r="J19" s="765"/>
      <c r="K19" s="795"/>
    </row>
    <row r="20" spans="1:11" x14ac:dyDescent="0.2">
      <c r="A20" s="2234" t="s">
        <v>1814</v>
      </c>
      <c r="B20" s="2235"/>
      <c r="C20" s="2235"/>
      <c r="D20" s="2235"/>
      <c r="E20" s="2236"/>
      <c r="F20" s="789" t="s">
        <v>934</v>
      </c>
      <c r="G20" s="782"/>
      <c r="H20" s="782"/>
      <c r="I20" s="782"/>
      <c r="J20" s="765"/>
      <c r="K20" s="795"/>
    </row>
    <row r="21" spans="1:11" ht="13.5" thickBot="1" x14ac:dyDescent="0.25">
      <c r="A21" s="2240" t="s">
        <v>638</v>
      </c>
      <c r="B21" s="2240"/>
      <c r="C21" s="2240"/>
      <c r="D21" s="2240"/>
      <c r="E21" s="2240"/>
      <c r="F21" s="1759"/>
      <c r="G21" s="792"/>
      <c r="H21" s="796"/>
      <c r="I21" s="796"/>
      <c r="J21" s="1760">
        <f>SUM(J18:J20)</f>
        <v>0</v>
      </c>
      <c r="K21" s="793"/>
    </row>
    <row r="22" spans="1:11" ht="13.5" thickTop="1" x14ac:dyDescent="0.2">
      <c r="A22" s="2220" t="s">
        <v>1815</v>
      </c>
      <c r="B22" s="2220"/>
      <c r="C22" s="2220"/>
      <c r="D22" s="2220"/>
      <c r="E22" s="2248"/>
      <c r="F22" s="789" t="s">
        <v>862</v>
      </c>
      <c r="G22" s="782"/>
      <c r="H22" s="764"/>
      <c r="I22" s="764"/>
      <c r="J22" s="797"/>
      <c r="K22" s="765"/>
    </row>
    <row r="23" spans="1:11" ht="13.5" thickBot="1" x14ac:dyDescent="0.25">
      <c r="A23" s="2241" t="s">
        <v>906</v>
      </c>
      <c r="B23" s="2240"/>
      <c r="C23" s="2240"/>
      <c r="D23" s="2240"/>
      <c r="E23" s="2240"/>
      <c r="F23" s="1761"/>
      <c r="G23" s="1758">
        <f>SUM(G14:G16,G21,G22)</f>
        <v>0</v>
      </c>
      <c r="H23" s="1758">
        <f>SUM(H14:H16,H21,H22)</f>
        <v>0</v>
      </c>
      <c r="I23" s="1758">
        <f>SUM(I14:I16,I21,I22)</f>
        <v>0</v>
      </c>
      <c r="J23" s="1758">
        <f>SUM(J14:J16,J21,J22)</f>
        <v>0</v>
      </c>
      <c r="K23" s="1758">
        <f>SUM(K14:K16,K21,K22)</f>
        <v>0</v>
      </c>
    </row>
    <row r="24" spans="1:11" ht="14.25" thickTop="1" thickBot="1" x14ac:dyDescent="0.25">
      <c r="A24" s="2241" t="s">
        <v>1963</v>
      </c>
      <c r="B24" s="2240"/>
      <c r="C24" s="2240"/>
      <c r="D24" s="2240"/>
      <c r="E24" s="2240"/>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0"/>
      <c r="I31" s="2251"/>
      <c r="J31" s="2251"/>
      <c r="K31" s="2251"/>
    </row>
    <row r="32" spans="1:11" x14ac:dyDescent="0.2">
      <c r="A32" s="809"/>
      <c r="B32" s="237"/>
      <c r="C32" s="237"/>
      <c r="D32" s="237"/>
      <c r="E32" s="805"/>
      <c r="F32" s="811" t="s">
        <v>540</v>
      </c>
      <c r="G32" s="764"/>
      <c r="H32" s="2252"/>
      <c r="I32" s="2251"/>
      <c r="J32" s="2251"/>
      <c r="K32" s="2251"/>
    </row>
    <row r="33" spans="1:11" ht="1.5" customHeight="1" x14ac:dyDescent="0.2">
      <c r="A33" s="812" t="s">
        <v>1169</v>
      </c>
      <c r="B33" s="364"/>
      <c r="C33" s="364"/>
      <c r="D33" s="364"/>
      <c r="E33" s="364"/>
      <c r="F33" s="364"/>
      <c r="G33" s="813"/>
      <c r="H33" s="2252"/>
      <c r="I33" s="2251"/>
      <c r="J33" s="2251"/>
      <c r="K33" s="225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105309</v>
      </c>
    </row>
    <row r="37" spans="1:11" x14ac:dyDescent="0.2">
      <c r="A37" s="820" t="s">
        <v>896</v>
      </c>
      <c r="B37" s="818"/>
      <c r="C37" s="818"/>
      <c r="D37" s="818"/>
      <c r="E37" s="818"/>
      <c r="F37" s="819"/>
      <c r="G37" s="765">
        <v>19891</v>
      </c>
    </row>
    <row r="38" spans="1:11" x14ac:dyDescent="0.2">
      <c r="A38" s="820" t="s">
        <v>993</v>
      </c>
      <c r="B38" s="818"/>
      <c r="C38" s="818"/>
      <c r="D38" s="818"/>
      <c r="E38" s="818"/>
      <c r="F38" s="819"/>
      <c r="G38" s="765">
        <v>95250</v>
      </c>
    </row>
    <row r="39" spans="1:11" x14ac:dyDescent="0.2">
      <c r="A39" s="820" t="s">
        <v>994</v>
      </c>
      <c r="B39" s="818"/>
      <c r="C39" s="818"/>
      <c r="D39" s="818"/>
      <c r="E39" s="818"/>
      <c r="F39" s="819"/>
      <c r="G39" s="765">
        <v>0</v>
      </c>
    </row>
    <row r="40" spans="1:11" x14ac:dyDescent="0.2">
      <c r="A40" s="820" t="s">
        <v>995</v>
      </c>
      <c r="B40" s="818"/>
      <c r="C40" s="818"/>
      <c r="D40" s="818"/>
      <c r="E40" s="818"/>
      <c r="F40" s="819"/>
      <c r="G40" s="765"/>
    </row>
    <row r="41" spans="1:11" x14ac:dyDescent="0.2">
      <c r="A41" s="2220" t="s">
        <v>541</v>
      </c>
      <c r="B41" s="2221"/>
      <c r="C41" s="2221"/>
      <c r="D41" s="2221"/>
      <c r="E41" s="2221"/>
      <c r="F41" s="222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topLeftCell="A3" colorId="8" zoomScaleNormal="100" workbookViewId="0">
      <selection activeCell="A15" sqref="A15:H1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1908</v>
      </c>
      <c r="B1" s="2260"/>
      <c r="C1" s="2261"/>
      <c r="D1" s="826"/>
      <c r="E1" s="827"/>
      <c r="F1" s="827"/>
      <c r="G1" s="828"/>
      <c r="H1" s="829"/>
      <c r="I1" s="830"/>
      <c r="J1" s="2257"/>
      <c r="K1" s="2258"/>
      <c r="L1" s="2258"/>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4698697</v>
      </c>
      <c r="D5" s="841"/>
      <c r="E5" s="841"/>
      <c r="F5" s="1760">
        <f>(C5+D5)-E5</f>
        <v>4698697</v>
      </c>
      <c r="G5" s="837"/>
      <c r="H5" s="842"/>
      <c r="I5" s="842"/>
      <c r="J5" s="842"/>
      <c r="K5" s="793"/>
      <c r="L5" s="1769">
        <f>F5-K5</f>
        <v>4698697</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49711215</v>
      </c>
      <c r="D8" s="844">
        <v>3652668</v>
      </c>
      <c r="E8" s="844"/>
      <c r="F8" s="1760">
        <f>(C8+D8)-E8</f>
        <v>53363883</v>
      </c>
      <c r="G8" s="843">
        <v>50</v>
      </c>
      <c r="H8" s="765">
        <v>16153160</v>
      </c>
      <c r="I8" s="765">
        <v>1331915</v>
      </c>
      <c r="J8" s="765"/>
      <c r="K8" s="1769">
        <f>(H8+I8)-J8</f>
        <v>17485075</v>
      </c>
      <c r="L8" s="1769">
        <f>F8-K8</f>
        <v>35878808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4045743</v>
      </c>
      <c r="D10" s="846">
        <v>11750</v>
      </c>
      <c r="E10" s="846"/>
      <c r="F10" s="1764">
        <f>(C10+D10)-E10</f>
        <v>4057493</v>
      </c>
      <c r="G10" s="843">
        <v>20</v>
      </c>
      <c r="H10" s="847">
        <v>2291287</v>
      </c>
      <c r="I10" s="847">
        <v>174117</v>
      </c>
      <c r="J10" s="847"/>
      <c r="K10" s="1769">
        <f>(H10+I10)-J10</f>
        <v>2465404</v>
      </c>
      <c r="L10" s="1769">
        <f>F10-K10</f>
        <v>1592089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c r="D12" s="844"/>
      <c r="E12" s="844"/>
      <c r="F12" s="1760">
        <f>(C12+D12)-E12</f>
        <v>0</v>
      </c>
      <c r="G12" s="843">
        <v>10</v>
      </c>
      <c r="H12" s="765"/>
      <c r="I12" s="765"/>
      <c r="J12" s="765"/>
      <c r="K12" s="1769">
        <f>(H12+I12)-J12</f>
        <v>0</v>
      </c>
      <c r="L12" s="1769">
        <f>F12-K12</f>
        <v>0</v>
      </c>
    </row>
    <row r="13" spans="1:14" ht="14.25" thickTop="1" thickBot="1" x14ac:dyDescent="0.25">
      <c r="A13" s="848" t="s">
        <v>1122</v>
      </c>
      <c r="B13" s="840">
        <v>252</v>
      </c>
      <c r="C13" s="844">
        <f>4349335+2458765</f>
        <v>6808100</v>
      </c>
      <c r="D13" s="844">
        <f>873238+477408</f>
        <v>1350646</v>
      </c>
      <c r="E13" s="844">
        <v>53949</v>
      </c>
      <c r="F13" s="1760">
        <f>(C13+D13)-E13</f>
        <v>8104797</v>
      </c>
      <c r="G13" s="843">
        <v>5</v>
      </c>
      <c r="H13" s="765">
        <f>2560845+1509647</f>
        <v>4070492</v>
      </c>
      <c r="I13" s="765">
        <f>429807+336020</f>
        <v>765827</v>
      </c>
      <c r="J13" s="765">
        <v>79726</v>
      </c>
      <c r="K13" s="1769">
        <f>(H13+I13)-J13</f>
        <v>4756593</v>
      </c>
      <c r="L13" s="1769">
        <f>F13-K13</f>
        <v>3348204</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931579</v>
      </c>
      <c r="D15" s="844">
        <v>394682</v>
      </c>
      <c r="E15" s="844">
        <v>931579</v>
      </c>
      <c r="F15" s="1760">
        <f>(C15+D15)-E15</f>
        <v>394682</v>
      </c>
      <c r="G15" s="849" t="s">
        <v>862</v>
      </c>
      <c r="H15" s="781"/>
      <c r="I15" s="781"/>
      <c r="J15" s="781"/>
      <c r="K15" s="781"/>
      <c r="L15" s="1769">
        <f>F15-K15</f>
        <v>394682</v>
      </c>
    </row>
    <row r="16" spans="1:14" ht="15" customHeight="1" thickTop="1" thickBot="1" x14ac:dyDescent="0.25">
      <c r="A16" s="1765" t="s">
        <v>643</v>
      </c>
      <c r="B16" s="1766">
        <v>200</v>
      </c>
      <c r="C16" s="1760">
        <f>SUM(C3,C5:C6,C8:C10,C12:C15)</f>
        <v>66195334</v>
      </c>
      <c r="D16" s="1760">
        <f>SUM(D3,D5:D6,D8:D10,D12:D15)</f>
        <v>5409746</v>
      </c>
      <c r="E16" s="1760">
        <f>SUM(E3,E5:E6,E8:E10,E12:E15)</f>
        <v>985528</v>
      </c>
      <c r="F16" s="1760">
        <f>SUM(F3,F5:F6,F8:F10,F12:F15)</f>
        <v>70619552</v>
      </c>
      <c r="G16" s="843"/>
      <c r="H16" s="1760">
        <f>SUM(H3,H6,H8:H10,H12:H14,)</f>
        <v>22514939</v>
      </c>
      <c r="I16" s="1760">
        <f>SUM(I3,I6,I8:I10,I12:I14,)</f>
        <v>2271859</v>
      </c>
      <c r="J16" s="1760">
        <f>SUM(J3,J6,J8:J10,J12:J14,)</f>
        <v>79726</v>
      </c>
      <c r="K16" s="1760">
        <f>(H16+I16)-J16</f>
        <v>24707072</v>
      </c>
      <c r="L16" s="1760">
        <f>F16-K16</f>
        <v>45912480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6011</v>
      </c>
      <c r="G17" s="837">
        <v>10</v>
      </c>
      <c r="H17" s="769"/>
      <c r="I17" s="1769">
        <f>F17/G17</f>
        <v>601.1</v>
      </c>
      <c r="J17" s="769"/>
      <c r="K17" s="795"/>
      <c r="L17" s="795"/>
    </row>
    <row r="18" spans="1:12" ht="14.25" thickTop="1" thickBot="1" x14ac:dyDescent="0.25">
      <c r="A18" s="1767" t="s">
        <v>685</v>
      </c>
      <c r="B18" s="1768"/>
      <c r="C18" s="771"/>
      <c r="D18" s="771"/>
      <c r="E18" s="771"/>
      <c r="F18" s="850"/>
      <c r="G18" s="851"/>
      <c r="H18" s="773"/>
      <c r="I18" s="1760">
        <f>SUM(I16,I17)</f>
        <v>2272460.1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topLeftCell="B1" colorId="8" zoomScale="110" zoomScaleNormal="110" workbookViewId="0">
      <pane ySplit="5" topLeftCell="A122" activePane="bottomLeft" state="frozen"/>
      <selection activeCell="A15" sqref="A15:H15"/>
      <selection pane="bottomLeft" activeCell="A15" sqref="A15:H1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1973</v>
      </c>
      <c r="B1" s="2266"/>
      <c r="C1" s="2266"/>
      <c r="D1" s="2266"/>
      <c r="E1" s="2266"/>
      <c r="F1" s="2267"/>
      <c r="G1" s="855"/>
    </row>
    <row r="2" spans="1:7" ht="15" customHeight="1" thickBot="1" x14ac:dyDescent="0.25">
      <c r="A2" s="2268" t="s">
        <v>477</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1"/>
      <c r="B5" s="2272"/>
      <c r="C5" s="2272"/>
      <c r="D5" s="2272"/>
      <c r="E5" s="2272"/>
      <c r="F5" s="2272"/>
    </row>
    <row r="6" spans="1:7" ht="13.5" customHeight="1" thickBot="1" x14ac:dyDescent="0.25">
      <c r="A6" s="2262" t="s">
        <v>1104</v>
      </c>
      <c r="B6" s="2263"/>
      <c r="C6" s="2263"/>
      <c r="D6" s="2263"/>
      <c r="E6" s="2263"/>
      <c r="F6" s="226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23096042</v>
      </c>
      <c r="G8" s="865"/>
    </row>
    <row r="9" spans="1:7" x14ac:dyDescent="0.2">
      <c r="A9" s="869" t="s">
        <v>460</v>
      </c>
      <c r="B9" s="870" t="s">
        <v>1876</v>
      </c>
      <c r="C9" s="871"/>
      <c r="D9" s="869" t="s">
        <v>501</v>
      </c>
      <c r="E9" s="868"/>
      <c r="F9" s="1909">
        <f>'Expenditures 15-22'!K151</f>
        <v>2448193</v>
      </c>
      <c r="G9" s="872"/>
    </row>
    <row r="10" spans="1:7" x14ac:dyDescent="0.2">
      <c r="A10" s="869" t="s">
        <v>499</v>
      </c>
      <c r="B10" s="870" t="s">
        <v>1877</v>
      </c>
      <c r="C10" s="871"/>
      <c r="D10" s="869" t="s">
        <v>501</v>
      </c>
      <c r="E10" s="868"/>
      <c r="F10" s="1909">
        <f>'Expenditures 15-22'!K174</f>
        <v>3044550</v>
      </c>
      <c r="G10" s="872"/>
    </row>
    <row r="11" spans="1:7" x14ac:dyDescent="0.2">
      <c r="A11" s="869" t="s">
        <v>461</v>
      </c>
      <c r="B11" s="870" t="s">
        <v>1878</v>
      </c>
      <c r="C11" s="871"/>
      <c r="D11" s="869" t="s">
        <v>501</v>
      </c>
      <c r="E11" s="868"/>
      <c r="F11" s="1909">
        <f>'Expenditures 15-22'!K210</f>
        <v>2817737</v>
      </c>
      <c r="G11" s="872"/>
    </row>
    <row r="12" spans="1:7" x14ac:dyDescent="0.2">
      <c r="A12" s="869" t="s">
        <v>462</v>
      </c>
      <c r="B12" s="870" t="s">
        <v>1879</v>
      </c>
      <c r="C12" s="871"/>
      <c r="D12" s="869" t="s">
        <v>501</v>
      </c>
      <c r="E12" s="868"/>
      <c r="F12" s="1909">
        <f>'Expenditures 15-22'!K295</f>
        <v>766959</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32173481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404</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140468</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169057</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17738</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2282</v>
      </c>
      <c r="G52" s="865"/>
    </row>
    <row r="53" spans="1:7" x14ac:dyDescent="0.2">
      <c r="A53" s="869" t="s">
        <v>459</v>
      </c>
      <c r="B53" s="869" t="s">
        <v>1475</v>
      </c>
      <c r="C53" s="889">
        <f>'Expenditures 15-22'!B102</f>
        <v>4000</v>
      </c>
      <c r="D53" s="888" t="str">
        <f>'Expenditures 15-22'!A102</f>
        <v>Total Payments to Other Govt Units</v>
      </c>
      <c r="E53" s="868"/>
      <c r="F53" s="1913">
        <f>'Expenditures 15-22'!K102</f>
        <v>1112481</v>
      </c>
      <c r="G53" s="865"/>
    </row>
    <row r="54" spans="1:7" x14ac:dyDescent="0.2">
      <c r="A54" s="869" t="s">
        <v>459</v>
      </c>
      <c r="B54" s="869" t="s">
        <v>1476</v>
      </c>
      <c r="C54" s="889" t="s">
        <v>982</v>
      </c>
      <c r="D54" s="885" t="s">
        <v>1095</v>
      </c>
      <c r="E54" s="868"/>
      <c r="F54" s="1913">
        <f>'Expenditures 15-22'!G114</f>
        <v>143728</v>
      </c>
      <c r="G54" s="865"/>
    </row>
    <row r="55" spans="1:7" x14ac:dyDescent="0.2">
      <c r="A55" s="869" t="s">
        <v>459</v>
      </c>
      <c r="B55" s="869" t="s">
        <v>1477</v>
      </c>
      <c r="C55" s="889" t="s">
        <v>982</v>
      </c>
      <c r="D55" s="885" t="s">
        <v>291</v>
      </c>
      <c r="E55" s="868"/>
      <c r="F55" s="1913">
        <f>'Expenditures 15-22'!I114</f>
        <v>3918</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47593</v>
      </c>
      <c r="G57" s="865"/>
    </row>
    <row r="58" spans="1:7" x14ac:dyDescent="0.2">
      <c r="A58" s="869" t="s">
        <v>460</v>
      </c>
      <c r="B58" s="869" t="s">
        <v>1882</v>
      </c>
      <c r="C58" s="886" t="s">
        <v>982</v>
      </c>
      <c r="D58" s="885" t="s">
        <v>1095</v>
      </c>
      <c r="E58" s="868"/>
      <c r="F58" s="1915">
        <f>'Expenditures 15-22'!G151</f>
        <v>327443</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2515000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224189</v>
      </c>
      <c r="G64" s="865"/>
    </row>
    <row r="65" spans="1:8" x14ac:dyDescent="0.2">
      <c r="A65" s="869" t="s">
        <v>461</v>
      </c>
      <c r="B65" s="869" t="s">
        <v>1889</v>
      </c>
      <c r="C65" s="886" t="s">
        <v>982</v>
      </c>
      <c r="D65" s="885" t="s">
        <v>1095</v>
      </c>
      <c r="E65" s="868"/>
      <c r="F65" s="1913">
        <f>'Expenditures 15-22'!G210</f>
        <v>481603</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1320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1783</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413</v>
      </c>
      <c r="G71" s="865"/>
    </row>
    <row r="72" spans="1:8" x14ac:dyDescent="0.2">
      <c r="A72" s="869" t="s">
        <v>462</v>
      </c>
      <c r="B72" s="869" t="s">
        <v>1895</v>
      </c>
      <c r="C72" s="886">
        <f>'Expenditures 15-22'!B280</f>
        <v>3000</v>
      </c>
      <c r="D72" s="876" t="s">
        <v>449</v>
      </c>
      <c r="E72" s="868"/>
      <c r="F72" s="1913">
        <f>'Expenditures 15-22'!K280</f>
        <v>339</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61065</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5250824</v>
      </c>
      <c r="G76" s="865"/>
    </row>
    <row r="77" spans="1:8" s="893" customFormat="1" ht="12" customHeight="1" thickTop="1" thickBot="1" x14ac:dyDescent="0.25">
      <c r="A77" s="1779"/>
      <c r="B77" s="1776"/>
      <c r="C77" s="1772"/>
      <c r="D77" s="1777" t="s">
        <v>1899</v>
      </c>
      <c r="E77" s="1774"/>
      <c r="F77" s="1780">
        <f>(F14-F76)</f>
        <v>26922657</v>
      </c>
      <c r="G77" s="869"/>
    </row>
    <row r="78" spans="1:8" s="893" customFormat="1" ht="12" customHeight="1" thickTop="1" x14ac:dyDescent="0.2">
      <c r="A78" s="1781"/>
      <c r="B78" s="1776"/>
      <c r="C78" s="1772"/>
      <c r="D78" s="1777" t="s">
        <v>2060</v>
      </c>
      <c r="E78" s="1774"/>
      <c r="F78" s="898">
        <v>2124</v>
      </c>
      <c r="G78" s="899"/>
      <c r="H78" s="869"/>
    </row>
    <row r="79" spans="1:8" s="893" customFormat="1" ht="12" customHeight="1" thickBot="1" x14ac:dyDescent="0.25">
      <c r="A79" s="1782"/>
      <c r="B79" s="1776"/>
      <c r="C79" s="1772"/>
      <c r="D79" s="1777" t="s">
        <v>1900</v>
      </c>
      <c r="E79" s="1774" t="s">
        <v>958</v>
      </c>
      <c r="F79" s="1783">
        <f>IF(F78&gt;0,F77/F78," Complete Line 78")</f>
        <v>12675.450564971752</v>
      </c>
      <c r="G79" s="869"/>
    </row>
    <row r="80" spans="1:8" s="893" customFormat="1" ht="8.25" customHeight="1" thickTop="1" x14ac:dyDescent="0.2">
      <c r="A80" s="900"/>
      <c r="B80" s="869"/>
      <c r="C80" s="871"/>
      <c r="D80" s="901"/>
      <c r="E80" s="868"/>
      <c r="F80" s="902"/>
      <c r="G80" s="869"/>
    </row>
    <row r="81" spans="1:7" s="893" customFormat="1" ht="12" thickBot="1" x14ac:dyDescent="0.25">
      <c r="A81" s="2262" t="s">
        <v>1105</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6208</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36495</v>
      </c>
      <c r="G95" s="912"/>
    </row>
    <row r="96" spans="1:7" x14ac:dyDescent="0.2">
      <c r="A96" s="908" t="s">
        <v>459</v>
      </c>
      <c r="B96" s="908" t="s">
        <v>176</v>
      </c>
      <c r="C96" s="910">
        <f>'Revenues 9-14'!B84</f>
        <v>1811</v>
      </c>
      <c r="D96" s="911" t="str">
        <f>'Revenues 9-14'!A84</f>
        <v>Rentals - Regular Textbooks</v>
      </c>
      <c r="E96" s="906"/>
      <c r="F96" s="1789">
        <f>'Revenues 9-14'!C84</f>
        <v>453199</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13454</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194976</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169520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984516</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1575</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13329</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155807</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241245</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13</v>
      </c>
      <c r="G156" s="905"/>
    </row>
    <row r="157" spans="1:7" s="867" customFormat="1" x14ac:dyDescent="0.2">
      <c r="A157" s="938" t="s">
        <v>500</v>
      </c>
      <c r="B157" s="939" t="s">
        <v>2042</v>
      </c>
      <c r="C157" s="940" t="s">
        <v>841</v>
      </c>
      <c r="D157" s="941" t="s">
        <v>777</v>
      </c>
      <c r="E157" s="942"/>
      <c r="F157" s="1789">
        <f>SUM(F133:F156)</f>
        <v>13</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19106</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34371</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15855</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41920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2381589</v>
      </c>
    </row>
    <row r="175" spans="1:7" ht="12" customHeight="1" x14ac:dyDescent="0.2">
      <c r="A175" s="1770"/>
      <c r="B175" s="1784"/>
      <c r="C175" s="1785"/>
      <c r="D175" s="1786" t="s">
        <v>2055</v>
      </c>
      <c r="E175" s="1787"/>
      <c r="F175" s="1789">
        <f>'PCTC-OEPP 27-28'!F77-F174</f>
        <v>24541068</v>
      </c>
    </row>
    <row r="176" spans="1:7" ht="12" customHeight="1" x14ac:dyDescent="0.2">
      <c r="A176" s="1770"/>
      <c r="B176" s="1784"/>
      <c r="C176" s="1785"/>
      <c r="D176" s="1786" t="s">
        <v>1817</v>
      </c>
      <c r="E176" s="1787"/>
      <c r="F176" s="1789">
        <f>'Cap Outlay Deprec 26'!I18</f>
        <v>2272460.1</v>
      </c>
    </row>
    <row r="177" spans="1:7" ht="12" customHeight="1" x14ac:dyDescent="0.2">
      <c r="A177" s="1770"/>
      <c r="B177" s="1784"/>
      <c r="C177" s="1785"/>
      <c r="D177" s="1786" t="s">
        <v>2056</v>
      </c>
      <c r="E177" s="1787"/>
      <c r="F177" s="1789">
        <f>F175+F176</f>
        <v>26813528.100000001</v>
      </c>
    </row>
    <row r="178" spans="1:7" ht="12" customHeight="1" x14ac:dyDescent="0.2">
      <c r="A178" s="1770"/>
      <c r="B178" s="1790"/>
      <c r="C178" s="1785"/>
      <c r="D178" s="1786" t="str">
        <f>D78</f>
        <v>9 Month ADA from District Average Daily Attendance/Prior General State Aid Inquiry 2018-2019</v>
      </c>
      <c r="E178" s="1787"/>
      <c r="F178" s="1791">
        <f>'PCTC-OEPP 27-28'!F78</f>
        <v>2124</v>
      </c>
      <c r="G178" s="930"/>
    </row>
    <row r="179" spans="1:7" ht="12" customHeight="1" thickBot="1" x14ac:dyDescent="0.25">
      <c r="A179" s="1770"/>
      <c r="B179" s="1790"/>
      <c r="C179" s="1785"/>
      <c r="D179" s="1786" t="s">
        <v>2057</v>
      </c>
      <c r="E179" s="1787" t="s">
        <v>1545</v>
      </c>
      <c r="F179" s="1792">
        <f>F177/F178</f>
        <v>12624.071610169492</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2"/>
  <sheetViews>
    <sheetView showGridLines="0" topLeftCell="A7" zoomScaleNormal="100" workbookViewId="0">
      <selection activeCell="A15" sqref="A15:H15"/>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6" t="s">
        <v>1818</v>
      </c>
      <c r="B4" s="2277"/>
      <c r="C4" s="2277"/>
      <c r="D4" s="2277"/>
      <c r="E4" s="2277"/>
      <c r="F4" s="2277"/>
      <c r="G4" s="2278"/>
    </row>
    <row r="5" spans="1:7" x14ac:dyDescent="0.25">
      <c r="A5" s="2279"/>
      <c r="B5" s="2280"/>
      <c r="C5" s="2280"/>
      <c r="D5" s="2280"/>
      <c r="E5" s="2280"/>
      <c r="F5" s="2280"/>
      <c r="G5" s="2281"/>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82" t="s">
        <v>1931</v>
      </c>
      <c r="B8" s="2283"/>
      <c r="C8" s="2283"/>
      <c r="D8" s="2283"/>
      <c r="E8" s="2283"/>
      <c r="F8" s="2283"/>
      <c r="G8" s="2284"/>
    </row>
    <row r="9" spans="1:7" ht="15.75" customHeight="1" x14ac:dyDescent="0.25">
      <c r="A9" s="2285" t="s">
        <v>1906</v>
      </c>
      <c r="B9" s="2286"/>
      <c r="C9" s="2286"/>
      <c r="D9" s="2286"/>
      <c r="E9" s="2286"/>
      <c r="F9" s="2286"/>
      <c r="G9" s="2287"/>
    </row>
    <row r="10" spans="1:7" ht="35.25" customHeight="1" x14ac:dyDescent="0.25">
      <c r="A10" s="2282" t="s">
        <v>2063</v>
      </c>
      <c r="B10" s="2283"/>
      <c r="C10" s="2283"/>
      <c r="D10" s="2283"/>
      <c r="E10" s="2283"/>
      <c r="F10" s="2283"/>
      <c r="G10" s="2284"/>
    </row>
    <row r="11" spans="1:7" ht="15" customHeight="1" x14ac:dyDescent="0.25">
      <c r="A11" s="1537" t="s">
        <v>1820</v>
      </c>
      <c r="B11" s="1538"/>
      <c r="C11" s="1538"/>
      <c r="D11" s="1538"/>
      <c r="E11" s="1538"/>
      <c r="F11" s="1538"/>
      <c r="G11" s="1539"/>
    </row>
    <row r="12" spans="1:7" ht="17.25" customHeight="1" x14ac:dyDescent="0.25">
      <c r="A12" s="2282" t="s">
        <v>1933</v>
      </c>
      <c r="B12" s="2283"/>
      <c r="C12" s="2283"/>
      <c r="D12" s="2283"/>
      <c r="E12" s="2283"/>
      <c r="F12" s="2283"/>
      <c r="G12" s="2284"/>
    </row>
    <row r="13" spans="1:7" ht="15" customHeight="1" x14ac:dyDescent="0.25">
      <c r="A13" s="1537" t="s">
        <v>1825</v>
      </c>
      <c r="B13" s="1538"/>
      <c r="C13" s="1538"/>
      <c r="D13" s="1538"/>
      <c r="E13" s="1538"/>
      <c r="F13" s="1538"/>
      <c r="G13" s="1539"/>
    </row>
    <row r="14" spans="1:7" ht="32.25" customHeight="1" x14ac:dyDescent="0.25">
      <c r="A14" s="2273" t="s">
        <v>1974</v>
      </c>
      <c r="B14" s="2274"/>
      <c r="C14" s="2274"/>
      <c r="D14" s="2274"/>
      <c r="E14" s="2274"/>
      <c r="F14" s="2274"/>
      <c r="G14" s="2275"/>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0" t="s">
        <v>2082</v>
      </c>
      <c r="B18" s="1941" t="s">
        <v>2083</v>
      </c>
      <c r="C18" s="1942" t="s">
        <v>2081</v>
      </c>
      <c r="D18" s="1844">
        <v>213240</v>
      </c>
      <c r="E18" s="1540">
        <f t="shared" ref="E18:E142" si="0">IF(D18&lt;=25000,D18,IF(D18&gt;25000,25000,0))</f>
        <v>25000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188240</v>
      </c>
      <c r="H18" s="1647"/>
    </row>
    <row r="19" spans="1:8" x14ac:dyDescent="0.25">
      <c r="A19" s="1943" t="s">
        <v>2094</v>
      </c>
      <c r="B19" s="1944" t="s">
        <v>2095</v>
      </c>
      <c r="C19" s="1945" t="s">
        <v>2096</v>
      </c>
      <c r="D19" s="1844">
        <v>581963</v>
      </c>
      <c r="E19" s="1540">
        <f t="shared" ref="E19:E141" si="2">IF(D19&lt;=25000,D19,IF(D19&gt;25000,25000,0))</f>
        <v>25000</v>
      </c>
      <c r="F19" s="1936">
        <f t="shared" si="1"/>
        <v>25000</v>
      </c>
      <c r="G19" s="1793">
        <f t="shared" ref="G19:G141" si="3">IF(F19=0,0,D19-F19)</f>
        <v>556963</v>
      </c>
    </row>
    <row r="20" spans="1:8" x14ac:dyDescent="0.25">
      <c r="A20" s="1653"/>
      <c r="B20" s="1933"/>
      <c r="C20" s="1656"/>
      <c r="D20" s="1844"/>
      <c r="E20" s="1540">
        <f t="shared" si="2"/>
        <v>0</v>
      </c>
      <c r="F20" s="1936">
        <f t="shared" si="1"/>
        <v>0</v>
      </c>
      <c r="G20" s="1793">
        <f t="shared" si="3"/>
        <v>0</v>
      </c>
    </row>
    <row r="21" spans="1:8" x14ac:dyDescent="0.25">
      <c r="A21" s="1653"/>
      <c r="B21" s="1933"/>
      <c r="C21" s="1656"/>
      <c r="D21" s="1844"/>
      <c r="E21" s="1540">
        <f t="shared" si="2"/>
        <v>0</v>
      </c>
      <c r="F21" s="1936">
        <f t="shared" si="1"/>
        <v>0</v>
      </c>
      <c r="G21" s="1793">
        <f t="shared" si="3"/>
        <v>0</v>
      </c>
    </row>
    <row r="22" spans="1:8" x14ac:dyDescent="0.25">
      <c r="A22" s="1653"/>
      <c r="B22" s="1933"/>
      <c r="C22" s="1656"/>
      <c r="D22" s="1844"/>
      <c r="E22" s="1540">
        <f t="shared" si="2"/>
        <v>0</v>
      </c>
      <c r="F22" s="1936">
        <f t="shared" si="1"/>
        <v>0</v>
      </c>
      <c r="G22" s="1793">
        <f t="shared" si="3"/>
        <v>0</v>
      </c>
    </row>
    <row r="23" spans="1:8" x14ac:dyDescent="0.25">
      <c r="A23" s="1653"/>
      <c r="B23" s="1933"/>
      <c r="C23" s="1656"/>
      <c r="D23" s="1844"/>
      <c r="E23" s="1540">
        <f t="shared" si="2"/>
        <v>0</v>
      </c>
      <c r="F23" s="1936">
        <f t="shared" si="1"/>
        <v>0</v>
      </c>
      <c r="G23" s="1793">
        <f t="shared" si="3"/>
        <v>0</v>
      </c>
    </row>
    <row r="24" spans="1:8" x14ac:dyDescent="0.25">
      <c r="A24" s="1653"/>
      <c r="B24" s="1933"/>
      <c r="C24" s="1656"/>
      <c r="D24" s="1844"/>
      <c r="E24" s="1540">
        <f t="shared" si="2"/>
        <v>0</v>
      </c>
      <c r="F24" s="1936">
        <f t="shared" si="1"/>
        <v>0</v>
      </c>
      <c r="G24" s="1793">
        <f t="shared" si="3"/>
        <v>0</v>
      </c>
    </row>
    <row r="25" spans="1:8" x14ac:dyDescent="0.25">
      <c r="A25" s="1653"/>
      <c r="B25" s="1933"/>
      <c r="C25" s="1656"/>
      <c r="D25" s="1844"/>
      <c r="E25" s="1540">
        <f t="shared" si="2"/>
        <v>0</v>
      </c>
      <c r="F25" s="1936">
        <f t="shared" si="1"/>
        <v>0</v>
      </c>
      <c r="G25" s="1793">
        <f t="shared" si="3"/>
        <v>0</v>
      </c>
    </row>
    <row r="26" spans="1:8" x14ac:dyDescent="0.25">
      <c r="A26" s="1653"/>
      <c r="B26" s="1933"/>
      <c r="C26" s="1656"/>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795203</v>
      </c>
      <c r="E142" s="1541">
        <f t="shared" si="0"/>
        <v>25000</v>
      </c>
      <c r="F142" s="1932">
        <f>SUM(F18:F141)</f>
        <v>50000</v>
      </c>
      <c r="G142" s="1795">
        <f>SUM(G18:G141)</f>
        <v>745203</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colorId="8" zoomScale="110" zoomScaleNormal="110" workbookViewId="0">
      <selection activeCell="A15" sqref="A15:H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8" t="s">
        <v>1679</v>
      </c>
      <c r="B5" s="2289"/>
      <c r="C5" s="2289"/>
      <c r="D5" s="2289"/>
      <c r="E5" s="2289"/>
      <c r="F5" s="2289"/>
      <c r="G5" s="229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93" t="s">
        <v>1975</v>
      </c>
      <c r="B11" s="2294"/>
      <c r="C11" s="2294"/>
      <c r="D11" s="2295"/>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15115094</v>
      </c>
      <c r="F19" s="1799"/>
      <c r="G19" s="1801">
        <f>'Expenditures 15-22'!K33-SUM('Expenditures 15-22'!G33,'Expenditures 15-22'!I33)+'Expenditures 15-22'!D229</f>
        <v>15115094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1361089</v>
      </c>
      <c r="F21" s="1802"/>
      <c r="G21" s="1805">
        <f>'Expenditures 15-22'!K42-SUM('Expenditures 15-22'!G42,'Expenditures 15-22'!I42)+'Expenditures 15-22'!K120-SUM('Expenditures 15-22'!G120,'Expenditures 15-22'!I120)+'Expenditures 15-22'!K180-SUM('Expenditures 15-22'!G180,'Expenditures 15-22'!I180)+'Expenditures 15-22'!D238</f>
        <v>1361089</v>
      </c>
      <c r="H21" s="987"/>
      <c r="I21" s="162"/>
    </row>
    <row r="22" spans="1:9" s="668" customFormat="1" ht="12" customHeight="1" x14ac:dyDescent="0.2">
      <c r="A22" s="994" t="s">
        <v>564</v>
      </c>
      <c r="B22" s="995"/>
      <c r="C22" s="993">
        <v>2200</v>
      </c>
      <c r="D22" s="1802"/>
      <c r="E22" s="1804">
        <f>'Expenditures 15-22'!K47-SUM('Expenditures 15-22'!G47,'Expenditures 15-22'!I47)+'Expenditures 15-22'!D243</f>
        <v>2497884</v>
      </c>
      <c r="F22" s="1802"/>
      <c r="G22" s="1805">
        <f>'Expenditures 15-22'!K47-SUM('Expenditures 15-22'!G47,'Expenditures 15-22'!I47)+'Expenditures 15-22'!D243</f>
        <v>2497884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976088</v>
      </c>
      <c r="F23" s="1802"/>
      <c r="G23" s="1804">
        <f>'Expenditures 15-22'!K53-SUM('Expenditures 15-22'!G53,'Expenditures 15-22'!I53)+'Expenditures 15-22'!D257+'Expenditures 15-22'!K330-SUM('Expenditures 15-22'!G330,'Expenditures 15-22'!I330)</f>
        <v>976088</v>
      </c>
      <c r="H23" s="987"/>
      <c r="I23" s="162"/>
    </row>
    <row r="24" spans="1:9" s="668" customFormat="1" ht="12" customHeight="1" x14ac:dyDescent="0.2">
      <c r="A24" s="994" t="s">
        <v>566</v>
      </c>
      <c r="B24" s="995"/>
      <c r="C24" s="993">
        <v>2400</v>
      </c>
      <c r="D24" s="1802"/>
      <c r="E24" s="1804">
        <f>'Expenditures 15-22'!K57-SUM('Expenditures 15-22'!G57,'Expenditures 15-22'!I57)+'Expenditures 15-22'!D261</f>
        <v>1328092</v>
      </c>
      <c r="F24" s="1802"/>
      <c r="G24" s="1805">
        <f>'Expenditures 15-22'!K57-SUM('Expenditures 15-22'!G57,'Expenditures 15-22'!I57)+'Expenditures 15-22'!D261</f>
        <v>1328092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500729</v>
      </c>
      <c r="E26" s="1804">
        <f>'Expenditures 15-22'!K122-SUM('Expenditures 15-22'!G122,'Expenditures 15-22'!I122)+E7</f>
        <v>0</v>
      </c>
      <c r="F26" s="1804">
        <f>'Expenditures 15-22'!K59-SUM('Expenditures 15-22'!G59,'Expenditures 15-22'!I59)+'Expenditures 15-22'!D263-E7</f>
        <v>500729</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2128205</v>
      </c>
      <c r="F28" s="1806">
        <f>'Expenditures 15-22'!K61-SUM('Expenditures 15-22'!G61,'Expenditures 15-22'!I61)+'Expenditures 15-22'!K124-SUM('Expenditures 15-22'!G124,'Expenditures 15-22'!I124)+'Expenditures 15-22'!D266-E9</f>
        <v>2128205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2301716</v>
      </c>
      <c r="F29" s="1802"/>
      <c r="G29" s="1805">
        <f>'Expenditures 15-22'!K62-SUM('Expenditures 15-22'!G62,'Expenditures 15-22'!I62)+'Expenditures 15-22'!K125-SUM('Expenditures 15-22'!G125,'Expenditures 15-22'!I125)+'Expenditures 15-22'!K182-SUM('Expenditures 15-22'!G182,'Expenditures 15-22'!I182)+'Expenditures 15-22'!D267</f>
        <v>2301716</v>
      </c>
      <c r="H29" s="985"/>
    </row>
    <row r="30" spans="1:9" ht="12" customHeight="1" x14ac:dyDescent="0.2">
      <c r="A30" s="994" t="s">
        <v>100</v>
      </c>
      <c r="B30" s="997"/>
      <c r="C30" s="993">
        <v>2560</v>
      </c>
      <c r="D30" s="1802"/>
      <c r="E30" s="1804">
        <f>'Expenditures 15-22'!K63-SUM('Expenditures 15-22'!G63,'Expenditures 15-22'!I63)+'Expenditures 15-22'!D268-E10</f>
        <v>109831</v>
      </c>
      <c r="F30" s="1802"/>
      <c r="G30" s="1804">
        <f>'Expenditures 15-22'!K63-SUM('Expenditures 15-22'!G63,'Expenditures 15-22'!I63)+'Expenditures 15-22'!D268-E10</f>
        <v>109831</v>
      </c>
    </row>
    <row r="31" spans="1:9" ht="12" customHeight="1" x14ac:dyDescent="0.2">
      <c r="A31" s="994" t="s">
        <v>101</v>
      </c>
      <c r="B31" s="997"/>
      <c r="C31" s="993">
        <v>2570</v>
      </c>
      <c r="D31" s="1804">
        <f>'Expenditures 15-22'!K64-SUM('Expenditures 15-22'!G64,'Expenditures 15-22'!I64)+'Expenditures 15-22'!D269-E12</f>
        <v>104122</v>
      </c>
      <c r="E31" s="1804">
        <f>E12</f>
        <v>0</v>
      </c>
      <c r="F31" s="1804">
        <f>'Expenditures 15-22'!K64-SUM('Expenditures 15-22'!G64,'Expenditures 15-22'!I64)+'Expenditures 15-22'!D269-E12</f>
        <v>104122</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91340</v>
      </c>
      <c r="F35" s="1802"/>
      <c r="G35" s="1804">
        <f>'Expenditures 15-22'!K69-SUM('Expenditures 15-22'!G69,'Expenditures 15-22'!I69)+'Expenditures 15-22'!D274</f>
        <v>91340</v>
      </c>
    </row>
    <row r="36" spans="1:7" ht="12" customHeight="1" x14ac:dyDescent="0.2">
      <c r="A36" s="994" t="s">
        <v>403</v>
      </c>
      <c r="B36" s="997"/>
      <c r="C36" s="993">
        <v>2640</v>
      </c>
      <c r="D36" s="1804">
        <f>'Expenditures 15-22'!K70-SUM('Expenditures 15-22'!G70,'Expenditures 15-22'!I70)+'Expenditures 15-22'!D275-E13</f>
        <v>205466</v>
      </c>
      <c r="E36" s="1804">
        <f>E13</f>
        <v>0</v>
      </c>
      <c r="F36" s="1804">
        <f>'Expenditures 15-22'!K70-SUM('Expenditures 15-22'!G70,'Expenditures 15-22'!I70)+'Expenditures 15-22'!D275-E13</f>
        <v>205466</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2621</v>
      </c>
      <c r="F39" s="1802"/>
      <c r="G39" s="1804">
        <f>'Expenditures 15-22'!K75-SUM('Expenditures 15-22'!G75,'Expenditures 15-22'!I75)+'Expenditures 15-22'!K130-SUM('Expenditures 15-22'!G130,'Expenditures 15-22'!I130)+'Expenditures 15-22'!K185-SUM('Expenditures 15-22'!G185,'Expenditures 15-22'!I185)+'Expenditures 15-22'!D280</f>
        <v>2621</v>
      </c>
    </row>
    <row r="40" spans="1:7" ht="12" customHeight="1" x14ac:dyDescent="0.2">
      <c r="A40" s="990" t="s">
        <v>1823</v>
      </c>
      <c r="B40" s="991"/>
      <c r="C40" s="993"/>
      <c r="D40" s="1802"/>
      <c r="E40" s="1806">
        <f>-'Contracts Paid in CY 29'!G142</f>
        <v>-745203</v>
      </c>
      <c r="F40" s="1802"/>
      <c r="G40" s="1806">
        <f>-'Contracts Paid in CY 29'!G142</f>
        <v>-745203</v>
      </c>
    </row>
    <row r="41" spans="1:7" ht="12" customHeight="1" x14ac:dyDescent="0.2">
      <c r="A41" s="998" t="s">
        <v>156</v>
      </c>
      <c r="B41" s="999"/>
      <c r="C41" s="1000"/>
      <c r="D41" s="1806">
        <f>SUM(D19:D39)</f>
        <v>810317</v>
      </c>
      <c r="E41" s="1806">
        <f>SUM(E19:E40)</f>
        <v>25166757</v>
      </c>
      <c r="F41" s="1806">
        <f>SUM(F19:F39)</f>
        <v>2938522</v>
      </c>
      <c r="G41" s="1806">
        <f>SUM(G19:G40)</f>
        <v>23038552</v>
      </c>
    </row>
    <row r="42" spans="1:7" x14ac:dyDescent="0.2">
      <c r="A42" s="987"/>
      <c r="B42" s="162"/>
      <c r="C42" s="1001"/>
      <c r="D42" s="2291" t="s">
        <v>522</v>
      </c>
      <c r="E42" s="2292"/>
      <c r="F42" s="1002" t="s">
        <v>523</v>
      </c>
      <c r="G42" s="1003"/>
    </row>
    <row r="43" spans="1:7" ht="12" customHeight="1" x14ac:dyDescent="0.2">
      <c r="A43" s="987"/>
      <c r="B43" s="162"/>
      <c r="C43" s="1001"/>
      <c r="D43" s="1807" t="s">
        <v>473</v>
      </c>
      <c r="E43" s="1808">
        <f>D41</f>
        <v>810317</v>
      </c>
      <c r="F43" s="1807" t="s">
        <v>473</v>
      </c>
      <c r="G43" s="1808">
        <f>F41</f>
        <v>2938522</v>
      </c>
    </row>
    <row r="44" spans="1:7" ht="12" customHeight="1" x14ac:dyDescent="0.2">
      <c r="A44" s="987"/>
      <c r="B44" s="162"/>
      <c r="C44" s="1001"/>
      <c r="D44" s="1807" t="s">
        <v>474</v>
      </c>
      <c r="E44" s="1808">
        <f>E41</f>
        <v>25166757</v>
      </c>
      <c r="F44" s="1807" t="s">
        <v>474</v>
      </c>
      <c r="G44" s="1808">
        <f>G41</f>
        <v>23038552</v>
      </c>
    </row>
    <row r="45" spans="1:7" ht="12" customHeight="1" x14ac:dyDescent="0.2">
      <c r="A45" s="987"/>
      <c r="B45" s="162"/>
      <c r="C45" s="162"/>
      <c r="D45" s="1809" t="s">
        <v>1006</v>
      </c>
      <c r="E45" s="1810">
        <f>(E43/E44)</f>
        <v>3.2197910918756838E-2</v>
      </c>
      <c r="F45" s="1809" t="s">
        <v>1006</v>
      </c>
      <c r="G45" s="1810">
        <f>(G43/G44)</f>
        <v>0.12754803340071025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zoomScale="110" zoomScaleNormal="110" workbookViewId="0">
      <pane ySplit="4" topLeftCell="A5" activePane="bottomLeft" state="frozen"/>
      <selection activeCell="A15" sqref="A15:H15"/>
      <selection pane="bottomLeft" activeCell="A15" sqref="A15:H1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9" t="s">
        <v>1379</v>
      </c>
      <c r="B1" s="2299"/>
      <c r="C1" s="2299"/>
      <c r="D1" s="2299"/>
      <c r="E1" s="2299"/>
      <c r="F1" s="2299"/>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0" t="s">
        <v>1546</v>
      </c>
      <c r="B5" s="2301"/>
      <c r="C5" s="2302"/>
      <c r="D5" s="2302"/>
      <c r="E5" s="2302"/>
      <c r="F5" s="2302"/>
    </row>
    <row r="6" spans="1:10" ht="12" customHeight="1" x14ac:dyDescent="0.25">
      <c r="A6" s="1850"/>
      <c r="B6" s="1851"/>
      <c r="C6" s="2303" t="str">
        <f>COVER!A17</f>
        <v>Fremont SD 79</v>
      </c>
      <c r="D6" s="2303"/>
      <c r="E6" s="2303"/>
      <c r="F6" s="1852"/>
    </row>
    <row r="7" spans="1:10" ht="11.25" customHeight="1" thickBot="1" x14ac:dyDescent="0.3">
      <c r="A7" s="1850"/>
      <c r="B7" s="1851"/>
      <c r="C7" s="2304">
        <f>COVER!A13</f>
        <v>34049079002</v>
      </c>
      <c r="D7" s="2304"/>
      <c r="E7" s="2304"/>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t="s">
        <v>2065</v>
      </c>
      <c r="D11" s="1865" t="s">
        <v>2065</v>
      </c>
      <c r="E11" s="1866" t="s">
        <v>2065</v>
      </c>
      <c r="F11" s="1867" t="s">
        <v>2084</v>
      </c>
      <c r="H11" s="1878">
        <f>IF(C11="X",5,0)</f>
        <v>5</v>
      </c>
      <c r="I11" s="1878">
        <f>IF(D11="X",5,0)</f>
        <v>5</v>
      </c>
      <c r="J11" s="1878">
        <f>IF(E11="X",5,0)</f>
        <v>5</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2085</v>
      </c>
      <c r="D13" s="1865" t="s">
        <v>2085</v>
      </c>
      <c r="E13" s="1868" t="s">
        <v>2085</v>
      </c>
      <c r="F13" s="1867" t="s">
        <v>2086</v>
      </c>
      <c r="H13" s="1878">
        <f t="shared" si="0"/>
        <v>5</v>
      </c>
      <c r="I13" s="1878">
        <f t="shared" si="1"/>
        <v>5</v>
      </c>
      <c r="J13" s="1878">
        <f t="shared" si="2"/>
        <v>5</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2085</v>
      </c>
      <c r="D19" s="1865" t="s">
        <v>2085</v>
      </c>
      <c r="E19" s="1868" t="s">
        <v>2085</v>
      </c>
      <c r="F19" s="1867" t="s">
        <v>2091</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t="s">
        <v>2085</v>
      </c>
      <c r="D23" s="1865" t="s">
        <v>2085</v>
      </c>
      <c r="E23" s="1868" t="s">
        <v>2085</v>
      </c>
      <c r="F23" s="1867" t="s">
        <v>2087</v>
      </c>
      <c r="H23" s="1878">
        <f t="shared" si="0"/>
        <v>5</v>
      </c>
      <c r="I23" s="1878">
        <f t="shared" si="1"/>
        <v>5</v>
      </c>
      <c r="J23" s="1878">
        <f t="shared" si="2"/>
        <v>5</v>
      </c>
    </row>
    <row r="24" spans="1:12" ht="12" customHeight="1" x14ac:dyDescent="0.2">
      <c r="A24" s="1863" t="s">
        <v>1532</v>
      </c>
      <c r="B24" s="1864"/>
      <c r="C24" s="1865" t="s">
        <v>2085</v>
      </c>
      <c r="D24" s="1865" t="s">
        <v>2085</v>
      </c>
      <c r="E24" s="1868" t="s">
        <v>2085</v>
      </c>
      <c r="F24" s="1867" t="s">
        <v>2088</v>
      </c>
      <c r="H24" s="1878">
        <f t="shared" si="0"/>
        <v>5</v>
      </c>
      <c r="I24" s="1878">
        <f t="shared" si="1"/>
        <v>5</v>
      </c>
      <c r="J24" s="1878">
        <f t="shared" si="2"/>
        <v>5</v>
      </c>
    </row>
    <row r="25" spans="1:12" ht="12" customHeight="1" x14ac:dyDescent="0.2">
      <c r="A25" s="1863" t="s">
        <v>1533</v>
      </c>
      <c r="B25" s="1864"/>
      <c r="C25" s="1865" t="s">
        <v>2085</v>
      </c>
      <c r="D25" s="1865" t="s">
        <v>2085</v>
      </c>
      <c r="E25" s="1868" t="s">
        <v>2085</v>
      </c>
      <c r="F25" s="1867" t="s">
        <v>2089</v>
      </c>
      <c r="H25" s="1878">
        <f t="shared" si="0"/>
        <v>5</v>
      </c>
      <c r="I25" s="1878">
        <f t="shared" si="1"/>
        <v>5</v>
      </c>
      <c r="J25" s="1878">
        <f t="shared" si="2"/>
        <v>5</v>
      </c>
    </row>
    <row r="26" spans="1:12" ht="12" customHeight="1" x14ac:dyDescent="0.2">
      <c r="A26" s="1863" t="s">
        <v>1534</v>
      </c>
      <c r="B26" s="1864"/>
      <c r="C26" s="1865" t="s">
        <v>2085</v>
      </c>
      <c r="D26" s="1865" t="s">
        <v>2085</v>
      </c>
      <c r="E26" s="1868" t="s">
        <v>2085</v>
      </c>
      <c r="F26" s="1867" t="s">
        <v>2090</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2085</v>
      </c>
      <c r="D30" s="1865" t="s">
        <v>2085</v>
      </c>
      <c r="E30" s="1868" t="s">
        <v>2085</v>
      </c>
      <c r="F30" s="1867" t="s">
        <v>2092</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t="s">
        <v>2085</v>
      </c>
      <c r="D32" s="1865" t="s">
        <v>2085</v>
      </c>
      <c r="E32" s="1868" t="s">
        <v>2085</v>
      </c>
      <c r="F32" s="1867" t="s">
        <v>2093</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45</v>
      </c>
      <c r="I34" s="1878">
        <f>SUM(I11:I32)</f>
        <v>45</v>
      </c>
      <c r="J34" s="1878">
        <f>SUM(J11:J32)</f>
        <v>45</v>
      </c>
      <c r="K34" s="1878">
        <f>SUM(H34:J34)</f>
        <v>135</v>
      </c>
    </row>
    <row r="35" spans="1:11" ht="12" customHeight="1" x14ac:dyDescent="0.2">
      <c r="A35" s="1871" t="s">
        <v>1392</v>
      </c>
      <c r="B35" s="1872"/>
      <c r="C35" s="2305"/>
      <c r="D35" s="2305"/>
      <c r="E35" s="2305"/>
      <c r="F35" s="2306"/>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310"/>
      <c r="B38" s="2311"/>
      <c r="C38" s="2311"/>
      <c r="D38" s="2311"/>
      <c r="E38" s="2311"/>
      <c r="F38" s="2312"/>
    </row>
    <row r="39" spans="1:11" ht="4.5" hidden="1" customHeight="1" x14ac:dyDescent="0.2">
      <c r="A39" s="1873"/>
      <c r="B39" s="1873"/>
      <c r="C39" s="1873"/>
      <c r="D39" s="1873"/>
      <c r="E39" s="1873"/>
      <c r="F39" s="1873"/>
    </row>
    <row r="40" spans="1:11" s="1870" customFormat="1" ht="12" customHeight="1" x14ac:dyDescent="0.25">
      <c r="A40" s="1874" t="s">
        <v>1391</v>
      </c>
      <c r="B40" s="1875"/>
      <c r="C40" s="2313"/>
      <c r="D40" s="2313"/>
      <c r="E40" s="2313"/>
      <c r="F40" s="2314"/>
      <c r="H40" s="1879"/>
      <c r="I40" s="1879"/>
      <c r="J40" s="1879"/>
      <c r="K40" s="1879"/>
    </row>
    <row r="41" spans="1:11" s="1870" customFormat="1" ht="12" customHeight="1" x14ac:dyDescent="0.25">
      <c r="A41" s="2315"/>
      <c r="B41" s="2316"/>
      <c r="C41" s="2316"/>
      <c r="D41" s="2316"/>
      <c r="E41" s="2316"/>
      <c r="F41" s="2317"/>
      <c r="H41" s="1879"/>
      <c r="I41" s="1879"/>
      <c r="J41" s="1879"/>
      <c r="K41" s="1879"/>
    </row>
    <row r="42" spans="1:11" s="1870" customFormat="1" ht="12" customHeight="1" x14ac:dyDescent="0.25">
      <c r="A42" s="2315"/>
      <c r="B42" s="2316"/>
      <c r="C42" s="2316"/>
      <c r="D42" s="2316"/>
      <c r="E42" s="2316"/>
      <c r="F42" s="2317"/>
      <c r="H42" s="1879"/>
      <c r="I42" s="1879"/>
      <c r="J42" s="1879"/>
      <c r="K42" s="1879"/>
    </row>
    <row r="43" spans="1:11" s="1870" customFormat="1" ht="15" x14ac:dyDescent="0.25">
      <c r="A43" s="2307"/>
      <c r="B43" s="2308"/>
      <c r="C43" s="2308"/>
      <c r="D43" s="2308"/>
      <c r="E43" s="2308"/>
      <c r="F43" s="2309"/>
      <c r="H43" s="1879"/>
      <c r="I43" s="1879"/>
      <c r="J43" s="1879"/>
      <c r="K43" s="1879"/>
    </row>
    <row r="44" spans="1:11" s="1870" customFormat="1" ht="12" hidden="1" customHeight="1" x14ac:dyDescent="0.25">
      <c r="A44" s="2307"/>
      <c r="B44" s="2308"/>
      <c r="C44" s="2308"/>
      <c r="D44" s="2308"/>
      <c r="E44" s="2308"/>
      <c r="F44" s="230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topLeftCell="A5" colorId="8" zoomScale="110" zoomScaleNormal="110" workbookViewId="0">
      <selection activeCell="A15" sqref="A15:H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3" t="str">
        <f>COVER!A17</f>
        <v>Fremont SD 79</v>
      </c>
      <c r="J6" s="2324"/>
      <c r="Q6" s="1664"/>
    </row>
    <row r="7" spans="1:17" x14ac:dyDescent="0.2">
      <c r="A7" s="2325" t="s">
        <v>869</v>
      </c>
      <c r="B7" s="2326"/>
      <c r="C7" s="2326"/>
      <c r="D7" s="2326"/>
      <c r="E7" s="2327"/>
      <c r="F7" s="1017"/>
      <c r="G7" s="1009"/>
      <c r="H7" s="1016" t="s">
        <v>372</v>
      </c>
      <c r="I7" s="2328">
        <f>COVER!A13</f>
        <v>34049079002</v>
      </c>
      <c r="J7" s="232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9" t="s">
        <v>481</v>
      </c>
      <c r="B11" s="2330"/>
      <c r="C11" s="233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379774</v>
      </c>
      <c r="F12" s="1039"/>
      <c r="G12" s="1811">
        <f t="shared" ref="G12:G18" si="0">SUM(E12:F12)</f>
        <v>379774</v>
      </c>
      <c r="H12" s="1040">
        <v>398700</v>
      </c>
      <c r="I12" s="1039"/>
      <c r="J12" s="1811">
        <f t="shared" ref="J12:J18" si="1">SUM(H12:I12)</f>
        <v>398700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242863</v>
      </c>
      <c r="F14" s="1039"/>
      <c r="G14" s="1811">
        <f t="shared" si="0"/>
        <v>242863</v>
      </c>
      <c r="H14" s="1040">
        <v>253660</v>
      </c>
      <c r="I14" s="1039"/>
      <c r="J14" s="1811">
        <f t="shared" si="1"/>
        <v>253660</v>
      </c>
    </row>
    <row r="15" spans="1:17" ht="15" customHeight="1" x14ac:dyDescent="0.2">
      <c r="A15" s="1035">
        <v>4</v>
      </c>
      <c r="B15" s="1036" t="s">
        <v>1068</v>
      </c>
      <c r="C15" s="1037"/>
      <c r="D15" s="1038">
        <v>2510</v>
      </c>
      <c r="E15" s="1811">
        <f>'Expenditures 15-22'!K59</f>
        <v>467357</v>
      </c>
      <c r="F15" s="1811">
        <f>'Expenditures 15-22'!K122</f>
        <v>0</v>
      </c>
      <c r="G15" s="1811">
        <f t="shared" si="0"/>
        <v>467357</v>
      </c>
      <c r="H15" s="1040">
        <v>472328</v>
      </c>
      <c r="I15" s="1040"/>
      <c r="J15" s="1811">
        <f t="shared" si="1"/>
        <v>472328</v>
      </c>
    </row>
    <row r="16" spans="1:17" ht="15" customHeight="1" x14ac:dyDescent="0.2">
      <c r="A16" s="1035">
        <v>5</v>
      </c>
      <c r="B16" s="1036" t="s">
        <v>101</v>
      </c>
      <c r="C16" s="1037"/>
      <c r="D16" s="1038">
        <v>2570</v>
      </c>
      <c r="E16" s="1811">
        <f>'Expenditures 15-22'!K64</f>
        <v>104122</v>
      </c>
      <c r="F16" s="1039"/>
      <c r="G16" s="1811">
        <f t="shared" si="0"/>
        <v>104122</v>
      </c>
      <c r="H16" s="1040">
        <v>115000</v>
      </c>
      <c r="I16" s="1039"/>
      <c r="J16" s="1811">
        <f t="shared" si="1"/>
        <v>115000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2" t="s">
        <v>7</v>
      </c>
      <c r="C18" s="2333"/>
      <c r="D18" s="2334"/>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1194116</v>
      </c>
      <c r="F19" s="1813">
        <f t="shared" si="2"/>
        <v>0</v>
      </c>
      <c r="G19" s="1813">
        <f t="shared" si="2"/>
        <v>1194116</v>
      </c>
      <c r="H19" s="1813">
        <f t="shared" si="2"/>
        <v>1239688</v>
      </c>
      <c r="I19" s="1813">
        <f t="shared" si="2"/>
        <v>0</v>
      </c>
      <c r="J19" s="1813">
        <f t="shared" si="2"/>
        <v>1239688</v>
      </c>
    </row>
    <row r="20" spans="1:10" ht="13.5" thickTop="1" x14ac:dyDescent="0.2">
      <c r="A20" s="1035">
        <v>9</v>
      </c>
      <c r="B20" s="2335" t="s">
        <v>1979</v>
      </c>
      <c r="C20" s="2335"/>
      <c r="D20" s="2336"/>
      <c r="E20" s="1046"/>
      <c r="F20" s="1046"/>
      <c r="G20" s="1046"/>
      <c r="H20" s="1046"/>
      <c r="I20" s="1046"/>
      <c r="J20" s="1814">
        <f>IF(AND(G19&gt;0,J19&gt;0),(((J19-G19)/G19)),"Enter Budget Data")</f>
        <v>3.8163796482083817E-2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1033</v>
      </c>
      <c r="D27" s="1052"/>
      <c r="E27" s="1053"/>
      <c r="F27" s="2337" t="s">
        <v>1509</v>
      </c>
      <c r="G27" s="2337"/>
    </row>
    <row r="28" spans="1:10" ht="28.5" customHeight="1" x14ac:dyDescent="0.2">
      <c r="B28" s="1047"/>
      <c r="C28" s="2339"/>
      <c r="D28" s="2339"/>
      <c r="E28" s="1054"/>
      <c r="F28" s="2339"/>
      <c r="G28" s="2339"/>
    </row>
    <row r="29" spans="1:10" x14ac:dyDescent="0.2">
      <c r="B29" s="1047"/>
      <c r="C29" s="1055" t="s">
        <v>1561</v>
      </c>
      <c r="E29" s="1056"/>
      <c r="F29" s="2338" t="s">
        <v>1510</v>
      </c>
      <c r="G29" s="233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1981</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882</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6"/>
  <sheetViews>
    <sheetView showGridLines="0" zoomScale="110" zoomScaleNormal="110" workbookViewId="0">
      <selection activeCell="B12" sqref="B1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2102</v>
      </c>
    </row>
    <row r="6" spans="1:2" x14ac:dyDescent="0.2">
      <c r="A6" s="1068">
        <v>2</v>
      </c>
      <c r="B6" s="597" t="s">
        <v>2108</v>
      </c>
    </row>
    <row r="7" spans="1:2" x14ac:dyDescent="0.2">
      <c r="A7" s="1068"/>
      <c r="B7" s="597" t="s">
        <v>2107</v>
      </c>
    </row>
    <row r="8" spans="1:2" x14ac:dyDescent="0.2">
      <c r="A8" s="1068">
        <v>3</v>
      </c>
      <c r="B8" s="329" t="s">
        <v>2101</v>
      </c>
    </row>
    <row r="9" spans="1:2" x14ac:dyDescent="0.2">
      <c r="A9" s="1068">
        <v>4</v>
      </c>
      <c r="B9" s="329" t="s">
        <v>2097</v>
      </c>
    </row>
    <row r="10" spans="1:2" x14ac:dyDescent="0.2">
      <c r="A10" s="1068">
        <v>5</v>
      </c>
      <c r="B10" s="329" t="s">
        <v>2098</v>
      </c>
    </row>
    <row r="11" spans="1:2" x14ac:dyDescent="0.2">
      <c r="A11" s="1068">
        <v>6</v>
      </c>
      <c r="B11" s="329" t="s">
        <v>2103</v>
      </c>
    </row>
    <row r="12" spans="1:2" x14ac:dyDescent="0.2">
      <c r="A12" s="1068">
        <v>7</v>
      </c>
      <c r="B12" s="329" t="s">
        <v>2104</v>
      </c>
    </row>
    <row r="13" spans="1:2" x14ac:dyDescent="0.2">
      <c r="A13" s="1068">
        <v>8</v>
      </c>
      <c r="B13" s="329" t="s">
        <v>2099</v>
      </c>
    </row>
    <row r="14" spans="1:2" x14ac:dyDescent="0.2">
      <c r="A14" s="1068">
        <v>9</v>
      </c>
      <c r="B14" s="329" t="s">
        <v>2100</v>
      </c>
    </row>
    <row r="15" spans="1:2" x14ac:dyDescent="0.2">
      <c r="A15" s="1068">
        <v>10</v>
      </c>
      <c r="B15" s="329" t="s">
        <v>2105</v>
      </c>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Fremont SD 79</v>
      </c>
    </row>
    <row r="66" spans="1:2" x14ac:dyDescent="0.2">
      <c r="B66" s="1070">
        <f>COVER!A13</f>
        <v>34049079002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T23" sqref="T23:W2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1608</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4" sqref="F1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2" t="s">
        <v>1685</v>
      </c>
      <c r="B18" s="234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180975</xdr:colOff>
                <xdr:row>0</xdr:row>
                <xdr:rowOff>114300</xdr:rowOff>
              </from>
              <to>
                <xdr:col>1</xdr:col>
                <xdr:colOff>1095375</xdr:colOff>
                <xdr:row>4</xdr:row>
                <xdr:rowOff>152400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1190625</xdr:colOff>
                <xdr:row>0</xdr:row>
                <xdr:rowOff>104775</xdr:rowOff>
              </from>
              <to>
                <xdr:col>1</xdr:col>
                <xdr:colOff>2105025</xdr:colOff>
                <xdr:row>4</xdr:row>
                <xdr:rowOff>142875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1690</v>
      </c>
      <c r="B1" s="2344"/>
      <c r="C1" s="2344"/>
      <c r="D1" s="2344"/>
      <c r="E1" s="2344"/>
      <c r="F1" s="2345"/>
    </row>
    <row r="2" spans="1:8" ht="45" customHeight="1" x14ac:dyDescent="0.2">
      <c r="A2" s="2353" t="s">
        <v>1985</v>
      </c>
      <c r="B2" s="2354"/>
      <c r="C2" s="2354"/>
      <c r="D2" s="2354"/>
      <c r="E2" s="2354"/>
      <c r="F2" s="2355"/>
      <c r="G2" s="1074"/>
      <c r="H2" s="1074"/>
    </row>
    <row r="3" spans="1:8" ht="57" customHeight="1" x14ac:dyDescent="0.2">
      <c r="A3" s="2356" t="s">
        <v>1686</v>
      </c>
      <c r="B3" s="2357"/>
      <c r="C3" s="2357"/>
      <c r="D3" s="2357"/>
      <c r="E3" s="2357"/>
      <c r="F3" s="2358"/>
      <c r="G3" s="1074"/>
      <c r="H3" s="1074"/>
    </row>
    <row r="4" spans="1:8" ht="14.25" customHeight="1" x14ac:dyDescent="0.2">
      <c r="A4" s="2362" t="s">
        <v>1986</v>
      </c>
      <c r="B4" s="2363"/>
      <c r="C4" s="2363"/>
      <c r="D4" s="2363"/>
      <c r="E4" s="2363"/>
      <c r="F4" s="2364"/>
      <c r="G4" s="1074"/>
      <c r="H4" s="1074"/>
    </row>
    <row r="5" spans="1:8" ht="14.25" customHeight="1" x14ac:dyDescent="0.2">
      <c r="A5" s="2365" t="s">
        <v>1982</v>
      </c>
      <c r="B5" s="2366"/>
      <c r="C5" s="2366"/>
      <c r="D5" s="2366"/>
      <c r="E5" s="2366"/>
      <c r="F5" s="2367"/>
      <c r="G5" s="1074"/>
      <c r="H5" s="1074"/>
    </row>
    <row r="6" spans="1:8" s="1075" customFormat="1" ht="41.25" customHeight="1" x14ac:dyDescent="0.2">
      <c r="A6" s="2359" t="s">
        <v>1691</v>
      </c>
      <c r="B6" s="2360"/>
      <c r="C6" s="2360"/>
      <c r="D6" s="2360"/>
      <c r="E6" s="2360"/>
      <c r="F6" s="2361"/>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22053455</v>
      </c>
      <c r="C8" s="1815">
        <f>'Acct Summary 7-8'!D8</f>
        <v>2460738</v>
      </c>
      <c r="D8" s="1815">
        <f>'Acct Summary 7-8'!F8</f>
        <v>2374111</v>
      </c>
      <c r="E8" s="1815">
        <f>'Acct Summary 7-8'!I8</f>
        <v>38823</v>
      </c>
      <c r="F8" s="1815">
        <f>SUM(B8:E8)</f>
        <v>26927127</v>
      </c>
    </row>
    <row r="9" spans="1:8" s="1079" customFormat="1" ht="14.25" customHeight="1" thickBot="1" x14ac:dyDescent="0.25">
      <c r="A9" s="1078" t="s">
        <v>1369</v>
      </c>
      <c r="B9" s="1816">
        <f>'Acct Summary 7-8'!C17</f>
        <v>23096042</v>
      </c>
      <c r="C9" s="1816">
        <f>'Acct Summary 7-8'!D17</f>
        <v>2448193</v>
      </c>
      <c r="D9" s="1816">
        <f>'Acct Summary 7-8'!F17</f>
        <v>2817737</v>
      </c>
      <c r="E9" s="1815"/>
      <c r="F9" s="1815">
        <f>SUM(B9:E9)</f>
        <v>28361972</v>
      </c>
    </row>
    <row r="10" spans="1:8" s="1079" customFormat="1" ht="14.25" thickTop="1" thickBot="1" x14ac:dyDescent="0.25">
      <c r="A10" s="1080" t="s">
        <v>1370</v>
      </c>
      <c r="B10" s="1817">
        <f>(B8-B9)</f>
        <v>-1042587</v>
      </c>
      <c r="C10" s="1817">
        <f>(C8-C9)</f>
        <v>12545</v>
      </c>
      <c r="D10" s="1817">
        <f>(D8-D9)</f>
        <v>-443626</v>
      </c>
      <c r="E10" s="1816">
        <f>(E8-E9)</f>
        <v>38823</v>
      </c>
      <c r="F10" s="1818">
        <f>SUM(F8-F9)</f>
        <v>-1434845</v>
      </c>
    </row>
    <row r="11" spans="1:8" s="1079" customFormat="1" ht="14.25" thickTop="1" thickBot="1" x14ac:dyDescent="0.25">
      <c r="A11" s="1081" t="s">
        <v>1983</v>
      </c>
      <c r="B11" s="1819">
        <f>'Acct Summary 7-8'!C81</f>
        <v>21863523</v>
      </c>
      <c r="C11" s="1819">
        <f>'Acct Summary 7-8'!D81</f>
        <v>3017917</v>
      </c>
      <c r="D11" s="1819">
        <f>'Acct Summary 7-8'!F81</f>
        <v>2302434</v>
      </c>
      <c r="E11" s="1819">
        <f>'Acct Summary 7-8'!I81</f>
        <v>1320614</v>
      </c>
      <c r="F11" s="1820">
        <f>SUM(B11:E11)</f>
        <v>28504488</v>
      </c>
    </row>
    <row r="12" spans="1:8" ht="16.5" customHeight="1" thickTop="1" x14ac:dyDescent="0.2">
      <c r="A12" s="1082"/>
      <c r="B12" s="1083"/>
      <c r="C12" s="2347" t="str">
        <f>IF(AND(F10&lt;0,F11&gt;=0,ABS(F10*3)&gt;ABS(F11)),A16,IF(AND(F10&lt;0,F11&gt;0,ABS(F10*3)&lt;=ABS(F11)),A17,IF(AND(F10&lt;0,F11&lt;0),A16,IF(F11=0,A19,A18))))</f>
        <v>Unbalanced -  however, a deficit reduction plan is not required at this time.</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1687</v>
      </c>
      <c r="B16" s="2346"/>
      <c r="C16" s="2346"/>
      <c r="D16" s="2346"/>
      <c r="E16" s="2346"/>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8" t="s">
        <v>665</v>
      </c>
      <c r="B3" s="2369"/>
      <c r="C3" s="2369"/>
      <c r="D3" s="2370"/>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9" t="s">
        <v>1504</v>
      </c>
      <c r="D7" s="2380"/>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1" t="s">
        <v>1008</v>
      </c>
      <c r="B15" s="2372"/>
      <c r="C15" s="2372"/>
      <c r="D15" s="2373"/>
    </row>
    <row r="16" spans="1:4" s="668" customFormat="1" ht="24" customHeight="1" x14ac:dyDescent="0.2">
      <c r="A16" s="2374" t="s">
        <v>663</v>
      </c>
      <c r="B16" s="2375"/>
      <c r="C16" s="2375"/>
      <c r="D16" s="2376"/>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3" t="s">
        <v>314</v>
      </c>
      <c r="D21" s="2384"/>
    </row>
    <row r="22" spans="1:10" ht="12.75" x14ac:dyDescent="0.2">
      <c r="A22" s="1139"/>
      <c r="B22" s="1140">
        <v>2</v>
      </c>
      <c r="C22" s="2381" t="s">
        <v>1524</v>
      </c>
      <c r="D22" s="2382"/>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5" t="s">
        <v>536</v>
      </c>
      <c r="D43" s="238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7" t="s">
        <v>784</v>
      </c>
      <c r="D56" s="237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7" t="s">
        <v>1696</v>
      </c>
      <c r="D70" s="237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34049079002</v>
      </c>
    </row>
    <row r="3" spans="1:2" x14ac:dyDescent="0.2">
      <c r="A3" t="s">
        <v>956</v>
      </c>
      <c r="B3" s="138" t="str">
        <f>COVER!A15</f>
        <v>Lake</v>
      </c>
    </row>
    <row r="4" spans="1:2" x14ac:dyDescent="0.2">
      <c r="A4" t="s">
        <v>1007</v>
      </c>
      <c r="B4" s="138" t="str">
        <f>COVER!A17</f>
        <v>Fremont SD 79</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066.005340</v>
      </c>
    </row>
    <row r="16" spans="1:2" x14ac:dyDescent="0.2">
      <c r="A16" t="s">
        <v>422</v>
      </c>
      <c r="B16" s="138" t="str">
        <f>COVER!T13</f>
        <v>Evans, Marshall and Pease, PC</v>
      </c>
    </row>
    <row r="17" spans="1:2" x14ac:dyDescent="0.2">
      <c r="A17" t="s">
        <v>884</v>
      </c>
      <c r="B17" s="138" t="str">
        <f>COVER!T15</f>
        <v>Jeffery M. Rollefson, CPA</v>
      </c>
    </row>
    <row r="18" spans="1:2" x14ac:dyDescent="0.2">
      <c r="A18" t="s">
        <v>1150</v>
      </c>
      <c r="B18" s="138" t="str">
        <f>COVER!T17</f>
        <v>1875 Hicks Road</v>
      </c>
    </row>
    <row r="19" spans="1:2" x14ac:dyDescent="0.2">
      <c r="A19" t="s">
        <v>886</v>
      </c>
      <c r="B19" s="138" t="str">
        <f>COVER!T25</f>
        <v>jeff@empcpa.com</v>
      </c>
    </row>
    <row r="20" spans="1:2" x14ac:dyDescent="0.2">
      <c r="A20" t="s">
        <v>887</v>
      </c>
      <c r="B20" s="138" t="str">
        <f>COVER!T19</f>
        <v>Rolling Meadows</v>
      </c>
    </row>
    <row r="21" spans="1:2" x14ac:dyDescent="0.2">
      <c r="A21" t="s">
        <v>479</v>
      </c>
      <c r="B21" s="138" t="str">
        <f>COVER!X19</f>
        <v>IL</v>
      </c>
    </row>
    <row r="22" spans="1:2" x14ac:dyDescent="0.2">
      <c r="A22" t="s">
        <v>888</v>
      </c>
      <c r="B22" s="138">
        <f>COVER!Z19</f>
        <v>60008</v>
      </c>
    </row>
    <row r="23" spans="1:2" x14ac:dyDescent="0.2">
      <c r="A23" t="s">
        <v>1152</v>
      </c>
      <c r="B23" s="138" t="str">
        <f>COVER!T21</f>
        <v>847-221-5700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33512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10126569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31239924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9235119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9376401</v>
      </c>
      <c r="C91" s="2" t="s">
        <v>573</v>
      </c>
      <c r="D91" s="2" t="str">
        <f t="shared" si="0"/>
        <v>Error?</v>
      </c>
    </row>
    <row r="92" spans="1:4" x14ac:dyDescent="0.2">
      <c r="A92" s="5">
        <v>31</v>
      </c>
      <c r="B92" s="138">
        <f>'Assets-Liab 5-6'!C39</f>
        <v>21863523</v>
      </c>
      <c r="D92" s="2" t="str">
        <f t="shared" si="0"/>
        <v>Error?</v>
      </c>
    </row>
    <row r="93" spans="1:4" x14ac:dyDescent="0.2">
      <c r="A93" s="5">
        <v>32</v>
      </c>
      <c r="B93" s="138">
        <f>'Assets-Liab 5-6'!C41</f>
        <v>31239924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1251544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4188246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1141370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1170329</v>
      </c>
      <c r="C122" s="2" t="s">
        <v>573</v>
      </c>
      <c r="D122" s="2" t="str">
        <f t="shared" si="0"/>
        <v>Error?</v>
      </c>
    </row>
    <row r="123" spans="1:4" x14ac:dyDescent="0.2">
      <c r="A123" s="5">
        <v>62</v>
      </c>
      <c r="B123" s="138">
        <f>'Assets-Liab 5-6'!D39</f>
        <v>3017917</v>
      </c>
      <c r="D123" s="2" t="str">
        <f t="shared" si="0"/>
        <v>Error?</v>
      </c>
    </row>
    <row r="124" spans="1:4" x14ac:dyDescent="0.2">
      <c r="A124" s="5">
        <v>63</v>
      </c>
      <c r="B124" s="138">
        <f>'Assets-Liab 5-6'!D41</f>
        <v>4188246</v>
      </c>
      <c r="C124" s="2" t="s">
        <v>573</v>
      </c>
      <c r="D124" s="2" t="str">
        <f t="shared" si="0"/>
        <v>Error?</v>
      </c>
    </row>
    <row r="125" spans="1:4" x14ac:dyDescent="0.2">
      <c r="A125" s="10">
        <v>64</v>
      </c>
      <c r="D125" s="2" t="str">
        <f t="shared" si="0"/>
        <v>OK</v>
      </c>
    </row>
    <row r="126" spans="1:4" x14ac:dyDescent="0.2">
      <c r="A126" s="5">
        <v>65</v>
      </c>
      <c r="B126" s="138">
        <f>'Assets-Liab 5-6'!E6</f>
        <v>1534076</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3704359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1399030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1399030</v>
      </c>
      <c r="C139" s="2" t="s">
        <v>573</v>
      </c>
      <c r="D139" s="2" t="str">
        <f t="shared" si="1"/>
        <v>Error?</v>
      </c>
    </row>
    <row r="140" spans="1:4" x14ac:dyDescent="0.2">
      <c r="A140" s="5">
        <v>79</v>
      </c>
      <c r="B140" s="138">
        <f>'Assets-Liab 5-6'!E39</f>
        <v>2305329</v>
      </c>
      <c r="D140" s="2" t="str">
        <f t="shared" si="1"/>
        <v>Error?</v>
      </c>
    </row>
    <row r="141" spans="1:4" x14ac:dyDescent="0.2">
      <c r="A141" s="5">
        <v>80</v>
      </c>
      <c r="B141" s="138">
        <f>'Assets-Liab 5-6'!E41</f>
        <v>3704359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615139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2867672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560988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565238</v>
      </c>
      <c r="C169" s="2" t="s">
        <v>573</v>
      </c>
      <c r="D169" s="2" t="str">
        <f t="shared" si="1"/>
        <v>Error?</v>
      </c>
    </row>
    <row r="170" spans="1:4" x14ac:dyDescent="0.2">
      <c r="A170" s="5">
        <v>109</v>
      </c>
      <c r="B170" s="138">
        <f>'Assets-Liab 5-6'!F39</f>
        <v>2302434</v>
      </c>
      <c r="D170" s="2" t="str">
        <f t="shared" si="1"/>
        <v>Error?</v>
      </c>
    </row>
    <row r="171" spans="1:4" x14ac:dyDescent="0.2">
      <c r="A171" s="5">
        <v>110</v>
      </c>
      <c r="B171" s="138">
        <f>'Assets-Liab 5-6'!F41</f>
        <v>2867672</v>
      </c>
      <c r="C171" s="2" t="s">
        <v>573</v>
      </c>
      <c r="D171" s="2" t="str">
        <f t="shared" si="1"/>
        <v>Error?</v>
      </c>
    </row>
    <row r="172" spans="1:4" x14ac:dyDescent="0.2">
      <c r="A172" s="10">
        <v>111</v>
      </c>
      <c r="D172" s="2" t="str">
        <f t="shared" si="1"/>
        <v>OK</v>
      </c>
    </row>
    <row r="173" spans="1:4" x14ac:dyDescent="0.2">
      <c r="A173" s="5">
        <v>112</v>
      </c>
      <c r="B173" s="138">
        <f>'Assets-Liab 5-6'!G6</f>
        <v>393554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626271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358909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358852</v>
      </c>
      <c r="C188" s="2" t="s">
        <v>573</v>
      </c>
      <c r="D188" s="2" t="str">
        <f t="shared" si="1"/>
        <v>Error?</v>
      </c>
    </row>
    <row r="189" spans="1:4" x14ac:dyDescent="0.2">
      <c r="A189" s="5">
        <v>128</v>
      </c>
      <c r="B189" s="138">
        <f>'Assets-Liab 5-6'!G39</f>
        <v>267419</v>
      </c>
      <c r="D189" s="2" t="str">
        <f t="shared" si="1"/>
        <v>Error?</v>
      </c>
    </row>
    <row r="190" spans="1:4" x14ac:dyDescent="0.2">
      <c r="A190" s="5">
        <v>129</v>
      </c>
      <c r="B190" s="138">
        <f>'Assets-Liab 5-6'!G41</f>
        <v>626271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779932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779932</v>
      </c>
      <c r="D212" s="2" t="str">
        <f t="shared" si="2"/>
        <v>Error?</v>
      </c>
    </row>
    <row r="213" spans="1:4" x14ac:dyDescent="0.2">
      <c r="A213" s="12">
        <v>152</v>
      </c>
      <c r="B213" s="138">
        <f>'Assets-Liab 5-6'!H41</f>
        <v>779932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4698697</v>
      </c>
      <c r="D273" s="2" t="str">
        <f t="shared" si="3"/>
        <v>Error?</v>
      </c>
    </row>
    <row r="274" spans="1:4" x14ac:dyDescent="0.2">
      <c r="A274" s="5">
        <v>213</v>
      </c>
      <c r="B274" s="138">
        <f>'Assets-Liab 5-6'!M17</f>
        <v>53363883</v>
      </c>
      <c r="D274" s="2" t="str">
        <f t="shared" si="3"/>
        <v>Error?</v>
      </c>
    </row>
    <row r="275" spans="1:4" x14ac:dyDescent="0.2">
      <c r="A275" s="5">
        <v>214</v>
      </c>
      <c r="B275" s="138">
        <f>'Assets-Liab 5-6'!M18</f>
        <v>4057493</v>
      </c>
      <c r="D275" s="2" t="str">
        <f t="shared" si="3"/>
        <v>Error?</v>
      </c>
    </row>
    <row r="276" spans="1:4" x14ac:dyDescent="0.2">
      <c r="A276" s="5">
        <v>215</v>
      </c>
      <c r="B276" s="138">
        <f>'Assets-Liab 5-6'!M19</f>
        <v>8104797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70619552</v>
      </c>
      <c r="C279" s="2" t="s">
        <v>573</v>
      </c>
      <c r="D279" s="2" t="str">
        <f t="shared" si="3"/>
        <v>Error?</v>
      </c>
    </row>
    <row r="280" spans="1:4" x14ac:dyDescent="0.2">
      <c r="A280" s="5">
        <v>219</v>
      </c>
      <c r="B280" s="138">
        <f>'Assets-Liab 5-6'!M40</f>
        <v>70619552</v>
      </c>
      <c r="D280" s="2" t="str">
        <f t="shared" si="3"/>
        <v>Error?</v>
      </c>
    </row>
    <row r="281" spans="1:4" x14ac:dyDescent="0.2">
      <c r="A281" s="5">
        <v>220</v>
      </c>
      <c r="B281" s="138">
        <f>'Assets-Liab 5-6'!M41</f>
        <v>70619552</v>
      </c>
      <c r="C281" s="2" t="s">
        <v>573</v>
      </c>
      <c r="D281" s="2" t="str">
        <f t="shared" si="3"/>
        <v>Error?</v>
      </c>
    </row>
    <row r="282" spans="1:4" x14ac:dyDescent="0.2">
      <c r="A282" s="5">
        <v>221</v>
      </c>
      <c r="B282" s="138">
        <f>'Assets-Liab 5-6'!N21</f>
        <v>2305329</v>
      </c>
      <c r="D282" s="2" t="str">
        <f t="shared" si="3"/>
        <v>Error?</v>
      </c>
    </row>
    <row r="283" spans="1:4" x14ac:dyDescent="0.2">
      <c r="A283" s="5">
        <v>222</v>
      </c>
      <c r="B283" s="138">
        <f>'Assets-Liab 5-6'!N22</f>
        <v>12126080</v>
      </c>
      <c r="D283" s="2" t="str">
        <f t="shared" si="3"/>
        <v>Error?</v>
      </c>
    </row>
    <row r="284" spans="1:4" x14ac:dyDescent="0.2">
      <c r="A284" s="5">
        <v>223</v>
      </c>
      <c r="B284" s="138">
        <f>'Assets-Liab 5-6'!N23</f>
        <v>14431409</v>
      </c>
      <c r="C284" s="2" t="s">
        <v>573</v>
      </c>
      <c r="D284" s="2" t="str">
        <f t="shared" si="3"/>
        <v>Error?</v>
      </c>
    </row>
    <row r="285" spans="1:4" x14ac:dyDescent="0.2">
      <c r="A285" s="5">
        <v>224</v>
      </c>
      <c r="B285" s="138">
        <f>'Assets-Liab 5-6'!N36</f>
        <v>14431409</v>
      </c>
      <c r="D285" s="2" t="str">
        <f t="shared" si="3"/>
        <v>Error?</v>
      </c>
    </row>
    <row r="286" spans="1:4" x14ac:dyDescent="0.2">
      <c r="A286" s="10">
        <v>225</v>
      </c>
      <c r="D286" s="2" t="str">
        <f t="shared" si="3"/>
        <v>OK</v>
      </c>
    </row>
    <row r="287" spans="1:4" x14ac:dyDescent="0.2">
      <c r="A287" s="5">
        <v>226</v>
      </c>
      <c r="B287" s="138">
        <f>'Assets-Liab 5-6'!N37</f>
        <v>14431409</v>
      </c>
      <c r="C287" s="2" t="s">
        <v>573</v>
      </c>
      <c r="D287" s="2" t="str">
        <f t="shared" si="3"/>
        <v>Error?</v>
      </c>
    </row>
    <row r="288" spans="1:4" x14ac:dyDescent="0.2">
      <c r="A288" s="5">
        <v>227</v>
      </c>
      <c r="B288" s="138">
        <f>'Assets-Liab 5-6'!N41</f>
        <v>14431409</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8049856</v>
      </c>
      <c r="D705" s="2" t="str">
        <f t="shared" si="10"/>
        <v>Error?</v>
      </c>
    </row>
    <row r="706" spans="1:4" x14ac:dyDescent="0.2">
      <c r="A706" s="5">
        <v>645</v>
      </c>
      <c r="B706" s="138">
        <f>'Expenditures 15-22'!C16</f>
        <v>170383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473581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171247</v>
      </c>
      <c r="D718" s="2" t="str">
        <f t="shared" si="10"/>
        <v>Error?</v>
      </c>
    </row>
    <row r="719" spans="1:4" x14ac:dyDescent="0.2">
      <c r="A719" s="5">
        <v>658</v>
      </c>
      <c r="B719" s="138">
        <f>'Expenditures 15-22'!C15</f>
        <v>14060</v>
      </c>
      <c r="D719" s="2" t="str">
        <f t="shared" si="10"/>
        <v>Error?</v>
      </c>
    </row>
    <row r="720" spans="1:4" x14ac:dyDescent="0.2">
      <c r="A720" s="5">
        <v>659</v>
      </c>
      <c r="B720" s="138">
        <f>'Expenditures 15-22'!C33</f>
        <v>10900098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188385</v>
      </c>
      <c r="D722" s="2" t="str">
        <f t="shared" si="10"/>
        <v>Error?</v>
      </c>
    </row>
    <row r="723" spans="1:4" x14ac:dyDescent="0.2">
      <c r="A723" s="5">
        <v>662</v>
      </c>
      <c r="B723" s="138">
        <f>'Expenditures 15-22'!C38</f>
        <v>124730</v>
      </c>
      <c r="D723" s="2" t="str">
        <f t="shared" si="10"/>
        <v>Error?</v>
      </c>
    </row>
    <row r="724" spans="1:4" x14ac:dyDescent="0.2">
      <c r="A724" s="5">
        <v>663</v>
      </c>
      <c r="B724" s="138">
        <f>'Expenditures 15-22'!C39</f>
        <v>227438</v>
      </c>
      <c r="D724" s="2" t="str">
        <f t="shared" si="10"/>
        <v>Error?</v>
      </c>
    </row>
    <row r="725" spans="1:4" x14ac:dyDescent="0.2">
      <c r="A725" s="5">
        <v>664</v>
      </c>
      <c r="B725" s="138">
        <f>'Expenditures 15-22'!C40</f>
        <v>343812</v>
      </c>
      <c r="D725" s="2" t="str">
        <f t="shared" si="10"/>
        <v>Error?</v>
      </c>
    </row>
    <row r="726" spans="1:4" x14ac:dyDescent="0.2">
      <c r="A726" s="5">
        <v>665</v>
      </c>
      <c r="B726" s="138">
        <f>'Expenditures 15-22'!C41</f>
        <v>199590</v>
      </c>
      <c r="D726" s="2" t="str">
        <f t="shared" si="10"/>
        <v>Error?</v>
      </c>
    </row>
    <row r="727" spans="1:4" x14ac:dyDescent="0.2">
      <c r="A727" s="5">
        <v>666</v>
      </c>
      <c r="B727" s="138">
        <f>'Expenditures 15-22'!C42</f>
        <v>1083955</v>
      </c>
      <c r="C727" s="2" t="s">
        <v>573</v>
      </c>
      <c r="D727" s="2" t="str">
        <f t="shared" si="10"/>
        <v>Error?</v>
      </c>
    </row>
    <row r="728" spans="1:4" x14ac:dyDescent="0.2">
      <c r="A728" s="5">
        <v>667</v>
      </c>
      <c r="B728" s="138">
        <f>'Expenditures 15-22'!C44</f>
        <v>173223</v>
      </c>
      <c r="D728" s="2" t="str">
        <f t="shared" si="10"/>
        <v>Error?</v>
      </c>
    </row>
    <row r="729" spans="1:4" x14ac:dyDescent="0.2">
      <c r="A729" s="5">
        <v>668</v>
      </c>
      <c r="B729" s="138">
        <f>'Expenditures 15-22'!C45</f>
        <v>630837</v>
      </c>
      <c r="D729" s="2" t="str">
        <f t="shared" si="10"/>
        <v>Error?</v>
      </c>
    </row>
    <row r="730" spans="1:4" x14ac:dyDescent="0.2">
      <c r="A730" s="5">
        <v>669</v>
      </c>
      <c r="B730" s="138">
        <f>'Expenditures 15-22'!C46</f>
        <v>88574</v>
      </c>
      <c r="D730" s="2" t="str">
        <f t="shared" si="10"/>
        <v>Error?</v>
      </c>
    </row>
    <row r="731" spans="1:4" x14ac:dyDescent="0.2">
      <c r="A731" s="5">
        <v>670</v>
      </c>
      <c r="B731" s="138">
        <f>'Expenditures 15-22'!C47</f>
        <v>892634</v>
      </c>
      <c r="C731" s="2" t="s">
        <v>573</v>
      </c>
      <c r="D731" s="2" t="str">
        <f t="shared" si="10"/>
        <v>Error?</v>
      </c>
    </row>
    <row r="732" spans="1:4" x14ac:dyDescent="0.2">
      <c r="A732" s="5">
        <v>671</v>
      </c>
      <c r="B732" s="138">
        <f>'Expenditures 15-22'!C49</f>
        <v>13200</v>
      </c>
      <c r="D732" s="2" t="str">
        <f t="shared" si="10"/>
        <v>Error?</v>
      </c>
    </row>
    <row r="733" spans="1:4" x14ac:dyDescent="0.2">
      <c r="A733" s="5">
        <v>672</v>
      </c>
      <c r="B733" s="138">
        <f>'Expenditures 15-22'!C50</f>
        <v>285059</v>
      </c>
      <c r="D733" s="2" t="str">
        <f t="shared" si="10"/>
        <v>Error?</v>
      </c>
    </row>
    <row r="734" spans="1:4" x14ac:dyDescent="0.2">
      <c r="A734" s="5">
        <v>673</v>
      </c>
      <c r="B734" s="138">
        <f>'Expenditures 15-22'!C53</f>
        <v>298259</v>
      </c>
      <c r="C734" s="2" t="s">
        <v>573</v>
      </c>
      <c r="D734" s="2" t="str">
        <f t="shared" si="10"/>
        <v>Error?</v>
      </c>
    </row>
    <row r="735" spans="1:4" x14ac:dyDescent="0.2">
      <c r="A735" s="5">
        <v>674</v>
      </c>
      <c r="B735" s="138">
        <f>'Expenditures 15-22'!C55</f>
        <v>694709</v>
      </c>
      <c r="D735" s="2" t="str">
        <f t="shared" si="10"/>
        <v>Error?</v>
      </c>
    </row>
    <row r="736" spans="1:4" x14ac:dyDescent="0.2">
      <c r="A736" s="5">
        <v>675</v>
      </c>
      <c r="B736" s="138">
        <f>'Expenditures 15-22'!C56</f>
        <v>180921</v>
      </c>
      <c r="D736" s="2" t="str">
        <f t="shared" si="10"/>
        <v>Error?</v>
      </c>
    </row>
    <row r="737" spans="1:4" x14ac:dyDescent="0.2">
      <c r="A737" s="5">
        <v>676</v>
      </c>
      <c r="B737" s="138">
        <f>'Expenditures 15-22'!C57</f>
        <v>875630</v>
      </c>
      <c r="C737" s="2" t="s">
        <v>573</v>
      </c>
      <c r="D737" s="2" t="str">
        <f t="shared" si="10"/>
        <v>Error?</v>
      </c>
    </row>
    <row r="738" spans="1:4" x14ac:dyDescent="0.2">
      <c r="A738" s="5">
        <v>677</v>
      </c>
      <c r="B738" s="138">
        <f>'Expenditures 15-22'!C59</f>
        <v>335628</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90429</v>
      </c>
      <c r="D742" s="2" t="str">
        <f t="shared" si="10"/>
        <v>Error?</v>
      </c>
    </row>
    <row r="743" spans="1:4" x14ac:dyDescent="0.2">
      <c r="A743" s="5">
        <v>682</v>
      </c>
      <c r="B743" s="138">
        <f>'Expenditures 15-22'!C64</f>
        <v>94575</v>
      </c>
      <c r="D743" s="2" t="str">
        <f t="shared" si="10"/>
        <v>Error?</v>
      </c>
    </row>
    <row r="744" spans="1:4" x14ac:dyDescent="0.2">
      <c r="A744" s="10">
        <v>683</v>
      </c>
      <c r="D744" s="2" t="str">
        <f t="shared" si="10"/>
        <v>OK</v>
      </c>
    </row>
    <row r="745" spans="1:4" x14ac:dyDescent="0.2">
      <c r="A745" s="5">
        <v>684</v>
      </c>
      <c r="B745" s="138">
        <f>'Expenditures 15-22'!C65</f>
        <v>520632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69354</v>
      </c>
      <c r="D748" s="2" t="str">
        <f t="shared" si="10"/>
        <v>Error?</v>
      </c>
    </row>
    <row r="749" spans="1:4" x14ac:dyDescent="0.2">
      <c r="A749" s="5">
        <v>688</v>
      </c>
      <c r="B749" s="138">
        <f>'Expenditures 15-22'!C70</f>
        <v>142820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212174</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3883284</v>
      </c>
      <c r="C755" s="2" t="s">
        <v>573</v>
      </c>
      <c r="D755" s="2" t="str">
        <f t="shared" si="10"/>
        <v>Error?</v>
      </c>
    </row>
    <row r="756" spans="1:4" x14ac:dyDescent="0.2">
      <c r="A756" s="5">
        <v>695</v>
      </c>
      <c r="B756" s="138">
        <f>'Expenditures 15-22'!C75</f>
        <v>1986</v>
      </c>
      <c r="D756" s="2" t="str">
        <f t="shared" si="10"/>
        <v>Error?</v>
      </c>
    </row>
    <row r="757" spans="1:4" x14ac:dyDescent="0.2">
      <c r="A757" s="5">
        <v>696</v>
      </c>
      <c r="B757" s="138">
        <f>'Expenditures 15-22'!C114</f>
        <v>14785368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2073696</v>
      </c>
      <c r="D763" s="2" t="str">
        <f t="shared" si="10"/>
        <v>Error?</v>
      </c>
    </row>
    <row r="764" spans="1:4" x14ac:dyDescent="0.2">
      <c r="A764" s="5">
        <v>703</v>
      </c>
      <c r="B764" s="138">
        <f>'Expenditures 15-22'!D16</f>
        <v>36132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103294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1813</v>
      </c>
      <c r="D776" s="2" t="str">
        <f t="shared" si="11"/>
        <v>Error?</v>
      </c>
    </row>
    <row r="777" spans="1:4" x14ac:dyDescent="0.2">
      <c r="A777" s="5">
        <v>716</v>
      </c>
      <c r="B777" s="138">
        <f>'Expenditures 15-22'!D15</f>
        <v>85</v>
      </c>
      <c r="D777" s="2" t="str">
        <f t="shared" si="11"/>
        <v>Error?</v>
      </c>
    </row>
    <row r="778" spans="1:4" x14ac:dyDescent="0.2">
      <c r="A778" s="5">
        <v>717</v>
      </c>
      <c r="B778" s="138">
        <f>'Expenditures 15-22'!D33</f>
        <v>3032363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37849</v>
      </c>
      <c r="D780" s="2" t="str">
        <f t="shared" si="11"/>
        <v>Error?</v>
      </c>
    </row>
    <row r="781" spans="1:4" x14ac:dyDescent="0.2">
      <c r="A781" s="5">
        <v>720</v>
      </c>
      <c r="B781" s="138">
        <f>'Expenditures 15-22'!D38</f>
        <v>52184</v>
      </c>
      <c r="D781" s="2" t="str">
        <f t="shared" si="11"/>
        <v>Error?</v>
      </c>
    </row>
    <row r="782" spans="1:4" x14ac:dyDescent="0.2">
      <c r="A782" s="5">
        <v>721</v>
      </c>
      <c r="B782" s="138">
        <f>'Expenditures 15-22'!D39</f>
        <v>51462</v>
      </c>
      <c r="D782" s="2" t="str">
        <f t="shared" si="11"/>
        <v>Error?</v>
      </c>
    </row>
    <row r="783" spans="1:4" x14ac:dyDescent="0.2">
      <c r="A783" s="5">
        <v>722</v>
      </c>
      <c r="B783" s="138">
        <f>'Expenditures 15-22'!D40</f>
        <v>73569</v>
      </c>
      <c r="D783" s="2" t="str">
        <f t="shared" si="11"/>
        <v>Error?</v>
      </c>
    </row>
    <row r="784" spans="1:4" x14ac:dyDescent="0.2">
      <c r="A784" s="5">
        <v>723</v>
      </c>
      <c r="B784" s="138">
        <f>'Expenditures 15-22'!D41</f>
        <v>1834</v>
      </c>
      <c r="D784" s="2" t="str">
        <f t="shared" si="11"/>
        <v>Error?</v>
      </c>
    </row>
    <row r="785" spans="1:4" x14ac:dyDescent="0.2">
      <c r="A785" s="5">
        <v>724</v>
      </c>
      <c r="B785" s="138">
        <f>'Expenditures 15-22'!D42</f>
        <v>216898</v>
      </c>
      <c r="C785" s="2" t="s">
        <v>573</v>
      </c>
      <c r="D785" s="2" t="str">
        <f t="shared" si="11"/>
        <v>Error?</v>
      </c>
    </row>
    <row r="786" spans="1:4" x14ac:dyDescent="0.2">
      <c r="A786" s="5">
        <v>725</v>
      </c>
      <c r="B786" s="138">
        <f>'Expenditures 15-22'!D44</f>
        <v>32974</v>
      </c>
      <c r="D786" s="2" t="str">
        <f t="shared" si="11"/>
        <v>Error?</v>
      </c>
    </row>
    <row r="787" spans="1:4" x14ac:dyDescent="0.2">
      <c r="A787" s="5">
        <v>726</v>
      </c>
      <c r="B787" s="138">
        <f>'Expenditures 15-22'!D45</f>
        <v>146896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179870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72873</v>
      </c>
      <c r="D791" s="2" t="str">
        <f t="shared" si="11"/>
        <v>Error?</v>
      </c>
    </row>
    <row r="792" spans="1:4" x14ac:dyDescent="0.2">
      <c r="A792" s="5">
        <v>731</v>
      </c>
      <c r="B792" s="138">
        <f>'Expenditures 15-22'!D53</f>
        <v>72873</v>
      </c>
      <c r="C792" s="2" t="s">
        <v>573</v>
      </c>
      <c r="D792" s="2" t="str">
        <f t="shared" si="11"/>
        <v>Error?</v>
      </c>
    </row>
    <row r="793" spans="1:4" x14ac:dyDescent="0.2">
      <c r="A793" s="5">
        <v>732</v>
      </c>
      <c r="B793" s="138">
        <f>'Expenditures 15-22'!D55</f>
        <v>322312</v>
      </c>
      <c r="D793" s="2" t="str">
        <f t="shared" si="11"/>
        <v>Error?</v>
      </c>
    </row>
    <row r="794" spans="1:4" x14ac:dyDescent="0.2">
      <c r="A794" s="5">
        <v>733</v>
      </c>
      <c r="B794" s="138">
        <f>'Expenditures 15-22'!D56</f>
        <v>52058</v>
      </c>
      <c r="D794" s="2" t="str">
        <f t="shared" si="11"/>
        <v>Error?</v>
      </c>
    </row>
    <row r="795" spans="1:4" x14ac:dyDescent="0.2">
      <c r="A795" s="5">
        <v>734</v>
      </c>
      <c r="B795" s="138">
        <f>'Expenditures 15-22'!D57</f>
        <v>374370</v>
      </c>
      <c r="C795" s="2" t="s">
        <v>573</v>
      </c>
      <c r="D795" s="2" t="str">
        <f t="shared" si="11"/>
        <v>Error?</v>
      </c>
    </row>
    <row r="796" spans="1:4" x14ac:dyDescent="0.2">
      <c r="A796" s="5">
        <v>735</v>
      </c>
      <c r="B796" s="138">
        <f>'Expenditures 15-22'!D59</f>
        <v>90212</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90268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5859</v>
      </c>
      <c r="D806" s="2" t="str">
        <f t="shared" si="11"/>
        <v>Error?</v>
      </c>
    </row>
    <row r="807" spans="1:4" x14ac:dyDescent="0.2">
      <c r="A807" s="5">
        <v>746</v>
      </c>
      <c r="B807" s="138">
        <f>'Expenditures 15-22'!D70</f>
        <v>51296</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57155</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991434</v>
      </c>
      <c r="C813" s="2" t="s">
        <v>573</v>
      </c>
      <c r="D813" s="2" t="str">
        <f t="shared" si="11"/>
        <v>Error?</v>
      </c>
    </row>
    <row r="814" spans="1:4" x14ac:dyDescent="0.2">
      <c r="A814" s="5">
        <v>753</v>
      </c>
      <c r="B814" s="138">
        <f>'Expenditures 15-22'!D75</f>
        <v>296</v>
      </c>
      <c r="D814" s="2" t="str">
        <f t="shared" si="11"/>
        <v>Error?</v>
      </c>
    </row>
    <row r="815" spans="1:4" x14ac:dyDescent="0.2">
      <c r="A815" s="5">
        <v>754</v>
      </c>
      <c r="B815" s="138">
        <f>'Expenditures 15-22'!D114</f>
        <v>4024093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15834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922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15734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651852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-2286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-2286</v>
      </c>
      <c r="C843" s="2" t="s">
        <v>573</v>
      </c>
      <c r="D843" s="2" t="str">
        <f t="shared" si="12"/>
        <v>Error?</v>
      </c>
    </row>
    <row r="844" spans="1:4" x14ac:dyDescent="0.2">
      <c r="A844" s="5">
        <v>783</v>
      </c>
      <c r="B844" s="138">
        <f>'Expenditures 15-22'!E44</f>
        <v>222452</v>
      </c>
      <c r="D844" s="2" t="str">
        <f t="shared" si="12"/>
        <v>Error?</v>
      </c>
    </row>
    <row r="845" spans="1:4" x14ac:dyDescent="0.2">
      <c r="A845" s="5">
        <v>784</v>
      </c>
      <c r="B845" s="138">
        <f>'Expenditures 15-22'!E45</f>
        <v>613569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836021</v>
      </c>
      <c r="C847" s="2" t="s">
        <v>573</v>
      </c>
      <c r="D847" s="2" t="str">
        <f t="shared" si="12"/>
        <v>Error?</v>
      </c>
    </row>
    <row r="848" spans="1:4" x14ac:dyDescent="0.2">
      <c r="A848" s="5">
        <v>787</v>
      </c>
      <c r="B848" s="138">
        <f>'Expenditures 15-22'!E49</f>
        <v>496618</v>
      </c>
      <c r="D848" s="2" t="str">
        <f t="shared" si="12"/>
        <v>Error?</v>
      </c>
    </row>
    <row r="849" spans="1:4" x14ac:dyDescent="0.2">
      <c r="A849" s="5">
        <v>788</v>
      </c>
      <c r="B849" s="138">
        <f>'Expenditures 15-22'!E50</f>
        <v>14341</v>
      </c>
      <c r="D849" s="2" t="str">
        <f t="shared" si="12"/>
        <v>Error?</v>
      </c>
    </row>
    <row r="850" spans="1:4" x14ac:dyDescent="0.2">
      <c r="A850" s="5">
        <v>789</v>
      </c>
      <c r="B850" s="138">
        <f>'Expenditures 15-22'!E53</f>
        <v>510959</v>
      </c>
      <c r="C850" s="2" t="s">
        <v>573</v>
      </c>
      <c r="D850" s="2" t="str">
        <f t="shared" si="12"/>
        <v>Error?</v>
      </c>
    </row>
    <row r="851" spans="1:4" x14ac:dyDescent="0.2">
      <c r="A851" s="5">
        <v>790</v>
      </c>
      <c r="B851" s="138">
        <f>'Expenditures 15-22'!E55</f>
        <v>861</v>
      </c>
      <c r="D851" s="2" t="str">
        <f t="shared" si="12"/>
        <v>Error?</v>
      </c>
    </row>
    <row r="852" spans="1:4" x14ac:dyDescent="0.2">
      <c r="A852" s="5">
        <v>791</v>
      </c>
      <c r="B852" s="138">
        <f>'Expenditures 15-22'!E56</f>
        <v>4588</v>
      </c>
      <c r="D852" s="2" t="str">
        <f t="shared" si="12"/>
        <v>Error?</v>
      </c>
    </row>
    <row r="853" spans="1:4" x14ac:dyDescent="0.2">
      <c r="A853" s="5">
        <v>792</v>
      </c>
      <c r="B853" s="138">
        <f>'Expenditures 15-22'!E57</f>
        <v>5449</v>
      </c>
      <c r="C853" s="2" t="s">
        <v>573</v>
      </c>
      <c r="D853" s="2" t="str">
        <f t="shared" si="12"/>
        <v>Error?</v>
      </c>
    </row>
    <row r="854" spans="1:4" x14ac:dyDescent="0.2">
      <c r="A854" s="5">
        <v>793</v>
      </c>
      <c r="B854" s="138">
        <f>'Expenditures 15-22'!E59</f>
        <v>4894</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4894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1553</v>
      </c>
      <c r="D864" s="2" t="str">
        <f t="shared" si="12"/>
        <v>Error?</v>
      </c>
    </row>
    <row r="865" spans="1:4" x14ac:dyDescent="0.2">
      <c r="A865" s="5">
        <v>804</v>
      </c>
      <c r="B865" s="138">
        <f>'Expenditures 15-22'!E70</f>
        <v>9075</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10628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1365665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2017517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165449</v>
      </c>
      <c r="D879" s="2" t="str">
        <f t="shared" si="12"/>
        <v>Error?</v>
      </c>
    </row>
    <row r="880" spans="1:4" x14ac:dyDescent="0.2">
      <c r="A880" s="5">
        <v>819</v>
      </c>
      <c r="B880" s="138">
        <f>'Expenditures 15-22'!F16</f>
        <v>1289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15198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2061</v>
      </c>
      <c r="D892" s="2" t="str">
        <f t="shared" si="12"/>
        <v>Error?</v>
      </c>
    </row>
    <row r="893" spans="1:4" x14ac:dyDescent="0.2">
      <c r="A893" s="5">
        <v>832</v>
      </c>
      <c r="B893" s="138">
        <f>'Expenditures 15-22'!F15</f>
        <v>3593</v>
      </c>
      <c r="D893" s="2" t="str">
        <f t="shared" si="12"/>
        <v>Error?</v>
      </c>
    </row>
    <row r="894" spans="1:4" x14ac:dyDescent="0.2">
      <c r="A894" s="5">
        <v>833</v>
      </c>
      <c r="B894" s="138">
        <f>'Expenditures 15-22'!F33</f>
        <v>257572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1936</v>
      </c>
      <c r="D896" s="2" t="str">
        <f t="shared" si="13"/>
        <v>Error?</v>
      </c>
    </row>
    <row r="897" spans="1:4" x14ac:dyDescent="0.2">
      <c r="A897" s="5">
        <v>836</v>
      </c>
      <c r="B897" s="138">
        <f>'Expenditures 15-22'!F38</f>
        <v>4684</v>
      </c>
      <c r="D897" s="2" t="str">
        <f t="shared" si="13"/>
        <v>Error?</v>
      </c>
    </row>
    <row r="898" spans="1:4" x14ac:dyDescent="0.2">
      <c r="A898" s="5">
        <v>837</v>
      </c>
      <c r="B898" s="138">
        <f>'Expenditures 15-22'!F39</f>
        <v>2672</v>
      </c>
      <c r="D898" s="2" t="str">
        <f t="shared" si="13"/>
        <v>Error?</v>
      </c>
    </row>
    <row r="899" spans="1:4" x14ac:dyDescent="0.2">
      <c r="A899" s="5">
        <v>838</v>
      </c>
      <c r="B899" s="138">
        <f>'Expenditures 15-22'!F40</f>
        <v>5161</v>
      </c>
      <c r="D899" s="2" t="str">
        <f t="shared" si="13"/>
        <v>Error?</v>
      </c>
    </row>
    <row r="900" spans="1:4" x14ac:dyDescent="0.2">
      <c r="A900" s="5">
        <v>839</v>
      </c>
      <c r="B900" s="138">
        <f>'Expenditures 15-22'!F41</f>
        <v>9214</v>
      </c>
      <c r="D900" s="2" t="str">
        <f t="shared" si="13"/>
        <v>Error?</v>
      </c>
    </row>
    <row r="901" spans="1:4" x14ac:dyDescent="0.2">
      <c r="A901" s="5">
        <v>840</v>
      </c>
      <c r="B901" s="138">
        <f>'Expenditures 15-22'!F42</f>
        <v>23667</v>
      </c>
      <c r="C901" s="2" t="s">
        <v>573</v>
      </c>
      <c r="D901" s="2" t="str">
        <f t="shared" si="13"/>
        <v>Error?</v>
      </c>
    </row>
    <row r="902" spans="1:4" x14ac:dyDescent="0.2">
      <c r="A902" s="5">
        <v>841</v>
      </c>
      <c r="B902" s="138">
        <f>'Expenditures 15-22'!F44</f>
        <v>246847</v>
      </c>
      <c r="D902" s="2" t="str">
        <f t="shared" si="13"/>
        <v>Error?</v>
      </c>
    </row>
    <row r="903" spans="1:4" x14ac:dyDescent="0.2">
      <c r="A903" s="5">
        <v>842</v>
      </c>
      <c r="B903" s="138">
        <f>'Expenditures 15-22'!F45</f>
        <v>324132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570979</v>
      </c>
      <c r="C905" s="2" t="s">
        <v>573</v>
      </c>
      <c r="D905" s="2" t="str">
        <f t="shared" si="13"/>
        <v>Error?</v>
      </c>
    </row>
    <row r="906" spans="1:4" x14ac:dyDescent="0.2">
      <c r="A906" s="5">
        <v>845</v>
      </c>
      <c r="B906" s="138">
        <f>'Expenditures 15-22'!F49</f>
        <v>11845</v>
      </c>
      <c r="D906" s="2" t="str">
        <f t="shared" si="13"/>
        <v>Error?</v>
      </c>
    </row>
    <row r="907" spans="1:4" x14ac:dyDescent="0.2">
      <c r="A907" s="5">
        <v>846</v>
      </c>
      <c r="B907" s="138">
        <f>'Expenditures 15-22'!F50</f>
        <v>2040</v>
      </c>
      <c r="D907" s="2" t="str">
        <f t="shared" si="13"/>
        <v>Error?</v>
      </c>
    </row>
    <row r="908" spans="1:4" x14ac:dyDescent="0.2">
      <c r="A908" s="5">
        <v>847</v>
      </c>
      <c r="B908" s="138">
        <f>'Expenditures 15-22'!F53</f>
        <v>13885</v>
      </c>
      <c r="C908" s="2" t="s">
        <v>573</v>
      </c>
      <c r="D908" s="2" t="str">
        <f t="shared" si="13"/>
        <v>Error?</v>
      </c>
    </row>
    <row r="909" spans="1:4" x14ac:dyDescent="0.2">
      <c r="A909" s="5">
        <v>848</v>
      </c>
      <c r="B909" s="138">
        <f>'Expenditures 15-22'!F55</f>
        <v>6260</v>
      </c>
      <c r="D909" s="2" t="str">
        <f t="shared" si="13"/>
        <v>Error?</v>
      </c>
    </row>
    <row r="910" spans="1:4" x14ac:dyDescent="0.2">
      <c r="A910" s="5">
        <v>849</v>
      </c>
      <c r="B910" s="138">
        <f>'Expenditures 15-22'!F56</f>
        <v>2337</v>
      </c>
      <c r="D910" s="2" t="str">
        <f t="shared" si="13"/>
        <v>Error?</v>
      </c>
    </row>
    <row r="911" spans="1:4" x14ac:dyDescent="0.2">
      <c r="A911" s="5">
        <v>850</v>
      </c>
      <c r="B911" s="138">
        <f>'Expenditures 15-22'!F57</f>
        <v>8597</v>
      </c>
      <c r="C911" s="2" t="s">
        <v>573</v>
      </c>
      <c r="D911" s="2" t="str">
        <f t="shared" si="13"/>
        <v>Error?</v>
      </c>
    </row>
    <row r="912" spans="1:4" x14ac:dyDescent="0.2">
      <c r="A912" s="5">
        <v>851</v>
      </c>
      <c r="B912" s="138">
        <f>'Expenditures 15-22'!F59</f>
        <v>-6323</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11787</v>
      </c>
      <c r="D916" s="2" t="str">
        <f t="shared" si="13"/>
        <v>Error?</v>
      </c>
    </row>
    <row r="917" spans="1:4" x14ac:dyDescent="0.2">
      <c r="A917" s="5">
        <v>856</v>
      </c>
      <c r="B917" s="138">
        <f>'Expenditures 15-22'!F64</f>
        <v>9547</v>
      </c>
      <c r="D917" s="2" t="str">
        <f t="shared" si="13"/>
        <v>Error?</v>
      </c>
    </row>
    <row r="918" spans="1:4" x14ac:dyDescent="0.2">
      <c r="A918" s="10">
        <v>857</v>
      </c>
      <c r="D918" s="2" t="str">
        <f t="shared" si="13"/>
        <v>OK</v>
      </c>
    </row>
    <row r="919" spans="1:4" x14ac:dyDescent="0.2">
      <c r="A919" s="5">
        <v>858</v>
      </c>
      <c r="B919" s="138">
        <f>'Expenditures 15-22'!F65</f>
        <v>15011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2902</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2902</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635041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892613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4273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4273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143450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143450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-3995</v>
      </c>
      <c r="D967" s="2" t="str">
        <f t="shared" si="14"/>
        <v>Error?</v>
      </c>
    </row>
    <row r="968" spans="1:4" x14ac:dyDescent="0.2">
      <c r="A968" s="5">
        <v>907</v>
      </c>
      <c r="B968" s="138">
        <f>'Expenditures 15-22'!G56</f>
        <v>0</v>
      </c>
      <c r="D968" s="2" t="str">
        <f t="shared" si="14"/>
        <v>Error?</v>
      </c>
    </row>
    <row r="969" spans="1:4" x14ac:dyDescent="0.2">
      <c r="A969" s="5">
        <v>908</v>
      </c>
      <c r="B969" s="138">
        <f>'Expenditures 15-22'!G57</f>
        <v>-3995</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139455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143728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6704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9435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14495</v>
      </c>
      <c r="D1022" s="2" t="str">
        <f t="shared" si="14"/>
        <v>Error?</v>
      </c>
    </row>
    <row r="1023" spans="1:4" x14ac:dyDescent="0.2">
      <c r="A1023" s="5">
        <v>962</v>
      </c>
      <c r="B1023" s="138">
        <f>'Expenditures 15-22'!H50</f>
        <v>5461</v>
      </c>
      <c r="D1023" s="2" t="str">
        <f t="shared" ref="D1023:D1086" si="15">IF(ISBLANK(B1023),"OK",IF(A1023-B1023=0,"OK","Error?"))</f>
        <v>Error?</v>
      </c>
    </row>
    <row r="1024" spans="1:4" x14ac:dyDescent="0.2">
      <c r="A1024" s="5">
        <v>963</v>
      </c>
      <c r="B1024" s="138">
        <f>'Expenditures 15-22'!H53</f>
        <v>19956</v>
      </c>
      <c r="C1024" s="2" t="s">
        <v>573</v>
      </c>
      <c r="D1024" s="2" t="str">
        <f t="shared" si="15"/>
        <v>Error?</v>
      </c>
    </row>
    <row r="1025" spans="1:4" x14ac:dyDescent="0.2">
      <c r="A1025" s="5">
        <v>964</v>
      </c>
      <c r="B1025" s="138">
        <f>'Expenditures 15-22'!H55</f>
        <v>3167</v>
      </c>
      <c r="D1025" s="2" t="str">
        <f t="shared" si="15"/>
        <v>Error?</v>
      </c>
    </row>
    <row r="1026" spans="1:4" x14ac:dyDescent="0.2">
      <c r="A1026" s="5">
        <v>965</v>
      </c>
      <c r="B1026" s="138">
        <f>'Expenditures 15-22'!H56</f>
        <v>2959</v>
      </c>
      <c r="D1026" s="2" t="str">
        <f t="shared" si="15"/>
        <v>Error?</v>
      </c>
    </row>
    <row r="1027" spans="1:4" x14ac:dyDescent="0.2">
      <c r="A1027" s="5">
        <v>966</v>
      </c>
      <c r="B1027" s="138">
        <f>'Expenditures 15-22'!H57</f>
        <v>6126</v>
      </c>
      <c r="C1027" s="2" t="s">
        <v>573</v>
      </c>
      <c r="D1027" s="2" t="str">
        <f t="shared" si="15"/>
        <v>Error?</v>
      </c>
    </row>
    <row r="1028" spans="1:4" x14ac:dyDescent="0.2">
      <c r="A1028" s="5">
        <v>967</v>
      </c>
      <c r="B1028" s="138">
        <f>'Expenditures 15-22'!H59</f>
        <v>42946</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42946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69028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1112481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1190944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10316355</v>
      </c>
      <c r="C1093" s="2" t="s">
        <v>573</v>
      </c>
      <c r="D1093" s="2" t="str">
        <f t="shared" si="16"/>
        <v>Error?</v>
      </c>
    </row>
    <row r="1094" spans="1:4" x14ac:dyDescent="0.2">
      <c r="A1094" s="5">
        <v>1033</v>
      </c>
      <c r="B1094" s="138">
        <f>'Expenditures 15-22'!K16</f>
        <v>207804</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592995</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190855</v>
      </c>
      <c r="C1106" s="2" t="s">
        <v>573</v>
      </c>
      <c r="D1106" s="2" t="str">
        <f t="shared" si="16"/>
        <v>Error?</v>
      </c>
    </row>
    <row r="1107" spans="1:4" x14ac:dyDescent="0.2">
      <c r="A1107" s="5">
        <v>1046</v>
      </c>
      <c r="B1107" s="138">
        <f>'Expenditures 15-22'!K15</f>
        <v>17738</v>
      </c>
      <c r="C1107" s="2" t="s">
        <v>573</v>
      </c>
      <c r="D1107" s="2" t="str">
        <f t="shared" si="16"/>
        <v>Error?</v>
      </c>
    </row>
    <row r="1108" spans="1:4" x14ac:dyDescent="0.2">
      <c r="A1108" s="5">
        <v>1047</v>
      </c>
      <c r="B1108" s="138">
        <f>'Expenditures 15-22'!K33</f>
        <v>14856136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228170</v>
      </c>
      <c r="C1110" s="2" t="s">
        <v>573</v>
      </c>
      <c r="D1110" s="2" t="str">
        <f t="shared" si="16"/>
        <v>Error?</v>
      </c>
    </row>
    <row r="1111" spans="1:4" x14ac:dyDescent="0.2">
      <c r="A1111" s="5">
        <v>1050</v>
      </c>
      <c r="B1111" s="138">
        <f>'Expenditures 15-22'!K38</f>
        <v>179312</v>
      </c>
      <c r="C1111" s="2" t="s">
        <v>573</v>
      </c>
      <c r="D1111" s="2" t="str">
        <f t="shared" si="16"/>
        <v>Error?</v>
      </c>
    </row>
    <row r="1112" spans="1:4" x14ac:dyDescent="0.2">
      <c r="A1112" s="5">
        <v>1051</v>
      </c>
      <c r="B1112" s="138">
        <f>'Expenditures 15-22'!K39</f>
        <v>281572</v>
      </c>
      <c r="C1112" s="2" t="s">
        <v>573</v>
      </c>
      <c r="D1112" s="2" t="str">
        <f t="shared" si="16"/>
        <v>Error?</v>
      </c>
    </row>
    <row r="1113" spans="1:4" x14ac:dyDescent="0.2">
      <c r="A1113" s="5">
        <v>1052</v>
      </c>
      <c r="B1113" s="138">
        <f>'Expenditures 15-22'!K40</f>
        <v>422542</v>
      </c>
      <c r="C1113" s="2" t="s">
        <v>573</v>
      </c>
      <c r="D1113" s="2" t="str">
        <f t="shared" si="16"/>
        <v>Error?</v>
      </c>
    </row>
    <row r="1114" spans="1:4" x14ac:dyDescent="0.2">
      <c r="A1114" s="5">
        <v>1053</v>
      </c>
      <c r="B1114" s="138">
        <f>'Expenditures 15-22'!K41</f>
        <v>210638</v>
      </c>
      <c r="C1114" s="2" t="s">
        <v>573</v>
      </c>
      <c r="D1114" s="2" t="str">
        <f t="shared" si="16"/>
        <v>Error?</v>
      </c>
    </row>
    <row r="1115" spans="1:4" x14ac:dyDescent="0.2">
      <c r="A1115" s="5">
        <v>1054</v>
      </c>
      <c r="B1115" s="138">
        <f>'Expenditures 15-22'!K42</f>
        <v>1322234</v>
      </c>
      <c r="C1115" s="2" t="s">
        <v>573</v>
      </c>
      <c r="D1115" s="2" t="str">
        <f t="shared" si="16"/>
        <v>Error?</v>
      </c>
    </row>
    <row r="1116" spans="1:4" x14ac:dyDescent="0.2">
      <c r="A1116" s="5">
        <v>1055</v>
      </c>
      <c r="B1116" s="138">
        <f>'Expenditures 15-22'!K44</f>
        <v>675496</v>
      </c>
      <c r="C1116" s="2" t="s">
        <v>573</v>
      </c>
      <c r="D1116" s="2" t="str">
        <f t="shared" si="16"/>
        <v>Error?</v>
      </c>
    </row>
    <row r="1117" spans="1:4" x14ac:dyDescent="0.2">
      <c r="A1117" s="5">
        <v>1056</v>
      </c>
      <c r="B1117" s="138">
        <f>'Expenditures 15-22'!K45</f>
        <v>1861440</v>
      </c>
      <c r="C1117" s="2" t="s">
        <v>573</v>
      </c>
      <c r="D1117" s="2" t="str">
        <f t="shared" si="16"/>
        <v>Error?</v>
      </c>
    </row>
    <row r="1118" spans="1:4" x14ac:dyDescent="0.2">
      <c r="A1118" s="5">
        <v>1057</v>
      </c>
      <c r="B1118" s="138">
        <f>'Expenditures 15-22'!K46</f>
        <v>88574</v>
      </c>
      <c r="C1118" s="2" t="s">
        <v>573</v>
      </c>
      <c r="D1118" s="2" t="str">
        <f t="shared" si="16"/>
        <v>Error?</v>
      </c>
    </row>
    <row r="1119" spans="1:4" x14ac:dyDescent="0.2">
      <c r="A1119" s="5">
        <v>1058</v>
      </c>
      <c r="B1119" s="138">
        <f>'Expenditures 15-22'!K47</f>
        <v>2625510</v>
      </c>
      <c r="C1119" s="2" t="s">
        <v>573</v>
      </c>
      <c r="D1119" s="2" t="str">
        <f t="shared" si="16"/>
        <v>Error?</v>
      </c>
    </row>
    <row r="1120" spans="1:4" x14ac:dyDescent="0.2">
      <c r="A1120" s="5">
        <v>1059</v>
      </c>
      <c r="B1120" s="138">
        <f>'Expenditures 15-22'!K49</f>
        <v>574019</v>
      </c>
      <c r="C1120" s="2" t="s">
        <v>573</v>
      </c>
      <c r="D1120" s="2" t="str">
        <f t="shared" si="16"/>
        <v>Error?</v>
      </c>
    </row>
    <row r="1121" spans="1:4" x14ac:dyDescent="0.2">
      <c r="A1121" s="5">
        <v>1060</v>
      </c>
      <c r="B1121" s="138">
        <f>'Expenditures 15-22'!K50</f>
        <v>379774</v>
      </c>
      <c r="C1121" s="2" t="s">
        <v>573</v>
      </c>
      <c r="D1121" s="2" t="str">
        <f t="shared" si="16"/>
        <v>Error?</v>
      </c>
    </row>
    <row r="1122" spans="1:4" x14ac:dyDescent="0.2">
      <c r="A1122" s="5">
        <v>1061</v>
      </c>
      <c r="B1122" s="138">
        <f>'Expenditures 15-22'!K53</f>
        <v>953793</v>
      </c>
      <c r="C1122" s="2" t="s">
        <v>573</v>
      </c>
      <c r="D1122" s="2" t="str">
        <f t="shared" si="16"/>
        <v>Error?</v>
      </c>
    </row>
    <row r="1123" spans="1:4" x14ac:dyDescent="0.2">
      <c r="A1123" s="5">
        <v>1062</v>
      </c>
      <c r="B1123" s="138">
        <f>'Expenditures 15-22'!K55</f>
        <v>1024133</v>
      </c>
      <c r="C1123" s="2" t="s">
        <v>573</v>
      </c>
      <c r="D1123" s="2" t="str">
        <f t="shared" si="16"/>
        <v>Error?</v>
      </c>
    </row>
    <row r="1124" spans="1:4" x14ac:dyDescent="0.2">
      <c r="A1124" s="5">
        <v>1063</v>
      </c>
      <c r="B1124" s="138">
        <f>'Expenditures 15-22'!K56</f>
        <v>242863</v>
      </c>
      <c r="C1124" s="2" t="s">
        <v>573</v>
      </c>
      <c r="D1124" s="2" t="str">
        <f t="shared" si="16"/>
        <v>Error?</v>
      </c>
    </row>
    <row r="1125" spans="1:4" x14ac:dyDescent="0.2">
      <c r="A1125" s="5">
        <v>1064</v>
      </c>
      <c r="B1125" s="138">
        <f>'Expenditures 15-22'!K57</f>
        <v>1266996</v>
      </c>
      <c r="C1125" s="2" t="s">
        <v>573</v>
      </c>
      <c r="D1125" s="2" t="str">
        <f t="shared" si="16"/>
        <v>Error?</v>
      </c>
    </row>
    <row r="1126" spans="1:4" x14ac:dyDescent="0.2">
      <c r="A1126" s="5">
        <v>1065</v>
      </c>
      <c r="B1126" s="138">
        <f>'Expenditures 15-22'!K59</f>
        <v>467357</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102272</v>
      </c>
      <c r="C1130" s="2" t="s">
        <v>573</v>
      </c>
      <c r="D1130" s="2" t="str">
        <f t="shared" si="16"/>
        <v>Error?</v>
      </c>
    </row>
    <row r="1131" spans="1:4" x14ac:dyDescent="0.2">
      <c r="A1131" s="5">
        <v>1070</v>
      </c>
      <c r="B1131" s="138">
        <f>'Expenditures 15-22'!K64</f>
        <v>104122</v>
      </c>
      <c r="C1131" s="2" t="s">
        <v>573</v>
      </c>
      <c r="D1131" s="2" t="str">
        <f t="shared" si="16"/>
        <v>Error?</v>
      </c>
    </row>
    <row r="1132" spans="1:4" x14ac:dyDescent="0.2">
      <c r="A1132" s="10">
        <v>1071</v>
      </c>
      <c r="D1132" s="2" t="str">
        <f t="shared" si="16"/>
        <v>OK</v>
      </c>
    </row>
    <row r="1133" spans="1:4" x14ac:dyDescent="0.2">
      <c r="A1133" s="5">
        <v>1072</v>
      </c>
      <c r="B1133" s="138">
        <f>'Expenditures 15-22'!K65</f>
        <v>673751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79668</v>
      </c>
      <c r="C1136" s="2" t="s">
        <v>573</v>
      </c>
      <c r="D1136" s="2" t="str">
        <f t="shared" si="16"/>
        <v>Error?</v>
      </c>
    </row>
    <row r="1137" spans="1:4" x14ac:dyDescent="0.2">
      <c r="A1137" s="5">
        <v>1076</v>
      </c>
      <c r="B1137" s="138">
        <f>'Expenditures 15-22'!K70</f>
        <v>203191</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282859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7125143</v>
      </c>
      <c r="C1143" s="2" t="s">
        <v>573</v>
      </c>
      <c r="D1143" s="2" t="str">
        <f t="shared" si="16"/>
        <v>Error?</v>
      </c>
    </row>
    <row r="1144" spans="1:4" x14ac:dyDescent="0.2">
      <c r="A1144" s="5">
        <v>1083</v>
      </c>
      <c r="B1144" s="138">
        <f>'Expenditures 15-22'!K75</f>
        <v>2282</v>
      </c>
      <c r="C1144" s="2" t="s">
        <v>573</v>
      </c>
      <c r="D1144" s="2" t="str">
        <f t="shared" si="16"/>
        <v>Error?</v>
      </c>
    </row>
    <row r="1145" spans="1:4" x14ac:dyDescent="0.2">
      <c r="A1145" s="5">
        <v>1084</v>
      </c>
      <c r="B1145" s="138">
        <f>'Expenditures 15-22'!K102</f>
        <v>1112481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23096042</v>
      </c>
      <c r="C1152" s="2" t="s">
        <v>573</v>
      </c>
      <c r="D1152" s="2" t="str">
        <f t="shared" si="17"/>
        <v>Error?</v>
      </c>
    </row>
    <row r="1153" spans="1:4" x14ac:dyDescent="0.2">
      <c r="A1153" s="5">
        <v>1092</v>
      </c>
      <c r="B1153" s="138">
        <f>'Expenditures 15-22'!K115</f>
        <v>-1042587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338876</v>
      </c>
      <c r="D1221" s="2" t="str">
        <f t="shared" si="18"/>
        <v>Error?</v>
      </c>
    </row>
    <row r="1222" spans="1:4" x14ac:dyDescent="0.2">
      <c r="A1222" s="10">
        <v>1161</v>
      </c>
      <c r="D1222" s="2" t="str">
        <f t="shared" si="18"/>
        <v>OK</v>
      </c>
    </row>
    <row r="1223" spans="1:4" x14ac:dyDescent="0.2">
      <c r="A1223" s="5">
        <v>1162</v>
      </c>
      <c r="B1223" s="138">
        <f>'Expenditures 15-22'!C127</f>
        <v>338876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338876</v>
      </c>
      <c r="C1225" s="2" t="s">
        <v>573</v>
      </c>
      <c r="D1225" s="2" t="str">
        <f t="shared" si="18"/>
        <v>Error?</v>
      </c>
    </row>
    <row r="1226" spans="1:4" x14ac:dyDescent="0.2">
      <c r="A1226" s="5">
        <v>1165</v>
      </c>
      <c r="B1226" s="138">
        <f>'Expenditures 15-22'!C151</f>
        <v>338876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108207</v>
      </c>
      <c r="D1229" s="2" t="str">
        <f t="shared" si="18"/>
        <v>Error?</v>
      </c>
    </row>
    <row r="1230" spans="1:4" x14ac:dyDescent="0.2">
      <c r="A1230" s="10">
        <v>1169</v>
      </c>
      <c r="D1230" s="2" t="str">
        <f t="shared" si="18"/>
        <v>OK</v>
      </c>
    </row>
    <row r="1231" spans="1:4" x14ac:dyDescent="0.2">
      <c r="A1231" s="5">
        <v>1170</v>
      </c>
      <c r="B1231" s="138">
        <f>'Expenditures 15-22'!D127</f>
        <v>108207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108207</v>
      </c>
      <c r="C1233" s="2" t="s">
        <v>573</v>
      </c>
      <c r="D1233" s="2" t="str">
        <f t="shared" si="18"/>
        <v>Error?</v>
      </c>
    </row>
    <row r="1234" spans="1:4" x14ac:dyDescent="0.2">
      <c r="A1234" s="5">
        <v>1173</v>
      </c>
      <c r="B1234" s="138">
        <f>'Expenditures 15-22'!D151</f>
        <v>108207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945900</v>
      </c>
      <c r="D1237" s="2" t="str">
        <f t="shared" si="18"/>
        <v>Error?</v>
      </c>
    </row>
    <row r="1238" spans="1:4" x14ac:dyDescent="0.2">
      <c r="A1238" s="10">
        <v>1177</v>
      </c>
      <c r="D1238" s="2" t="str">
        <f t="shared" si="18"/>
        <v>OK</v>
      </c>
    </row>
    <row r="1239" spans="1:4" x14ac:dyDescent="0.2">
      <c r="A1239" s="5">
        <v>1178</v>
      </c>
      <c r="B1239" s="138">
        <f>'Expenditures 15-22'!E127</f>
        <v>945900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945900</v>
      </c>
      <c r="C1241" s="2" t="s">
        <v>573</v>
      </c>
      <c r="D1241" s="2" t="str">
        <f t="shared" si="18"/>
        <v>Error?</v>
      </c>
    </row>
    <row r="1242" spans="1:4" x14ac:dyDescent="0.2">
      <c r="A1242" s="5">
        <v>1181</v>
      </c>
      <c r="B1242" s="138">
        <f>'Expenditures 15-22'!E151</f>
        <v>945900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593382</v>
      </c>
      <c r="D1245" s="2" t="str">
        <f t="shared" si="18"/>
        <v>Error?</v>
      </c>
    </row>
    <row r="1246" spans="1:4" x14ac:dyDescent="0.2">
      <c r="A1246" s="10">
        <v>1185</v>
      </c>
      <c r="D1246" s="2" t="str">
        <f t="shared" si="18"/>
        <v>OK</v>
      </c>
    </row>
    <row r="1247" spans="1:4" x14ac:dyDescent="0.2">
      <c r="A1247" s="5">
        <v>1186</v>
      </c>
      <c r="B1247" s="138">
        <f>'Expenditures 15-22'!F127</f>
        <v>593382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593382</v>
      </c>
      <c r="C1249" s="2" t="s">
        <v>573</v>
      </c>
      <c r="D1249" s="2" t="str">
        <f t="shared" si="18"/>
        <v>Error?</v>
      </c>
    </row>
    <row r="1250" spans="1:4" x14ac:dyDescent="0.2">
      <c r="A1250" s="5">
        <v>1189</v>
      </c>
      <c r="B1250" s="138">
        <f>'Expenditures 15-22'!F151</f>
        <v>593382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327443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327443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327443</v>
      </c>
      <c r="C1258" s="2" t="s">
        <v>573</v>
      </c>
      <c r="D1258" s="2" t="str">
        <f t="shared" si="18"/>
        <v>Error?</v>
      </c>
    </row>
    <row r="1259" spans="1:4" x14ac:dyDescent="0.2">
      <c r="A1259" s="5">
        <v>1198</v>
      </c>
      <c r="B1259" s="138">
        <f>'Expenditures 15-22'!G151</f>
        <v>327443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86792</v>
      </c>
      <c r="D1262" s="2" t="str">
        <f t="shared" si="18"/>
        <v>Error?</v>
      </c>
    </row>
    <row r="1263" spans="1:4" x14ac:dyDescent="0.2">
      <c r="A1263" s="10">
        <v>1202</v>
      </c>
      <c r="D1263" s="2" t="str">
        <f t="shared" si="18"/>
        <v>OK</v>
      </c>
    </row>
    <row r="1264" spans="1:4" x14ac:dyDescent="0.2">
      <c r="A1264" s="5">
        <v>1203</v>
      </c>
      <c r="B1264" s="138">
        <f>'Expenditures 15-22'!H127</f>
        <v>86792</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86792</v>
      </c>
      <c r="C1266" s="2" t="s">
        <v>573</v>
      </c>
      <c r="D1266" s="2" t="str">
        <f t="shared" si="18"/>
        <v>Error?</v>
      </c>
    </row>
    <row r="1267" spans="1:4" x14ac:dyDescent="0.2">
      <c r="A1267" s="5">
        <v>1206</v>
      </c>
      <c r="B1267" s="138">
        <f>'Expenditures 15-22'!H139</f>
        <v>47593</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134385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2400600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2400600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2400600</v>
      </c>
      <c r="C1281" s="2" t="s">
        <v>573</v>
      </c>
      <c r="D1281" s="2" t="str">
        <f t="shared" si="19"/>
        <v>Error?</v>
      </c>
    </row>
    <row r="1282" spans="1:4" x14ac:dyDescent="0.2">
      <c r="A1282" s="5">
        <v>1221</v>
      </c>
      <c r="B1282" s="138">
        <f>'Expenditures 15-22'!K139</f>
        <v>47593</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2448193</v>
      </c>
      <c r="C1288" s="2" t="s">
        <v>573</v>
      </c>
      <c r="D1288" s="2" t="str">
        <f t="shared" si="19"/>
        <v>Error?</v>
      </c>
    </row>
    <row r="1289" spans="1:4" x14ac:dyDescent="0.2">
      <c r="A1289" s="5">
        <v>1228</v>
      </c>
      <c r="B1289" s="138">
        <f>'Expenditures 15-22'!K152</f>
        <v>12545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528600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2515000</v>
      </c>
      <c r="D1315" s="2" t="str">
        <f t="shared" si="19"/>
        <v>Error?</v>
      </c>
    </row>
    <row r="1316" spans="1:4" x14ac:dyDescent="0.2">
      <c r="A1316" s="5">
        <v>1255</v>
      </c>
      <c r="B1316" s="138">
        <f>'Expenditures 15-22'!H171</f>
        <v>950</v>
      </c>
      <c r="D1316" s="2" t="str">
        <f t="shared" si="19"/>
        <v>Error?</v>
      </c>
    </row>
    <row r="1317" spans="1:4" x14ac:dyDescent="0.2">
      <c r="A1317" s="5">
        <v>1256</v>
      </c>
      <c r="B1317" s="138">
        <f>'Expenditures 15-22'!H172</f>
        <v>3044550</v>
      </c>
      <c r="C1317" s="2" t="s">
        <v>573</v>
      </c>
      <c r="D1317" s="2" t="str">
        <f t="shared" si="19"/>
        <v>Error?</v>
      </c>
    </row>
    <row r="1318" spans="1:4" x14ac:dyDescent="0.2">
      <c r="A1318" s="5">
        <v>1257</v>
      </c>
      <c r="B1318" s="138">
        <f>'Expenditures 15-22'!H174</f>
        <v>3044550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528600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2515000</v>
      </c>
      <c r="C1329" s="2" t="s">
        <v>573</v>
      </c>
      <c r="D1329" s="2" t="str">
        <f t="shared" si="19"/>
        <v>Error?</v>
      </c>
    </row>
    <row r="1330" spans="1:4" x14ac:dyDescent="0.2">
      <c r="A1330" s="5">
        <v>1269</v>
      </c>
      <c r="B1330" s="138">
        <f>'Expenditures 15-22'!K171</f>
        <v>950</v>
      </c>
      <c r="C1330" s="2" t="s">
        <v>573</v>
      </c>
      <c r="D1330" s="2" t="str">
        <f t="shared" si="19"/>
        <v>Error?</v>
      </c>
    </row>
    <row r="1331" spans="1:4" x14ac:dyDescent="0.2">
      <c r="A1331" s="5">
        <v>1270</v>
      </c>
      <c r="B1331" s="138">
        <f>'Expenditures 15-22'!K172</f>
        <v>3044550</v>
      </c>
      <c r="C1331" s="2" t="s">
        <v>573</v>
      </c>
      <c r="D1331" s="2" t="str">
        <f t="shared" si="19"/>
        <v>Error?</v>
      </c>
    </row>
    <row r="1332" spans="1:4" x14ac:dyDescent="0.2">
      <c r="A1332" s="5">
        <v>1271</v>
      </c>
      <c r="B1332" s="138">
        <f>'Expenditures 15-22'!K174</f>
        <v>3044550</v>
      </c>
      <c r="C1332" s="2" t="s">
        <v>573</v>
      </c>
      <c r="D1332" s="2" t="str">
        <f t="shared" si="19"/>
        <v>Error?</v>
      </c>
    </row>
    <row r="1333" spans="1:4" x14ac:dyDescent="0.2">
      <c r="A1333" s="5">
        <v>1272</v>
      </c>
      <c r="B1333" s="138">
        <f>'Expenditures 15-22'!K175</f>
        <v>-187345</v>
      </c>
      <c r="C1333" s="2" t="s">
        <v>573</v>
      </c>
      <c r="D1333" s="2" t="str">
        <f t="shared" si="19"/>
        <v>Error?</v>
      </c>
    </row>
    <row r="1334" spans="1:4" x14ac:dyDescent="0.2">
      <c r="A1334" s="10">
        <v>1273</v>
      </c>
      <c r="D1334" s="2" t="str">
        <f t="shared" si="19"/>
        <v>OK</v>
      </c>
    </row>
    <row r="1335" spans="1:4" x14ac:dyDescent="0.2">
      <c r="A1335" s="5">
        <v>1274</v>
      </c>
      <c r="B1335" s="138">
        <f>'Expenditures 15-22'!C182</f>
        <v>1130466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1130466</v>
      </c>
      <c r="C1339" s="2" t="s">
        <v>573</v>
      </c>
      <c r="D1339" s="2" t="str">
        <f t="shared" si="19"/>
        <v>Error?</v>
      </c>
    </row>
    <row r="1340" spans="1:4" x14ac:dyDescent="0.2">
      <c r="A1340" s="5">
        <v>1279</v>
      </c>
      <c r="B1340" s="138">
        <f>'Expenditures 15-22'!C210</f>
        <v>1130466</v>
      </c>
      <c r="C1340" s="2" t="s">
        <v>573</v>
      </c>
      <c r="D1340" s="2" t="str">
        <f t="shared" si="19"/>
        <v>Error?</v>
      </c>
    </row>
    <row r="1341" spans="1:4" x14ac:dyDescent="0.2">
      <c r="A1341" s="5">
        <v>1280</v>
      </c>
      <c r="B1341" s="138">
        <f>'Expenditures 15-22'!D182</f>
        <v>337153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337153</v>
      </c>
      <c r="C1345" s="2" t="s">
        <v>573</v>
      </c>
      <c r="D1345" s="2" t="str">
        <f t="shared" si="20"/>
        <v>Error?</v>
      </c>
    </row>
    <row r="1346" spans="1:4" x14ac:dyDescent="0.2">
      <c r="A1346" s="5">
        <v>1285</v>
      </c>
      <c r="B1346" s="138">
        <f>'Expenditures 15-22'!D210</f>
        <v>337153</v>
      </c>
      <c r="C1346" s="2" t="s">
        <v>573</v>
      </c>
      <c r="D1346" s="2" t="str">
        <f t="shared" si="20"/>
        <v>Error?</v>
      </c>
    </row>
    <row r="1347" spans="1:4" x14ac:dyDescent="0.2">
      <c r="A1347" s="5">
        <v>1286</v>
      </c>
      <c r="B1347" s="138">
        <f>'Expenditures 15-22'!E182</f>
        <v>447344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447344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447344</v>
      </c>
      <c r="C1353" s="2" t="s">
        <v>573</v>
      </c>
      <c r="D1353" s="2" t="str">
        <f t="shared" si="20"/>
        <v>Error?</v>
      </c>
    </row>
    <row r="1354" spans="1:4" x14ac:dyDescent="0.2">
      <c r="A1354" s="5">
        <v>1293</v>
      </c>
      <c r="B1354" s="138">
        <f>'Expenditures 15-22'!F182</f>
        <v>191948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191948</v>
      </c>
      <c r="C1358" s="2" t="s">
        <v>573</v>
      </c>
      <c r="D1358" s="2" t="str">
        <f t="shared" si="20"/>
        <v>Error?</v>
      </c>
    </row>
    <row r="1359" spans="1:4" x14ac:dyDescent="0.2">
      <c r="A1359" s="5">
        <v>1298</v>
      </c>
      <c r="B1359" s="138">
        <f>'Expenditures 15-22'!F210</f>
        <v>191948</v>
      </c>
      <c r="C1359" s="2" t="s">
        <v>573</v>
      </c>
      <c r="D1359" s="2" t="str">
        <f t="shared" si="20"/>
        <v>Error?</v>
      </c>
    </row>
    <row r="1360" spans="1:4" x14ac:dyDescent="0.2">
      <c r="A1360" s="5">
        <v>1299</v>
      </c>
      <c r="B1360" s="138">
        <f>'Expenditures 15-22'!G182</f>
        <v>481603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481603</v>
      </c>
      <c r="C1364" s="2" t="s">
        <v>573</v>
      </c>
      <c r="D1364" s="2" t="str">
        <f t="shared" si="20"/>
        <v>Error?</v>
      </c>
    </row>
    <row r="1365" spans="1:4" x14ac:dyDescent="0.2">
      <c r="A1365" s="5">
        <v>1304</v>
      </c>
      <c r="B1365" s="138">
        <f>'Expenditures 15-22'!G210</f>
        <v>481603</v>
      </c>
      <c r="C1365" s="2" t="s">
        <v>573</v>
      </c>
      <c r="D1365" s="2" t="str">
        <f t="shared" si="20"/>
        <v>Error?</v>
      </c>
    </row>
    <row r="1366" spans="1:4" x14ac:dyDescent="0.2">
      <c r="A1366" s="5">
        <v>1305</v>
      </c>
      <c r="B1366" s="138">
        <f>'Expenditures 15-22'!H182</f>
        <v>400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400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228823</v>
      </c>
      <c r="C1375" s="2" t="s">
        <v>573</v>
      </c>
      <c r="D1375" s="2" t="str">
        <f t="shared" si="20"/>
        <v>Error?</v>
      </c>
    </row>
    <row r="1376" spans="1:4" x14ac:dyDescent="0.2">
      <c r="A1376" s="5">
        <v>1315</v>
      </c>
      <c r="B1376" s="138">
        <f>'Expenditures 15-22'!H210</f>
        <v>229223</v>
      </c>
      <c r="C1376" s="2" t="s">
        <v>573</v>
      </c>
      <c r="D1376" s="2" t="str">
        <f t="shared" si="20"/>
        <v>Error?</v>
      </c>
    </row>
    <row r="1377" spans="1:4" x14ac:dyDescent="0.2">
      <c r="A1377" s="5">
        <v>1316</v>
      </c>
      <c r="B1377" s="138">
        <f>'Expenditures 15-22'!K182</f>
        <v>2588914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2588914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228823</v>
      </c>
      <c r="C1387" s="2" t="s">
        <v>573</v>
      </c>
      <c r="D1387" s="2" t="str">
        <f t="shared" si="20"/>
        <v>Error?</v>
      </c>
    </row>
    <row r="1388" spans="1:4" x14ac:dyDescent="0.2">
      <c r="A1388" s="5">
        <v>1327</v>
      </c>
      <c r="B1388" s="138">
        <f>'Expenditures 15-22'!K210</f>
        <v>2817737</v>
      </c>
      <c r="C1388" s="2" t="s">
        <v>573</v>
      </c>
      <c r="D1388" s="2" t="str">
        <f t="shared" si="20"/>
        <v>Error?</v>
      </c>
    </row>
    <row r="1389" spans="1:4" x14ac:dyDescent="0.2">
      <c r="A1389" s="5">
        <v>1328</v>
      </c>
      <c r="B1389" s="138">
        <f>'Expenditures 15-22'!K211</f>
        <v>-443626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2471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8139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4598</v>
      </c>
      <c r="D1408" s="2" t="str">
        <f t="shared" si="21"/>
        <v>Error?</v>
      </c>
    </row>
    <row r="1409" spans="1:4" x14ac:dyDescent="0.2">
      <c r="A1409" s="5">
        <v>1348</v>
      </c>
      <c r="B1409" s="138">
        <f>'Expenditures 15-22'!D224</f>
        <v>413</v>
      </c>
      <c r="D1409" s="2" t="str">
        <f t="shared" si="21"/>
        <v>Error?</v>
      </c>
    </row>
    <row r="1410" spans="1:4" x14ac:dyDescent="0.2">
      <c r="A1410" s="5">
        <v>1349</v>
      </c>
      <c r="B1410" s="138">
        <f>'Expenditures 15-22'!D229</f>
        <v>263774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2732</v>
      </c>
      <c r="D1412" s="2" t="str">
        <f t="shared" si="21"/>
        <v>Error?</v>
      </c>
    </row>
    <row r="1413" spans="1:4" x14ac:dyDescent="0.2">
      <c r="A1413" s="5">
        <v>1352</v>
      </c>
      <c r="B1413" s="138">
        <f>'Expenditures 15-22'!D234</f>
        <v>21142</v>
      </c>
      <c r="D1413" s="2" t="str">
        <f t="shared" si="21"/>
        <v>Error?</v>
      </c>
    </row>
    <row r="1414" spans="1:4" x14ac:dyDescent="0.2">
      <c r="A1414" s="5">
        <v>1353</v>
      </c>
      <c r="B1414" s="138">
        <f>'Expenditures 15-22'!D235</f>
        <v>3307</v>
      </c>
      <c r="D1414" s="2" t="str">
        <f t="shared" si="21"/>
        <v>Error?</v>
      </c>
    </row>
    <row r="1415" spans="1:4" x14ac:dyDescent="0.2">
      <c r="A1415" s="5">
        <v>1354</v>
      </c>
      <c r="B1415" s="138">
        <f>'Expenditures 15-22'!D236</f>
        <v>4985</v>
      </c>
      <c r="D1415" s="2" t="str">
        <f t="shared" si="21"/>
        <v>Error?</v>
      </c>
    </row>
    <row r="1416" spans="1:4" x14ac:dyDescent="0.2">
      <c r="A1416" s="5">
        <v>1355</v>
      </c>
      <c r="B1416" s="138">
        <f>'Expenditures 15-22'!D237</f>
        <v>6689</v>
      </c>
      <c r="D1416" s="2" t="str">
        <f t="shared" si="21"/>
        <v>Error?</v>
      </c>
    </row>
    <row r="1417" spans="1:4" x14ac:dyDescent="0.2">
      <c r="A1417" s="5">
        <v>1356</v>
      </c>
      <c r="B1417" s="138">
        <f>'Expenditures 15-22'!D238</f>
        <v>38855</v>
      </c>
      <c r="C1417" s="2" t="s">
        <v>573</v>
      </c>
      <c r="D1417" s="2" t="str">
        <f t="shared" si="21"/>
        <v>Error?</v>
      </c>
    </row>
    <row r="1418" spans="1:4" x14ac:dyDescent="0.2">
      <c r="A1418" s="5">
        <v>1357</v>
      </c>
      <c r="B1418" s="138">
        <f>'Expenditures 15-22'!D240</f>
        <v>2662</v>
      </c>
      <c r="D1418" s="2" t="str">
        <f t="shared" si="21"/>
        <v>Error?</v>
      </c>
    </row>
    <row r="1419" spans="1:4" x14ac:dyDescent="0.2">
      <c r="A1419" s="5">
        <v>1358</v>
      </c>
      <c r="B1419" s="138">
        <f>'Expenditures 15-22'!D241</f>
        <v>15718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18380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22295</v>
      </c>
      <c r="D1423" s="2" t="str">
        <f t="shared" si="21"/>
        <v>Error?</v>
      </c>
    </row>
    <row r="1424" spans="1:4" x14ac:dyDescent="0.2">
      <c r="A1424" s="5">
        <v>1363</v>
      </c>
      <c r="B1424" s="138">
        <f>'Expenditures 15-22'!D257</f>
        <v>22295</v>
      </c>
      <c r="C1424" s="2" t="s">
        <v>573</v>
      </c>
      <c r="D1424" s="2" t="str">
        <f t="shared" si="21"/>
        <v>Error?</v>
      </c>
    </row>
    <row r="1425" spans="1:4" x14ac:dyDescent="0.2">
      <c r="A1425" s="5">
        <v>1364</v>
      </c>
      <c r="B1425" s="138">
        <f>'Expenditures 15-22'!D259</f>
        <v>44963</v>
      </c>
      <c r="D1425" s="2" t="str">
        <f t="shared" si="21"/>
        <v>Error?</v>
      </c>
    </row>
    <row r="1426" spans="1:4" x14ac:dyDescent="0.2">
      <c r="A1426" s="5">
        <v>1365</v>
      </c>
      <c r="B1426" s="138">
        <f>'Expenditures 15-22'!D260</f>
        <v>12957</v>
      </c>
      <c r="D1426" s="2" t="str">
        <f t="shared" si="21"/>
        <v>Error?</v>
      </c>
    </row>
    <row r="1427" spans="1:4" x14ac:dyDescent="0.2">
      <c r="A1427" s="5">
        <v>1366</v>
      </c>
      <c r="B1427" s="138">
        <f>'Expenditures 15-22'!D261</f>
        <v>57920</v>
      </c>
      <c r="C1427" s="2" t="s">
        <v>573</v>
      </c>
      <c r="D1427" s="2" t="str">
        <f t="shared" si="21"/>
        <v>Error?</v>
      </c>
    </row>
    <row r="1428" spans="1:4" x14ac:dyDescent="0.2">
      <c r="A1428" s="5">
        <v>1367</v>
      </c>
      <c r="B1428" s="138">
        <f>'Expenditures 15-22'!D263</f>
        <v>33372</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55048</v>
      </c>
      <c r="D1431" s="2" t="str">
        <f t="shared" si="21"/>
        <v>Error?</v>
      </c>
    </row>
    <row r="1432" spans="1:4" x14ac:dyDescent="0.2">
      <c r="A1432" s="5">
        <v>1371</v>
      </c>
      <c r="B1432" s="138">
        <f>'Expenditures 15-22'!D267</f>
        <v>194405</v>
      </c>
      <c r="D1432" s="2" t="str">
        <f t="shared" si="21"/>
        <v>Error?</v>
      </c>
    </row>
    <row r="1433" spans="1:4" x14ac:dyDescent="0.2">
      <c r="A1433" s="5">
        <v>1372</v>
      </c>
      <c r="B1433" s="138">
        <f>'Expenditures 15-22'!D268</f>
        <v>7559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290384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11672</v>
      </c>
      <c r="D1439" s="2" t="str">
        <f t="shared" si="21"/>
        <v>Error?</v>
      </c>
    </row>
    <row r="1440" spans="1:4" x14ac:dyDescent="0.2">
      <c r="A1440" s="5">
        <v>1379</v>
      </c>
      <c r="B1440" s="138">
        <f>'Expenditures 15-22'!D275</f>
        <v>2275</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13947</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441781</v>
      </c>
      <c r="C1446" s="2" t="s">
        <v>573</v>
      </c>
      <c r="D1446" s="2" t="str">
        <f t="shared" si="21"/>
        <v>Error?</v>
      </c>
    </row>
    <row r="1447" spans="1:4" x14ac:dyDescent="0.2">
      <c r="A1447" s="5">
        <v>1386</v>
      </c>
      <c r="B1447" s="138">
        <f>'Expenditures 15-22'!D280</f>
        <v>339</v>
      </c>
      <c r="D1447" s="2" t="str">
        <f t="shared" si="21"/>
        <v>Error?</v>
      </c>
    </row>
    <row r="1448" spans="1:4" x14ac:dyDescent="0.2">
      <c r="A1448" s="5">
        <v>1387</v>
      </c>
      <c r="B1448" s="138">
        <f>'Expenditures 15-22'!D295</f>
        <v>766959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2471</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8139</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4598</v>
      </c>
      <c r="C1472" s="2" t="s">
        <v>573</v>
      </c>
      <c r="D1472" s="2" t="str">
        <f t="shared" si="22"/>
        <v>Error?</v>
      </c>
    </row>
    <row r="1473" spans="1:4" x14ac:dyDescent="0.2">
      <c r="A1473" s="5">
        <v>1412</v>
      </c>
      <c r="B1473" s="138">
        <f>'Expenditures 15-22'!K224</f>
        <v>413</v>
      </c>
      <c r="C1473" s="2" t="s">
        <v>573</v>
      </c>
      <c r="D1473" s="2" t="str">
        <f t="shared" si="22"/>
        <v>Error?</v>
      </c>
    </row>
    <row r="1474" spans="1:4" x14ac:dyDescent="0.2">
      <c r="A1474" s="5">
        <v>1413</v>
      </c>
      <c r="B1474" s="138">
        <f>'Expenditures 15-22'!K229</f>
        <v>263774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2732</v>
      </c>
      <c r="C1476" s="2" t="s">
        <v>573</v>
      </c>
      <c r="D1476" s="2" t="str">
        <f t="shared" si="22"/>
        <v>Error?</v>
      </c>
    </row>
    <row r="1477" spans="1:4" x14ac:dyDescent="0.2">
      <c r="A1477" s="5">
        <v>1416</v>
      </c>
      <c r="B1477" s="138">
        <f>'Expenditures 15-22'!K234</f>
        <v>21142</v>
      </c>
      <c r="C1477" s="2" t="s">
        <v>573</v>
      </c>
      <c r="D1477" s="2" t="str">
        <f t="shared" si="22"/>
        <v>Error?</v>
      </c>
    </row>
    <row r="1478" spans="1:4" x14ac:dyDescent="0.2">
      <c r="A1478" s="5">
        <v>1417</v>
      </c>
      <c r="B1478" s="138">
        <f>'Expenditures 15-22'!K235</f>
        <v>3307</v>
      </c>
      <c r="C1478" s="2" t="s">
        <v>573</v>
      </c>
      <c r="D1478" s="2" t="str">
        <f t="shared" si="22"/>
        <v>Error?</v>
      </c>
    </row>
    <row r="1479" spans="1:4" x14ac:dyDescent="0.2">
      <c r="A1479" s="5">
        <v>1418</v>
      </c>
      <c r="B1479" s="138">
        <f>'Expenditures 15-22'!K236</f>
        <v>4985</v>
      </c>
      <c r="C1479" s="2" t="s">
        <v>573</v>
      </c>
      <c r="D1479" s="2" t="str">
        <f t="shared" si="22"/>
        <v>Error?</v>
      </c>
    </row>
    <row r="1480" spans="1:4" x14ac:dyDescent="0.2">
      <c r="A1480" s="5">
        <v>1419</v>
      </c>
      <c r="B1480" s="138">
        <f>'Expenditures 15-22'!K237</f>
        <v>6689</v>
      </c>
      <c r="C1480" s="2" t="s">
        <v>573</v>
      </c>
      <c r="D1480" s="2" t="str">
        <f t="shared" si="22"/>
        <v>Error?</v>
      </c>
    </row>
    <row r="1481" spans="1:4" x14ac:dyDescent="0.2">
      <c r="A1481" s="5">
        <v>1420</v>
      </c>
      <c r="B1481" s="138">
        <f>'Expenditures 15-22'!K238</f>
        <v>38855</v>
      </c>
      <c r="C1481" s="2" t="s">
        <v>573</v>
      </c>
      <c r="D1481" s="2" t="str">
        <f t="shared" si="22"/>
        <v>Error?</v>
      </c>
    </row>
    <row r="1482" spans="1:4" x14ac:dyDescent="0.2">
      <c r="A1482" s="5">
        <v>1421</v>
      </c>
      <c r="B1482" s="138">
        <f>'Expenditures 15-22'!K240</f>
        <v>2662</v>
      </c>
      <c r="C1482" s="2" t="s">
        <v>573</v>
      </c>
      <c r="D1482" s="2" t="str">
        <f t="shared" si="22"/>
        <v>Error?</v>
      </c>
    </row>
    <row r="1483" spans="1:4" x14ac:dyDescent="0.2">
      <c r="A1483" s="5">
        <v>1422</v>
      </c>
      <c r="B1483" s="138">
        <f>'Expenditures 15-22'!K241</f>
        <v>15718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18380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22295</v>
      </c>
      <c r="C1487" s="2" t="s">
        <v>573</v>
      </c>
      <c r="D1487" s="2" t="str">
        <f t="shared" si="22"/>
        <v>Error?</v>
      </c>
    </row>
    <row r="1488" spans="1:4" x14ac:dyDescent="0.2">
      <c r="A1488" s="5">
        <v>1427</v>
      </c>
      <c r="B1488" s="138">
        <f>'Expenditures 15-22'!K257</f>
        <v>22295</v>
      </c>
      <c r="C1488" s="2" t="s">
        <v>573</v>
      </c>
      <c r="D1488" s="2" t="str">
        <f t="shared" si="22"/>
        <v>Error?</v>
      </c>
    </row>
    <row r="1489" spans="1:4" x14ac:dyDescent="0.2">
      <c r="A1489" s="5">
        <v>1428</v>
      </c>
      <c r="B1489" s="138">
        <f>'Expenditures 15-22'!K259</f>
        <v>44963</v>
      </c>
      <c r="C1489" s="2" t="s">
        <v>573</v>
      </c>
      <c r="D1489" s="2" t="str">
        <f t="shared" si="22"/>
        <v>Error?</v>
      </c>
    </row>
    <row r="1490" spans="1:4" x14ac:dyDescent="0.2">
      <c r="A1490" s="5">
        <v>1429</v>
      </c>
      <c r="B1490" s="138">
        <f>'Expenditures 15-22'!K260</f>
        <v>12957</v>
      </c>
      <c r="C1490" s="2" t="s">
        <v>573</v>
      </c>
      <c r="D1490" s="2" t="str">
        <f t="shared" si="22"/>
        <v>Error?</v>
      </c>
    </row>
    <row r="1491" spans="1:4" x14ac:dyDescent="0.2">
      <c r="A1491" s="5">
        <v>1430</v>
      </c>
      <c r="B1491" s="138">
        <f>'Expenditures 15-22'!K261</f>
        <v>57920</v>
      </c>
      <c r="C1491" s="2" t="s">
        <v>573</v>
      </c>
      <c r="D1491" s="2" t="str">
        <f t="shared" si="22"/>
        <v>Error?</v>
      </c>
    </row>
    <row r="1492" spans="1:4" x14ac:dyDescent="0.2">
      <c r="A1492" s="5">
        <v>1431</v>
      </c>
      <c r="B1492" s="138">
        <f>'Expenditures 15-22'!K263</f>
        <v>33372</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55048</v>
      </c>
      <c r="C1495" s="2" t="s">
        <v>573</v>
      </c>
      <c r="D1495" s="2" t="str">
        <f t="shared" si="22"/>
        <v>Error?</v>
      </c>
    </row>
    <row r="1496" spans="1:4" x14ac:dyDescent="0.2">
      <c r="A1496" s="5">
        <v>1435</v>
      </c>
      <c r="B1496" s="138">
        <f>'Expenditures 15-22'!K267</f>
        <v>194405</v>
      </c>
      <c r="C1496" s="2" t="s">
        <v>573</v>
      </c>
      <c r="D1496" s="2" t="str">
        <f t="shared" si="22"/>
        <v>Error?</v>
      </c>
    </row>
    <row r="1497" spans="1:4" x14ac:dyDescent="0.2">
      <c r="A1497" s="5">
        <v>1436</v>
      </c>
      <c r="B1497" s="138">
        <f>'Expenditures 15-22'!K268</f>
        <v>7559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290384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11672</v>
      </c>
      <c r="C1503" s="2" t="s">
        <v>573</v>
      </c>
      <c r="D1503" s="2" t="str">
        <f t="shared" si="22"/>
        <v>Error?</v>
      </c>
    </row>
    <row r="1504" spans="1:4" x14ac:dyDescent="0.2">
      <c r="A1504" s="5">
        <v>1443</v>
      </c>
      <c r="B1504" s="138">
        <f>'Expenditures 15-22'!K275</f>
        <v>2275</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13947</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441781</v>
      </c>
      <c r="C1510" s="2" t="s">
        <v>573</v>
      </c>
      <c r="D1510" s="2" t="str">
        <f t="shared" si="22"/>
        <v>Error?</v>
      </c>
    </row>
    <row r="1511" spans="1:4" x14ac:dyDescent="0.2">
      <c r="A1511" s="5">
        <v>1450</v>
      </c>
      <c r="B1511" s="138">
        <f>'Expenditures 15-22'!K280</f>
        <v>339</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766959</v>
      </c>
      <c r="C1517" s="2" t="s">
        <v>573</v>
      </c>
      <c r="D1517" s="2" t="str">
        <f t="shared" si="22"/>
        <v>Error?</v>
      </c>
    </row>
    <row r="1518" spans="1:4" x14ac:dyDescent="0.2">
      <c r="A1518" s="5">
        <v>1457</v>
      </c>
      <c r="B1518" s="138">
        <f>'Expenditures 15-22'!K296</f>
        <v>-31086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21824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21824</v>
      </c>
      <c r="C1535" s="2" t="s">
        <v>573</v>
      </c>
      <c r="D1535" s="2" t="str">
        <f t="shared" ref="D1535:D1598" si="23">IF(ISBLANK(B1535),"OK",IF(A1535-B1535=0,"OK","Error?"))</f>
        <v>Error?</v>
      </c>
    </row>
    <row r="1536" spans="1:4" x14ac:dyDescent="0.2">
      <c r="A1536" s="5">
        <v>1475</v>
      </c>
      <c r="B1536" s="138">
        <f>'Expenditures 15-22'!E312</f>
        <v>21824</v>
      </c>
      <c r="C1536" s="2" t="s">
        <v>573</v>
      </c>
      <c r="D1536" s="2" t="str">
        <f t="shared" si="23"/>
        <v>Error?</v>
      </c>
    </row>
    <row r="1537" spans="1:4" x14ac:dyDescent="0.2">
      <c r="A1537" s="5">
        <v>1476</v>
      </c>
      <c r="B1537" s="138">
        <f>'Expenditures 15-22'!F301</f>
        <v>445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445</v>
      </c>
      <c r="C1541" s="2" t="s">
        <v>573</v>
      </c>
      <c r="D1541" s="2" t="str">
        <f t="shared" si="23"/>
        <v>Error?</v>
      </c>
    </row>
    <row r="1542" spans="1:4" x14ac:dyDescent="0.2">
      <c r="A1542" s="5">
        <v>1481</v>
      </c>
      <c r="B1542" s="138">
        <f>'Expenditures 15-22'!F312</f>
        <v>445</v>
      </c>
      <c r="C1542" s="2" t="s">
        <v>573</v>
      </c>
      <c r="D1542" s="2" t="str">
        <f t="shared" si="23"/>
        <v>Error?</v>
      </c>
    </row>
    <row r="1543" spans="1:4" x14ac:dyDescent="0.2">
      <c r="A1543" s="5">
        <v>1482</v>
      </c>
      <c r="B1543" s="138">
        <f>'Expenditures 15-22'!G301</f>
        <v>3525392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3525392</v>
      </c>
      <c r="C1547" s="2" t="s">
        <v>573</v>
      </c>
      <c r="D1547" s="2" t="str">
        <f t="shared" si="23"/>
        <v>Error?</v>
      </c>
    </row>
    <row r="1548" spans="1:4" x14ac:dyDescent="0.2">
      <c r="A1548" s="5">
        <v>1487</v>
      </c>
      <c r="B1548" s="138">
        <f>'Expenditures 15-22'!G312</f>
        <v>3525392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3549754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3549754</v>
      </c>
      <c r="C1559" s="2" t="s">
        <v>573</v>
      </c>
      <c r="D1559" s="2" t="str">
        <f t="shared" si="23"/>
        <v>Error?</v>
      </c>
    </row>
    <row r="1560" spans="1:4" x14ac:dyDescent="0.2">
      <c r="A1560" s="5">
        <v>1499</v>
      </c>
      <c r="B1560" s="138">
        <f>'Expenditures 15-22'!K312</f>
        <v>3549754</v>
      </c>
      <c r="C1560" s="2" t="s">
        <v>573</v>
      </c>
      <c r="D1560" s="2" t="str">
        <f t="shared" si="23"/>
        <v>Error?</v>
      </c>
    </row>
    <row r="1561" spans="1:4" x14ac:dyDescent="0.2">
      <c r="A1561" s="5">
        <v>1500</v>
      </c>
      <c r="B1561" s="138">
        <f>'Expenditures 15-22'!K313</f>
        <v>-3243700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22906110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21863523</v>
      </c>
      <c r="C1630" s="2" t="s">
        <v>573</v>
      </c>
      <c r="D1630" s="2" t="str">
        <f t="shared" si="24"/>
        <v>Error?</v>
      </c>
    </row>
    <row r="1631" spans="1:4" x14ac:dyDescent="0.2">
      <c r="A1631" s="5">
        <v>1570</v>
      </c>
      <c r="B1631" s="138">
        <f>'Acct Summary 7-8'!D79</f>
        <v>3005372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3017917</v>
      </c>
      <c r="C1644" s="2" t="s">
        <v>573</v>
      </c>
      <c r="D1644" s="2" t="str">
        <f t="shared" si="24"/>
        <v>Error?</v>
      </c>
    </row>
    <row r="1645" spans="1:4" x14ac:dyDescent="0.2">
      <c r="A1645" s="5">
        <v>1584</v>
      </c>
      <c r="B1645" s="138">
        <f>'Acct Summary 7-8'!E79</f>
        <v>2492674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2305329</v>
      </c>
      <c r="C1658" s="2" t="s">
        <v>573</v>
      </c>
      <c r="D1658" s="2" t="str">
        <f t="shared" si="24"/>
        <v>Error?</v>
      </c>
    </row>
    <row r="1659" spans="1:4" x14ac:dyDescent="0.2">
      <c r="A1659" s="5">
        <v>1598</v>
      </c>
      <c r="B1659" s="138">
        <f>'Acct Summary 7-8'!F79</f>
        <v>2268652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2302434</v>
      </c>
      <c r="C1672" s="2" t="s">
        <v>573</v>
      </c>
      <c r="D1672" s="2" t="str">
        <f t="shared" si="25"/>
        <v>Error?</v>
      </c>
    </row>
    <row r="1673" spans="1:4" x14ac:dyDescent="0.2">
      <c r="A1673" s="5">
        <v>1612</v>
      </c>
      <c r="B1673" s="138">
        <f>'Acct Summary 7-8'!G79</f>
        <v>298505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267419</v>
      </c>
      <c r="C1686" s="2" t="s">
        <v>573</v>
      </c>
      <c r="D1686" s="2" t="str">
        <f t="shared" si="25"/>
        <v>Error?</v>
      </c>
    </row>
    <row r="1687" spans="1:4" x14ac:dyDescent="0.2">
      <c r="A1687" s="5">
        <v>1626</v>
      </c>
      <c r="B1687" s="138">
        <f>'Acct Summary 7-8'!H79</f>
        <v>2023632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779932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18522093</v>
      </c>
      <c r="C1744" s="2" t="s">
        <v>573</v>
      </c>
      <c r="D1744" s="2" t="str">
        <f t="shared" si="26"/>
        <v>Error?</v>
      </c>
    </row>
    <row r="1745" spans="1:5" x14ac:dyDescent="0.2">
      <c r="A1745" s="5">
        <v>1684</v>
      </c>
      <c r="B1745" s="138">
        <f>'Tax Sched 23'!B5</f>
        <v>2289141</v>
      </c>
      <c r="C1745" s="2" t="s">
        <v>573</v>
      </c>
      <c r="D1745" s="2" t="str">
        <f t="shared" si="26"/>
        <v>Error?</v>
      </c>
    </row>
    <row r="1746" spans="1:5" x14ac:dyDescent="0.2">
      <c r="A1746" s="5">
        <v>1685</v>
      </c>
      <c r="B1746" s="138">
        <f>'Tax Sched 23'!B6</f>
        <v>2832914</v>
      </c>
      <c r="C1746" s="2" t="s">
        <v>573</v>
      </c>
      <c r="D1746" s="2" t="str">
        <f t="shared" si="26"/>
        <v>Error?</v>
      </c>
    </row>
    <row r="1747" spans="1:5" x14ac:dyDescent="0.2">
      <c r="A1747" s="5">
        <v>1686</v>
      </c>
      <c r="B1747" s="138">
        <f>'Tax Sched 23'!B7</f>
        <v>1124972</v>
      </c>
      <c r="C1747" s="2" t="s">
        <v>573</v>
      </c>
      <c r="D1747" s="2" t="str">
        <f t="shared" si="26"/>
        <v>Error?</v>
      </c>
    </row>
    <row r="1748" spans="1:5" x14ac:dyDescent="0.2">
      <c r="A1748" s="5">
        <v>1687</v>
      </c>
      <c r="B1748" s="138">
        <f>'Tax Sched 23'!B8</f>
        <v>444893</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25492199</v>
      </c>
      <c r="C1759" s="2" t="s">
        <v>573</v>
      </c>
      <c r="D1759" s="2" t="str">
        <f t="shared" si="26"/>
        <v>Error?</v>
      </c>
    </row>
    <row r="1760" spans="1:5" x14ac:dyDescent="0.2">
      <c r="A1760" s="5">
        <v>1699</v>
      </c>
      <c r="B1760" s="138">
        <f>'Tax Sched 23'!D4</f>
        <v>8571682</v>
      </c>
      <c r="C1760" s="2" t="s">
        <v>573</v>
      </c>
      <c r="D1760" s="2" t="str">
        <f t="shared" si="26"/>
        <v>Error?</v>
      </c>
    </row>
    <row r="1761" spans="1:5" x14ac:dyDescent="0.2">
      <c r="A1761" s="5">
        <v>1700</v>
      </c>
      <c r="B1761" s="138">
        <f>'Tax Sched 23'!D5</f>
        <v>1059368</v>
      </c>
      <c r="C1761" s="2" t="s">
        <v>573</v>
      </c>
      <c r="D1761" s="2" t="str">
        <f t="shared" si="26"/>
        <v>Error?</v>
      </c>
    </row>
    <row r="1762" spans="1:5" s="8" customFormat="1" x14ac:dyDescent="0.2">
      <c r="A1762" s="5">
        <v>1701</v>
      </c>
      <c r="B1762" s="138">
        <f>'Tax Sched 23'!D6</f>
        <v>1325524</v>
      </c>
      <c r="C1762" s="2" t="s">
        <v>573</v>
      </c>
      <c r="D1762" s="2" t="str">
        <f t="shared" si="26"/>
        <v>Error?</v>
      </c>
      <c r="E1762" s="9"/>
    </row>
    <row r="1763" spans="1:5" x14ac:dyDescent="0.2">
      <c r="A1763" s="5">
        <v>1702</v>
      </c>
      <c r="B1763" s="138">
        <f>'Tax Sched 23'!D7</f>
        <v>520534</v>
      </c>
      <c r="C1763" s="2" t="s">
        <v>573</v>
      </c>
      <c r="D1763" s="2" t="str">
        <f t="shared" si="26"/>
        <v>Error?</v>
      </c>
    </row>
    <row r="1764" spans="1:5" x14ac:dyDescent="0.2">
      <c r="A1764" s="5">
        <v>1703</v>
      </c>
      <c r="B1764" s="138">
        <f>'Tax Sched 23'!D8</f>
        <v>351603</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11813479</v>
      </c>
      <c r="C1775" s="2" t="s">
        <v>573</v>
      </c>
      <c r="D1775" s="2" t="str">
        <f t="shared" si="26"/>
        <v>Error?</v>
      </c>
    </row>
    <row r="1776" spans="1:5" x14ac:dyDescent="0.2">
      <c r="A1776" s="5">
        <v>1715</v>
      </c>
      <c r="B1776" s="138">
        <f>'Tax Sched 23'!C4</f>
        <v>9950411</v>
      </c>
      <c r="D1776" s="2" t="str">
        <f t="shared" si="26"/>
        <v>Error?</v>
      </c>
    </row>
    <row r="1777" spans="1:4" x14ac:dyDescent="0.2">
      <c r="A1777" s="5">
        <v>1716</v>
      </c>
      <c r="B1777" s="138">
        <f>'Tax Sched 23'!C5</f>
        <v>1229773</v>
      </c>
      <c r="D1777" s="2" t="str">
        <f t="shared" si="26"/>
        <v>Error?</v>
      </c>
    </row>
    <row r="1778" spans="1:4" x14ac:dyDescent="0.2">
      <c r="A1778" s="5">
        <v>1717</v>
      </c>
      <c r="B1778" s="138">
        <f>'Tax Sched 23'!C6</f>
        <v>1507390</v>
      </c>
      <c r="D1778" s="2" t="str">
        <f t="shared" si="26"/>
        <v>Error?</v>
      </c>
    </row>
    <row r="1779" spans="1:4" x14ac:dyDescent="0.2">
      <c r="A1779" s="5">
        <v>1718</v>
      </c>
      <c r="B1779" s="138">
        <f>'Tax Sched 23'!C7</f>
        <v>604438</v>
      </c>
      <c r="D1779" s="2" t="str">
        <f t="shared" si="26"/>
        <v>Error?</v>
      </c>
    </row>
    <row r="1780" spans="1:4" x14ac:dyDescent="0.2">
      <c r="A1780" s="5">
        <v>1719</v>
      </c>
      <c r="B1780" s="138">
        <f>'Tax Sched 23'!C8</f>
        <v>93290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13678720</v>
      </c>
      <c r="C1791" s="2" t="s">
        <v>573</v>
      </c>
      <c r="D1791" s="2" t="str">
        <f t="shared" ref="D1791:D1854" si="27">IF(ISBLANK(B1791),"OK",IF(A1791-B1791=0,"OK","Error?"))</f>
        <v>Error?</v>
      </c>
    </row>
    <row r="1792" spans="1:4" x14ac:dyDescent="0.2">
      <c r="A1792" s="5">
        <v>1731</v>
      </c>
      <c r="B1792" s="138">
        <f>'Tax Sched 23'!F4</f>
        <v>10329367</v>
      </c>
      <c r="C1792" s="2" t="s">
        <v>573</v>
      </c>
      <c r="D1792" s="2" t="str">
        <f t="shared" si="27"/>
        <v>Error?</v>
      </c>
    </row>
    <row r="1793" spans="1:4" x14ac:dyDescent="0.2">
      <c r="A1793" s="5">
        <v>1732</v>
      </c>
      <c r="B1793" s="138">
        <f>'Tax Sched 23'!F5</f>
        <v>1276608</v>
      </c>
      <c r="C1793" s="2" t="s">
        <v>573</v>
      </c>
      <c r="D1793" s="2" t="str">
        <f t="shared" si="27"/>
        <v>Error?</v>
      </c>
    </row>
    <row r="1794" spans="1:4" x14ac:dyDescent="0.2">
      <c r="A1794" s="5">
        <v>1733</v>
      </c>
      <c r="B1794" s="138">
        <f>'Tax Sched 23'!F6</f>
        <v>1564797</v>
      </c>
      <c r="C1794" s="2" t="s">
        <v>573</v>
      </c>
      <c r="D1794" s="2" t="str">
        <f t="shared" si="27"/>
        <v>Error?</v>
      </c>
    </row>
    <row r="1795" spans="1:4" x14ac:dyDescent="0.2">
      <c r="A1795" s="5">
        <v>1734</v>
      </c>
      <c r="B1795" s="138">
        <f>'Tax Sched 23'!F7</f>
        <v>627458</v>
      </c>
      <c r="C1795" s="2" t="s">
        <v>573</v>
      </c>
      <c r="D1795" s="2" t="str">
        <f t="shared" si="27"/>
        <v>Error?</v>
      </c>
    </row>
    <row r="1796" spans="1:4" x14ac:dyDescent="0.2">
      <c r="A1796" s="5">
        <v>1735</v>
      </c>
      <c r="B1796" s="138">
        <f>'Tax Sched 23'!F8</f>
        <v>96842</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14199665</v>
      </c>
      <c r="C1807" s="2" t="s">
        <v>573</v>
      </c>
      <c r="D1807" s="2" t="str">
        <f t="shared" si="27"/>
        <v>Error?</v>
      </c>
    </row>
    <row r="1808" spans="1:4" x14ac:dyDescent="0.2">
      <c r="A1808" s="5">
        <v>1747</v>
      </c>
      <c r="B1808" s="138">
        <f>'Tax Sched 23'!E4</f>
        <v>20279778</v>
      </c>
      <c r="D1808" s="2" t="str">
        <f t="shared" si="27"/>
        <v>Error?</v>
      </c>
    </row>
    <row r="1809" spans="1:4" x14ac:dyDescent="0.2">
      <c r="A1809" s="5">
        <v>1748</v>
      </c>
      <c r="B1809" s="138">
        <f>'Tax Sched 23'!E5</f>
        <v>2506381</v>
      </c>
      <c r="D1809" s="2" t="str">
        <f t="shared" si="27"/>
        <v>Error?</v>
      </c>
    </row>
    <row r="1810" spans="1:4" x14ac:dyDescent="0.2">
      <c r="A1810" s="5">
        <v>1749</v>
      </c>
      <c r="B1810" s="138">
        <f>'Tax Sched 23'!E6</f>
        <v>3072187</v>
      </c>
      <c r="D1810" s="2" t="str">
        <f t="shared" si="27"/>
        <v>Error?</v>
      </c>
    </row>
    <row r="1811" spans="1:4" x14ac:dyDescent="0.2">
      <c r="A1811" s="5">
        <v>1750</v>
      </c>
      <c r="B1811" s="138">
        <f>'Tax Sched 23'!E7</f>
        <v>1231896</v>
      </c>
      <c r="D1811" s="2" t="str">
        <f t="shared" si="27"/>
        <v>Error?</v>
      </c>
    </row>
    <row r="1812" spans="1:4" x14ac:dyDescent="0.2">
      <c r="A1812" s="5">
        <v>1751</v>
      </c>
      <c r="B1812" s="138">
        <f>'Tax Sched 23'!E8</f>
        <v>190132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27878385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16693190</v>
      </c>
      <c r="C1939" s="2" t="s">
        <v>573</v>
      </c>
      <c r="D1939" s="2" t="str">
        <f t="shared" si="29"/>
        <v>Error?</v>
      </c>
    </row>
    <row r="1940" spans="1:5" x14ac:dyDescent="0.2">
      <c r="A1940" s="5">
        <v>1879</v>
      </c>
      <c r="B1940" s="138">
        <f>'Short-Term Long-Term Debt 24'!F49</f>
        <v>477408</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4698697</v>
      </c>
      <c r="D2008" s="2" t="str">
        <f t="shared" si="30"/>
        <v>Error?</v>
      </c>
    </row>
    <row r="2009" spans="1:4" x14ac:dyDescent="0.2">
      <c r="A2009" s="5">
        <v>1948</v>
      </c>
      <c r="B2009" s="138">
        <f>'Cap Outlay Deprec 26'!C8</f>
        <v>49711215</v>
      </c>
      <c r="D2009" s="2" t="str">
        <f t="shared" si="30"/>
        <v>Error?</v>
      </c>
    </row>
    <row r="2010" spans="1:4" x14ac:dyDescent="0.2">
      <c r="A2010" s="5">
        <v>1949</v>
      </c>
      <c r="B2010" s="138">
        <f>'Cap Outlay Deprec 26'!C10</f>
        <v>4045743</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6808100</v>
      </c>
      <c r="D2012" s="2" t="str">
        <f t="shared" si="30"/>
        <v>Error?</v>
      </c>
    </row>
    <row r="2013" spans="1:4" x14ac:dyDescent="0.2">
      <c r="A2013" s="5">
        <v>1952</v>
      </c>
      <c r="B2013" s="138">
        <f>'Cap Outlay Deprec 26'!C16</f>
        <v>66195334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3652668</v>
      </c>
      <c r="D2015" s="2" t="str">
        <f t="shared" si="30"/>
        <v>Error?</v>
      </c>
    </row>
    <row r="2016" spans="1:4" x14ac:dyDescent="0.2">
      <c r="A2016" s="5">
        <v>1955</v>
      </c>
      <c r="B2016" s="138">
        <f>'Cap Outlay Deprec 26'!D10</f>
        <v>11750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1350646</v>
      </c>
      <c r="D2018" s="2" t="str">
        <f t="shared" si="30"/>
        <v>Error?</v>
      </c>
    </row>
    <row r="2019" spans="1:4" x14ac:dyDescent="0.2">
      <c r="A2019" s="5">
        <v>1958</v>
      </c>
      <c r="B2019" s="138">
        <f>'Cap Outlay Deprec 26'!D16</f>
        <v>5409746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53949</v>
      </c>
      <c r="D2024" s="2" t="str">
        <f t="shared" si="30"/>
        <v>Error?</v>
      </c>
    </row>
    <row r="2025" spans="1:4" x14ac:dyDescent="0.2">
      <c r="A2025" s="5">
        <v>1964</v>
      </c>
      <c r="B2025" s="138">
        <f>'Cap Outlay Deprec 26'!E16</f>
        <v>985528</v>
      </c>
      <c r="C2025" s="2" t="s">
        <v>573</v>
      </c>
      <c r="D2025" s="2" t="str">
        <f t="shared" si="30"/>
        <v>Error?</v>
      </c>
    </row>
    <row r="2026" spans="1:4" x14ac:dyDescent="0.2">
      <c r="A2026" s="5">
        <v>1965</v>
      </c>
      <c r="B2026" s="138">
        <f>'Cap Outlay Deprec 26'!F5</f>
        <v>4698697</v>
      </c>
      <c r="C2026" s="2" t="s">
        <v>573</v>
      </c>
      <c r="D2026" s="2" t="str">
        <f t="shared" si="30"/>
        <v>Error?</v>
      </c>
    </row>
    <row r="2027" spans="1:4" x14ac:dyDescent="0.2">
      <c r="A2027" s="5">
        <v>1966</v>
      </c>
      <c r="B2027" s="138">
        <f>'Cap Outlay Deprec 26'!F8</f>
        <v>53363883</v>
      </c>
      <c r="C2027" s="2" t="s">
        <v>573</v>
      </c>
      <c r="D2027" s="2" t="str">
        <f t="shared" si="30"/>
        <v>Error?</v>
      </c>
    </row>
    <row r="2028" spans="1:4" x14ac:dyDescent="0.2">
      <c r="A2028" s="5">
        <v>1967</v>
      </c>
      <c r="B2028" s="138">
        <f>'Cap Outlay Deprec 26'!F10</f>
        <v>4057493</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8104797</v>
      </c>
      <c r="C2030" s="2" t="s">
        <v>573</v>
      </c>
      <c r="D2030" s="2" t="str">
        <f t="shared" si="30"/>
        <v>Error?</v>
      </c>
    </row>
    <row r="2031" spans="1:4" x14ac:dyDescent="0.2">
      <c r="A2031" s="5">
        <v>1970</v>
      </c>
      <c r="B2031" s="138">
        <f>'Cap Outlay Deprec 26'!F16</f>
        <v>70619552</v>
      </c>
      <c r="C2031" s="2" t="s">
        <v>573</v>
      </c>
      <c r="D2031" s="2" t="str">
        <f t="shared" si="30"/>
        <v>Error?</v>
      </c>
    </row>
    <row r="2032" spans="1:4" x14ac:dyDescent="0.2">
      <c r="A2032" s="10">
        <v>1971</v>
      </c>
      <c r="D2032" s="2" t="str">
        <f t="shared" si="30"/>
        <v>OK</v>
      </c>
    </row>
    <row r="2033" spans="1:4" x14ac:dyDescent="0.2">
      <c r="A2033" s="5">
        <v>1972</v>
      </c>
      <c r="B2033" s="138">
        <f>'Cap Outlay Deprec 26'!H8</f>
        <v>16153160</v>
      </c>
      <c r="D2033" s="2" t="str">
        <f t="shared" si="30"/>
        <v>Error?</v>
      </c>
    </row>
    <row r="2034" spans="1:4" x14ac:dyDescent="0.2">
      <c r="A2034" s="5">
        <v>1973</v>
      </c>
      <c r="B2034" s="138">
        <f>'Cap Outlay Deprec 26'!H10</f>
        <v>2291287</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4070492</v>
      </c>
      <c r="D2036" s="2" t="str">
        <f t="shared" si="30"/>
        <v>Error?</v>
      </c>
    </row>
    <row r="2037" spans="1:4" x14ac:dyDescent="0.2">
      <c r="A2037" s="5">
        <v>1976</v>
      </c>
      <c r="B2037" s="138">
        <f>'Cap Outlay Deprec 26'!H16</f>
        <v>22514939</v>
      </c>
      <c r="C2037" s="2" t="s">
        <v>573</v>
      </c>
      <c r="D2037" s="2" t="str">
        <f t="shared" si="30"/>
        <v>Error?</v>
      </c>
    </row>
    <row r="2038" spans="1:4" x14ac:dyDescent="0.2">
      <c r="A2038" s="10">
        <v>1977</v>
      </c>
      <c r="D2038" s="2" t="str">
        <f t="shared" si="30"/>
        <v>OK</v>
      </c>
    </row>
    <row r="2039" spans="1:4" x14ac:dyDescent="0.2">
      <c r="A2039" s="5">
        <v>1978</v>
      </c>
      <c r="B2039" s="138">
        <f>'Cap Outlay Deprec 26'!I8</f>
        <v>1331915</v>
      </c>
      <c r="D2039" s="2" t="str">
        <f t="shared" si="30"/>
        <v>Error?</v>
      </c>
    </row>
    <row r="2040" spans="1:4" x14ac:dyDescent="0.2">
      <c r="A2040" s="5">
        <v>1979</v>
      </c>
      <c r="B2040" s="138">
        <f>'Cap Outlay Deprec 26'!I10</f>
        <v>174117</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765827</v>
      </c>
      <c r="D2042" s="2" t="str">
        <f t="shared" si="30"/>
        <v>Error?</v>
      </c>
    </row>
    <row r="2043" spans="1:4" x14ac:dyDescent="0.2">
      <c r="A2043" s="5">
        <v>1982</v>
      </c>
      <c r="B2043" s="138">
        <f>'Cap Outlay Deprec 26'!I16</f>
        <v>2271859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79726</v>
      </c>
      <c r="D2048" s="2" t="str">
        <f t="shared" si="31"/>
        <v>Error?</v>
      </c>
    </row>
    <row r="2049" spans="1:4" x14ac:dyDescent="0.2">
      <c r="A2049" s="5">
        <v>1988</v>
      </c>
      <c r="B2049" s="138">
        <f>'Cap Outlay Deprec 26'!J16</f>
        <v>79726</v>
      </c>
      <c r="C2049" s="2" t="s">
        <v>573</v>
      </c>
      <c r="D2049" s="2" t="str">
        <f t="shared" si="31"/>
        <v>Error?</v>
      </c>
    </row>
    <row r="2050" spans="1:4" x14ac:dyDescent="0.2">
      <c r="A2050" s="10">
        <v>1989</v>
      </c>
      <c r="D2050" s="2" t="str">
        <f t="shared" si="31"/>
        <v>OK</v>
      </c>
    </row>
    <row r="2051" spans="1:4" x14ac:dyDescent="0.2">
      <c r="A2051" s="5">
        <v>1990</v>
      </c>
      <c r="B2051" s="138">
        <f>'Cap Outlay Deprec 26'!K8</f>
        <v>17485075</v>
      </c>
      <c r="C2051" s="2" t="s">
        <v>573</v>
      </c>
      <c r="D2051" s="2" t="str">
        <f t="shared" si="31"/>
        <v>Error?</v>
      </c>
    </row>
    <row r="2052" spans="1:4" x14ac:dyDescent="0.2">
      <c r="A2052" s="5">
        <v>1991</v>
      </c>
      <c r="B2052" s="138">
        <f>'Cap Outlay Deprec 26'!K10</f>
        <v>2465404</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4756593</v>
      </c>
      <c r="C2054" s="2" t="s">
        <v>573</v>
      </c>
      <c r="D2054" s="2" t="str">
        <f t="shared" si="31"/>
        <v>Error?</v>
      </c>
    </row>
    <row r="2055" spans="1:4" x14ac:dyDescent="0.2">
      <c r="A2055" s="5">
        <v>1994</v>
      </c>
      <c r="B2055" s="138">
        <f>'Cap Outlay Deprec 26'!K16</f>
        <v>24707072</v>
      </c>
      <c r="C2055" s="2" t="s">
        <v>573</v>
      </c>
      <c r="D2055" s="2" t="str">
        <f t="shared" si="31"/>
        <v>Error?</v>
      </c>
    </row>
    <row r="2056" spans="1:4" x14ac:dyDescent="0.2">
      <c r="A2056" s="5">
        <v>1995</v>
      </c>
      <c r="B2056" s="138">
        <f>'Cap Outlay Deprec 26'!L5</f>
        <v>4698697</v>
      </c>
      <c r="C2056" s="2" t="s">
        <v>573</v>
      </c>
      <c r="D2056" s="2" t="str">
        <f t="shared" si="31"/>
        <v>Error?</v>
      </c>
    </row>
    <row r="2057" spans="1:4" x14ac:dyDescent="0.2">
      <c r="A2057" s="5">
        <v>1996</v>
      </c>
      <c r="B2057" s="138">
        <f>'Cap Outlay Deprec 26'!L8</f>
        <v>35878808</v>
      </c>
      <c r="C2057" s="2" t="s">
        <v>573</v>
      </c>
      <c r="D2057" s="2" t="str">
        <f t="shared" si="31"/>
        <v>Error?</v>
      </c>
    </row>
    <row r="2058" spans="1:4" x14ac:dyDescent="0.2">
      <c r="A2058" s="5">
        <v>1997</v>
      </c>
      <c r="B2058" s="138">
        <f>'Cap Outlay Deprec 26'!L10</f>
        <v>1592089</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3348204</v>
      </c>
      <c r="C2060" s="2" t="s">
        <v>573</v>
      </c>
      <c r="D2060" s="2" t="str">
        <f t="shared" si="31"/>
        <v>Error?</v>
      </c>
    </row>
    <row r="2061" spans="1:4" x14ac:dyDescent="0.2">
      <c r="A2061" s="5">
        <v>2000</v>
      </c>
      <c r="B2061" s="138">
        <f>'Cap Outlay Deprec 26'!L16</f>
        <v>45912480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629736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629736</v>
      </c>
      <c r="C2088" s="2" t="s">
        <v>573</v>
      </c>
      <c r="D2088" s="2" t="str">
        <f t="shared" si="31"/>
        <v>Error?</v>
      </c>
    </row>
    <row r="2089" spans="1:4" x14ac:dyDescent="0.2">
      <c r="A2089" s="5">
        <v>2028</v>
      </c>
      <c r="B2089" s="138">
        <f>'Expenditures 15-22'!K92</f>
        <v>482745</v>
      </c>
      <c r="C2089" s="2" t="s">
        <v>573</v>
      </c>
      <c r="D2089" s="2" t="str">
        <f t="shared" si="31"/>
        <v>Error?</v>
      </c>
    </row>
    <row r="2090" spans="1:4" x14ac:dyDescent="0.2">
      <c r="A2090" s="10">
        <v>2029</v>
      </c>
      <c r="D2090" s="2" t="str">
        <f t="shared" si="31"/>
        <v>OK</v>
      </c>
    </row>
    <row r="2091" spans="1:4" x14ac:dyDescent="0.2">
      <c r="A2091" s="5">
        <v>2030</v>
      </c>
      <c r="B2091" s="138">
        <f>'Expenditures 15-22'!H137</f>
        <v>47593</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47593</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20301452</v>
      </c>
      <c r="C2551" s="2" t="s">
        <v>573</v>
      </c>
      <c r="D2551" s="2" t="str">
        <f t="shared" si="38"/>
        <v>Error?</v>
      </c>
    </row>
    <row r="2552" spans="1:4" x14ac:dyDescent="0.2">
      <c r="A2552" s="10">
        <v>2491</v>
      </c>
      <c r="D2552" s="2" t="str">
        <f t="shared" si="38"/>
        <v>OK</v>
      </c>
    </row>
    <row r="2553" spans="1:4" x14ac:dyDescent="0.2">
      <c r="A2553" s="5">
        <v>2492</v>
      </c>
      <c r="B2553" s="138">
        <f>'Acct Summary 7-8'!C6</f>
        <v>1206484</v>
      </c>
      <c r="C2553" s="2" t="s">
        <v>573</v>
      </c>
      <c r="D2553" s="2" t="str">
        <f t="shared" si="38"/>
        <v>Error?</v>
      </c>
    </row>
    <row r="2554" spans="1:4" x14ac:dyDescent="0.2">
      <c r="A2554" s="5">
        <v>2493</v>
      </c>
      <c r="B2554" s="138">
        <f>'Acct Summary 7-8'!C7</f>
        <v>545519</v>
      </c>
      <c r="C2554" s="2" t="s">
        <v>573</v>
      </c>
      <c r="D2554" s="2" t="str">
        <f t="shared" si="38"/>
        <v>Error?</v>
      </c>
    </row>
    <row r="2555" spans="1:4" x14ac:dyDescent="0.2">
      <c r="A2555" s="5">
        <v>2494</v>
      </c>
      <c r="B2555" s="138">
        <f>'Acct Summary 7-8'!C8</f>
        <v>22053455</v>
      </c>
      <c r="C2555" s="2" t="s">
        <v>573</v>
      </c>
      <c r="D2555" s="2" t="str">
        <f t="shared" si="38"/>
        <v>Error?</v>
      </c>
    </row>
    <row r="2556" spans="1:4" x14ac:dyDescent="0.2">
      <c r="A2556" s="5">
        <v>2495</v>
      </c>
      <c r="B2556" s="138">
        <f>'Acct Summary 7-8'!C12</f>
        <v>14856136</v>
      </c>
      <c r="C2556" s="2" t="s">
        <v>573</v>
      </c>
      <c r="D2556" s="2" t="str">
        <f t="shared" si="38"/>
        <v>Error?</v>
      </c>
    </row>
    <row r="2557" spans="1:4" x14ac:dyDescent="0.2">
      <c r="A2557" s="5">
        <v>2496</v>
      </c>
      <c r="B2557" s="138">
        <f>'Acct Summary 7-8'!C13</f>
        <v>7125143</v>
      </c>
      <c r="C2557" s="2" t="s">
        <v>573</v>
      </c>
      <c r="D2557" s="2" t="str">
        <f t="shared" si="38"/>
        <v>Error?</v>
      </c>
    </row>
    <row r="2558" spans="1:4" x14ac:dyDescent="0.2">
      <c r="A2558" s="5">
        <v>2497</v>
      </c>
      <c r="B2558" s="138">
        <f>'Acct Summary 7-8'!C14</f>
        <v>2282</v>
      </c>
      <c r="C2558" s="2" t="s">
        <v>573</v>
      </c>
      <c r="D2558" s="2" t="str">
        <f t="shared" si="38"/>
        <v>Error?</v>
      </c>
    </row>
    <row r="2559" spans="1:4" x14ac:dyDescent="0.2">
      <c r="A2559" s="5">
        <v>2498</v>
      </c>
      <c r="B2559" s="138">
        <f>'Acct Summary 7-8'!C15</f>
        <v>1112481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23096042</v>
      </c>
      <c r="C2561" s="2" t="s">
        <v>573</v>
      </c>
      <c r="D2561" s="2" t="str">
        <f t="shared" si="39"/>
        <v>Error?</v>
      </c>
    </row>
    <row r="2562" spans="1:4" x14ac:dyDescent="0.2">
      <c r="A2562" s="5">
        <v>2501</v>
      </c>
      <c r="B2562" s="138">
        <f>'Acct Summary 7-8'!C20</f>
        <v>-1042587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2460738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2460738</v>
      </c>
      <c r="C2568" s="2" t="s">
        <v>573</v>
      </c>
      <c r="D2568" s="2" t="str">
        <f t="shared" si="39"/>
        <v>Error?</v>
      </c>
    </row>
    <row r="2569" spans="1:4" x14ac:dyDescent="0.2">
      <c r="A2569" s="5">
        <v>2508</v>
      </c>
      <c r="B2569" s="138">
        <f>'Acct Summary 7-8'!D13</f>
        <v>2400600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47593</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2448193</v>
      </c>
      <c r="C2573" s="2" t="s">
        <v>573</v>
      </c>
      <c r="D2573" s="2" t="str">
        <f t="shared" si="39"/>
        <v>Error?</v>
      </c>
    </row>
    <row r="2574" spans="1:4" x14ac:dyDescent="0.2">
      <c r="A2574" s="5">
        <v>2513</v>
      </c>
      <c r="B2574" s="138">
        <f>'Acct Summary 7-8'!D20</f>
        <v>12545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1389595</v>
      </c>
      <c r="C2591" s="2" t="s">
        <v>573</v>
      </c>
      <c r="D2591" s="2" t="str">
        <f t="shared" si="39"/>
        <v>Error?</v>
      </c>
    </row>
    <row r="2592" spans="1:4" x14ac:dyDescent="0.2">
      <c r="A2592" s="10">
        <v>2531</v>
      </c>
      <c r="D2592" s="2" t="str">
        <f t="shared" si="39"/>
        <v>OK</v>
      </c>
    </row>
    <row r="2593" spans="1:4" x14ac:dyDescent="0.2">
      <c r="A2593" s="5">
        <v>2532</v>
      </c>
      <c r="B2593" s="138">
        <f>'Acct Summary 7-8'!F6</f>
        <v>984516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2374111</v>
      </c>
      <c r="C2595" s="2" t="s">
        <v>573</v>
      </c>
      <c r="D2595" s="2" t="str">
        <f t="shared" si="39"/>
        <v>Error?</v>
      </c>
    </row>
    <row r="2596" spans="1:4" x14ac:dyDescent="0.2">
      <c r="A2596" s="5">
        <v>2535</v>
      </c>
      <c r="B2596" s="138">
        <f>'Acct Summary 7-8'!F13</f>
        <v>2588914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228823</v>
      </c>
      <c r="C2599" s="2" t="s">
        <v>573</v>
      </c>
      <c r="D2599" s="2" t="str">
        <f t="shared" si="39"/>
        <v>Error?</v>
      </c>
    </row>
    <row r="2600" spans="1:4" x14ac:dyDescent="0.2">
      <c r="A2600" s="5">
        <v>2539</v>
      </c>
      <c r="B2600" s="138">
        <f>'Acct Summary 7-8'!F17</f>
        <v>2817737</v>
      </c>
      <c r="C2600" s="2" t="s">
        <v>573</v>
      </c>
      <c r="D2600" s="2" t="str">
        <f t="shared" si="39"/>
        <v>Error?</v>
      </c>
    </row>
    <row r="2601" spans="1:4" x14ac:dyDescent="0.2">
      <c r="A2601" s="5">
        <v>2540</v>
      </c>
      <c r="B2601" s="138">
        <f>'Acct Summary 7-8'!F20</f>
        <v>-443626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735873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735873</v>
      </c>
      <c r="C2606" s="2" t="s">
        <v>573</v>
      </c>
      <c r="D2606" s="2" t="str">
        <f t="shared" si="39"/>
        <v>Error?</v>
      </c>
    </row>
    <row r="2607" spans="1:4" x14ac:dyDescent="0.2">
      <c r="A2607" s="5">
        <v>2546</v>
      </c>
      <c r="B2607" s="138">
        <f>'Acct Summary 7-8'!G12</f>
        <v>263774</v>
      </c>
      <c r="C2607" s="2" t="s">
        <v>573</v>
      </c>
      <c r="D2607" s="2" t="str">
        <f t="shared" si="39"/>
        <v>Error?</v>
      </c>
    </row>
    <row r="2608" spans="1:4" x14ac:dyDescent="0.2">
      <c r="A2608" s="5">
        <v>2547</v>
      </c>
      <c r="B2608" s="138">
        <f>'Acct Summary 7-8'!G13</f>
        <v>441781</v>
      </c>
      <c r="C2608" s="2" t="s">
        <v>573</v>
      </c>
      <c r="D2608" s="2" t="str">
        <f t="shared" si="39"/>
        <v>Error?</v>
      </c>
    </row>
    <row r="2609" spans="1:4" x14ac:dyDescent="0.2">
      <c r="A2609" s="5">
        <v>2548</v>
      </c>
      <c r="B2609" s="138">
        <f>'Acct Summary 7-8'!G14</f>
        <v>339</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766959</v>
      </c>
      <c r="C2612" s="2" t="s">
        <v>573</v>
      </c>
      <c r="D2612" s="2" t="str">
        <f t="shared" si="39"/>
        <v>Error?</v>
      </c>
    </row>
    <row r="2613" spans="1:4" x14ac:dyDescent="0.2">
      <c r="A2613" s="5">
        <v>2552</v>
      </c>
      <c r="B2613" s="138">
        <f>'Acct Summary 7-8'!G20</f>
        <v>-31086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2857205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2857205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3044550</v>
      </c>
      <c r="C2634" s="2" t="s">
        <v>573</v>
      </c>
      <c r="D2634" s="2" t="str">
        <f t="shared" si="40"/>
        <v>Error?</v>
      </c>
    </row>
    <row r="2635" spans="1:4" x14ac:dyDescent="0.2">
      <c r="A2635" s="5">
        <v>2574</v>
      </c>
      <c r="B2635" s="138">
        <f>'Acct Summary 7-8'!E17</f>
        <v>3044550</v>
      </c>
      <c r="C2635" s="2" t="s">
        <v>573</v>
      </c>
      <c r="D2635" s="2" t="str">
        <f t="shared" si="40"/>
        <v>Error?</v>
      </c>
    </row>
    <row r="2636" spans="1:4" x14ac:dyDescent="0.2">
      <c r="A2636" s="5">
        <v>2575</v>
      </c>
      <c r="B2636" s="138">
        <f>'Acct Summary 7-8'!E20</f>
        <v>-187345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306054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306054</v>
      </c>
      <c r="C2658" s="2" t="s">
        <v>573</v>
      </c>
      <c r="D2658" s="2" t="str">
        <f t="shared" si="40"/>
        <v>Error?</v>
      </c>
    </row>
    <row r="2659" spans="1:4" x14ac:dyDescent="0.2">
      <c r="A2659" s="5">
        <v>2598</v>
      </c>
      <c r="B2659" s="138">
        <f>'Acct Summary 7-8'!H13</f>
        <v>3549754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3549754</v>
      </c>
      <c r="C2661" s="2" t="s">
        <v>573</v>
      </c>
      <c r="D2661" s="2" t="str">
        <f t="shared" si="40"/>
        <v>Error?</v>
      </c>
    </row>
    <row r="2662" spans="1:4" x14ac:dyDescent="0.2">
      <c r="A2662" s="5">
        <v>2601</v>
      </c>
      <c r="B2662" s="138">
        <f>'Acct Summary 7-8'!H20</f>
        <v>-3243700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394682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1320614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1021527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1320614</v>
      </c>
      <c r="D2912" s="2" t="str">
        <f t="shared" si="44"/>
        <v>Error?</v>
      </c>
    </row>
    <row r="2913" spans="1:4" x14ac:dyDescent="0.2">
      <c r="A2913" s="5">
        <v>2852</v>
      </c>
      <c r="B2913" s="138">
        <f>'Assets-Liab 5-6'!I41</f>
        <v>1320614</v>
      </c>
      <c r="C2913" s="2" t="s">
        <v>573</v>
      </c>
      <c r="D2913" s="2" t="str">
        <f t="shared" si="44"/>
        <v>Error?</v>
      </c>
    </row>
    <row r="2914" spans="1:4" x14ac:dyDescent="0.2">
      <c r="A2914" s="5">
        <v>2853</v>
      </c>
      <c r="B2914" s="138">
        <f>'Assets-Liab 5-6'!L33</f>
        <v>1021527</v>
      </c>
      <c r="D2914" s="2" t="str">
        <f t="shared" si="44"/>
        <v>Error?</v>
      </c>
    </row>
    <row r="2915" spans="1:4" x14ac:dyDescent="0.2">
      <c r="A2915" s="10">
        <v>2854</v>
      </c>
      <c r="D2915" s="2" t="str">
        <f t="shared" si="44"/>
        <v>OK</v>
      </c>
    </row>
    <row r="2916" spans="1:4" x14ac:dyDescent="0.2">
      <c r="A2916" s="5">
        <v>2855</v>
      </c>
      <c r="B2916" s="138">
        <f>'Assets-Liab 5-6'!L34</f>
        <v>1021527</v>
      </c>
      <c r="C2916" s="2" t="s">
        <v>573</v>
      </c>
      <c r="D2916" s="2" t="str">
        <f t="shared" si="44"/>
        <v>Error?</v>
      </c>
    </row>
    <row r="2917" spans="1:4" x14ac:dyDescent="0.2">
      <c r="A2917" s="5">
        <v>2856</v>
      </c>
      <c r="B2917" s="138">
        <f>'Assets-Liab 5-6'!L41</f>
        <v>1021527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629736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629736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47593</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47593</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26680</v>
      </c>
      <c r="D3055" s="2" t="str">
        <f t="shared" si="46"/>
        <v>Error?</v>
      </c>
    </row>
    <row r="3056" spans="1:4" x14ac:dyDescent="0.2">
      <c r="A3056" s="5">
        <v>2995</v>
      </c>
      <c r="B3056" s="138">
        <f>'Expenditures 15-22'!D10</f>
        <v>1644</v>
      </c>
      <c r="D3056" s="2" t="str">
        <f t="shared" si="46"/>
        <v>Error?</v>
      </c>
    </row>
    <row r="3057" spans="1:4" x14ac:dyDescent="0.2">
      <c r="A3057" s="5">
        <v>2996</v>
      </c>
      <c r="B3057" s="138">
        <f>'Expenditures 15-22'!E10</f>
        <v>72888</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101212</v>
      </c>
      <c r="C3062" s="2" t="s">
        <v>573</v>
      </c>
      <c r="D3062" s="2" t="str">
        <f t="shared" si="46"/>
        <v>Error?</v>
      </c>
    </row>
    <row r="3063" spans="1:4" x14ac:dyDescent="0.2">
      <c r="A3063" s="10">
        <v>3002</v>
      </c>
      <c r="D3063" s="2" t="str">
        <f t="shared" si="46"/>
        <v>OK</v>
      </c>
    </row>
    <row r="3064" spans="1:4" x14ac:dyDescent="0.2">
      <c r="A3064" s="5">
        <v>3003</v>
      </c>
      <c r="B3064" s="138">
        <f>'Expenditures 15-22'!D219</f>
        <v>587</v>
      </c>
      <c r="D3064" s="2" t="str">
        <f t="shared" si="46"/>
        <v>Error?</v>
      </c>
    </row>
    <row r="3065" spans="1:4" x14ac:dyDescent="0.2">
      <c r="A3065" s="5">
        <v>3004</v>
      </c>
      <c r="B3065" s="138">
        <f>'Expenditures 15-22'!K219</f>
        <v>587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477408</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38823</v>
      </c>
      <c r="C3225" s="2" t="s">
        <v>573</v>
      </c>
      <c r="D3225" s="2" t="str">
        <f t="shared" si="49"/>
        <v>Error?</v>
      </c>
    </row>
    <row r="3226" spans="1:4" x14ac:dyDescent="0.2">
      <c r="A3226" s="5">
        <v>3165</v>
      </c>
      <c r="B3226" s="138">
        <f>'Acct Summary 7-8'!I8</f>
        <v>38823</v>
      </c>
      <c r="C3226" s="2" t="s">
        <v>573</v>
      </c>
      <c r="D3226" s="2" t="str">
        <f t="shared" si="49"/>
        <v>Error?</v>
      </c>
    </row>
    <row r="3227" spans="1:4" x14ac:dyDescent="0.2">
      <c r="A3227" s="5">
        <v>3166</v>
      </c>
      <c r="B3227" s="138">
        <f>'Acct Summary 7-8'!I20</f>
        <v>38823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-1042587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12545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477408</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477408</v>
      </c>
      <c r="C3255" s="2" t="s">
        <v>573</v>
      </c>
      <c r="D3255" s="2" t="str">
        <f t="shared" si="49"/>
        <v>Error?</v>
      </c>
    </row>
    <row r="3256" spans="1:4" x14ac:dyDescent="0.2">
      <c r="A3256" s="5">
        <v>3195</v>
      </c>
      <c r="B3256" s="138">
        <f>'Acct Summary 7-8'!F78</f>
        <v>33782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-31086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-187345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2000000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2000000</v>
      </c>
      <c r="C3299" s="2" t="s">
        <v>573</v>
      </c>
      <c r="D3299" s="2" t="str">
        <f t="shared" si="50"/>
        <v>Error?</v>
      </c>
    </row>
    <row r="3300" spans="1:4" x14ac:dyDescent="0.2">
      <c r="A3300" s="5">
        <v>3239</v>
      </c>
      <c r="B3300" s="138">
        <f>'Acct Summary 7-8'!H78</f>
        <v>-1243700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2000000</v>
      </c>
      <c r="C3318" s="2" t="s">
        <v>573</v>
      </c>
      <c r="D3318" s="2" t="str">
        <f t="shared" si="50"/>
        <v>Error?</v>
      </c>
    </row>
    <row r="3319" spans="1:4" x14ac:dyDescent="0.2">
      <c r="A3319" s="5">
        <v>3258</v>
      </c>
      <c r="B3319" s="138">
        <f>'Acct Summary 7-8'!I77</f>
        <v>-2000000</v>
      </c>
      <c r="C3319" s="2" t="s">
        <v>573</v>
      </c>
      <c r="D3319" s="2" t="str">
        <f t="shared" si="50"/>
        <v>Error?</v>
      </c>
    </row>
    <row r="3320" spans="1:4" x14ac:dyDescent="0.2">
      <c r="A3320" s="5">
        <v>3259</v>
      </c>
      <c r="B3320" s="138">
        <f>'Acct Summary 7-8'!I78</f>
        <v>-1961177</v>
      </c>
      <c r="C3320" s="2" t="s">
        <v>573</v>
      </c>
      <c r="D3320" s="2" t="str">
        <f t="shared" si="50"/>
        <v>Error?</v>
      </c>
    </row>
    <row r="3321" spans="1:4" x14ac:dyDescent="0.2">
      <c r="A3321" s="5">
        <v>3260</v>
      </c>
      <c r="B3321" s="138">
        <f>'Acct Summary 7-8'!I79</f>
        <v>3281791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1320614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1780472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742500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546474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47475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2731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3119652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115527</v>
      </c>
      <c r="D3387" s="2" t="str">
        <f t="shared" si="51"/>
        <v>Error?</v>
      </c>
    </row>
    <row r="3388" spans="1:4" x14ac:dyDescent="0.2">
      <c r="A3388" s="5">
        <v>3327</v>
      </c>
      <c r="B3388" s="138">
        <f>'Expenditures 15-22'!D217</f>
        <v>128936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115527</v>
      </c>
      <c r="C3390" s="2" t="s">
        <v>573</v>
      </c>
      <c r="D3390" s="2" t="str">
        <f t="shared" si="51"/>
        <v>Error?</v>
      </c>
    </row>
    <row r="3391" spans="1:4" x14ac:dyDescent="0.2">
      <c r="A3391" s="5">
        <v>3330</v>
      </c>
      <c r="B3391" s="138">
        <f>'Expenditures 15-22'!K217</f>
        <v>128936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20879604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2936702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2170283</v>
      </c>
      <c r="D3417" s="2" t="str">
        <f t="shared" si="52"/>
        <v>Error?</v>
      </c>
    </row>
    <row r="3418" spans="1:4" x14ac:dyDescent="0.2">
      <c r="A3418" s="10">
        <v>3357</v>
      </c>
      <c r="D3418" s="2" t="str">
        <f t="shared" si="52"/>
        <v>OK</v>
      </c>
    </row>
    <row r="3419" spans="1:4" x14ac:dyDescent="0.2">
      <c r="A3419" s="5">
        <v>3358</v>
      </c>
      <c r="B3419" s="138">
        <f>'Assets-Liab 5-6'!F4</f>
        <v>1899617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226217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779932</v>
      </c>
      <c r="D3425" s="2" t="str">
        <f t="shared" si="52"/>
        <v>Error?</v>
      </c>
    </row>
    <row r="3426" spans="1:4" x14ac:dyDescent="0.2">
      <c r="A3426" s="10">
        <v>3365</v>
      </c>
      <c r="D3426" s="2" t="str">
        <f t="shared" si="52"/>
        <v>OK</v>
      </c>
    </row>
    <row r="3427" spans="1:4" x14ac:dyDescent="0.2">
      <c r="A3427" s="5">
        <v>3366</v>
      </c>
      <c r="B3427" s="138">
        <f>'Assets-Liab 5-6'!I4</f>
        <v>1320614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1021527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226010</v>
      </c>
      <c r="C3446" s="2" t="s">
        <v>573</v>
      </c>
      <c r="D3446" s="2" t="str">
        <f t="shared" si="52"/>
        <v>Error?</v>
      </c>
    </row>
    <row r="3447" spans="1:4" x14ac:dyDescent="0.2">
      <c r="A3447" s="5">
        <v>3386</v>
      </c>
      <c r="B3447" s="138">
        <f>'Tax Sched 23'!D16</f>
        <v>-41227</v>
      </c>
      <c r="C3447" s="2" t="s">
        <v>573</v>
      </c>
      <c r="D3447" s="2" t="str">
        <f t="shared" si="52"/>
        <v>Error?</v>
      </c>
    </row>
    <row r="3448" spans="1:4" x14ac:dyDescent="0.2">
      <c r="A3448" s="5">
        <v>3387</v>
      </c>
      <c r="B3448" s="138">
        <f>'Tax Sched 23'!C16</f>
        <v>267237</v>
      </c>
      <c r="D3448" s="2" t="str">
        <f t="shared" si="52"/>
        <v>Error?</v>
      </c>
    </row>
    <row r="3449" spans="1:4" x14ac:dyDescent="0.2">
      <c r="A3449" s="5">
        <v>3388</v>
      </c>
      <c r="B3449" s="138">
        <f>'Tax Sched 23'!F16</f>
        <v>277415</v>
      </c>
      <c r="C3449" s="2" t="s">
        <v>573</v>
      </c>
      <c r="D3449" s="2" t="str">
        <f t="shared" si="52"/>
        <v>Error?</v>
      </c>
    </row>
    <row r="3450" spans="1:4" x14ac:dyDescent="0.2">
      <c r="A3450" s="5">
        <v>3389</v>
      </c>
      <c r="B3450" s="138">
        <f>'Tax Sched 23'!E16</f>
        <v>544652</v>
      </c>
      <c r="D3450" s="2" t="str">
        <f t="shared" si="52"/>
        <v>Error?</v>
      </c>
    </row>
    <row r="3451" spans="1:4" x14ac:dyDescent="0.2">
      <c r="A3451" s="5">
        <v>3390</v>
      </c>
      <c r="B3451" s="138">
        <f>'Cap Outlay Deprec 26'!C15</f>
        <v>931579</v>
      </c>
      <c r="D3451" s="2" t="str">
        <f t="shared" si="52"/>
        <v>Error?</v>
      </c>
    </row>
    <row r="3452" spans="1:4" x14ac:dyDescent="0.2">
      <c r="A3452" s="5">
        <v>3391</v>
      </c>
      <c r="B3452" s="138">
        <f>'Cap Outlay Deprec 26'!D15</f>
        <v>394682</v>
      </c>
      <c r="D3452" s="2" t="str">
        <f t="shared" si="52"/>
        <v>Error?</v>
      </c>
    </row>
    <row r="3453" spans="1:4" x14ac:dyDescent="0.2">
      <c r="A3453" s="5">
        <v>3392</v>
      </c>
      <c r="B3453" s="138">
        <f>'Cap Outlay Deprec 26'!E15</f>
        <v>931579</v>
      </c>
      <c r="D3453" s="2" t="str">
        <f t="shared" si="52"/>
        <v>Error?</v>
      </c>
    </row>
    <row r="3454" spans="1:4" x14ac:dyDescent="0.2">
      <c r="A3454" s="5">
        <v>3393</v>
      </c>
      <c r="B3454" s="138">
        <f>'Cap Outlay Deprec 26'!F15</f>
        <v>394682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394682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18013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18013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18013</v>
      </c>
      <c r="D3567" s="2" t="str">
        <f t="shared" si="54"/>
        <v>Error?</v>
      </c>
    </row>
    <row r="3568" spans="1:4" x14ac:dyDescent="0.2">
      <c r="A3568" s="5">
        <v>3507</v>
      </c>
      <c r="B3568" s="138">
        <f>'Assets-Liab 5-6'!K41</f>
        <v>18013</v>
      </c>
      <c r="C3568" s="2" t="s">
        <v>573</v>
      </c>
      <c r="D3568" s="2" t="str">
        <f t="shared" si="54"/>
        <v>Error?</v>
      </c>
    </row>
    <row r="3569" spans="1:4" x14ac:dyDescent="0.2">
      <c r="A3569" s="5">
        <v>3508</v>
      </c>
      <c r="B3569" s="138">
        <f>'Acct Summary 7-8'!K4</f>
        <v>394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394</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394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394</v>
      </c>
      <c r="C3588" s="2" t="s">
        <v>573</v>
      </c>
      <c r="D3588" s="2" t="str">
        <f t="shared" si="55"/>
        <v>Error?</v>
      </c>
    </row>
    <row r="3589" spans="1:4" x14ac:dyDescent="0.2">
      <c r="A3589" s="5">
        <v>3528</v>
      </c>
      <c r="B3589" s="138">
        <f>'Acct Summary 7-8'!K79</f>
        <v>17619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18013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394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61065</v>
      </c>
      <c r="D3721" s="2" t="str">
        <f t="shared" si="57"/>
        <v>Error?</v>
      </c>
    </row>
    <row r="3722" spans="1:4" x14ac:dyDescent="0.2">
      <c r="A3722" s="5">
        <v>3661</v>
      </c>
      <c r="B3722" s="138">
        <f>'Expenditures 15-22'!D285</f>
        <v>61065</v>
      </c>
      <c r="C3722" s="2" t="s">
        <v>573</v>
      </c>
      <c r="D3722" s="2" t="str">
        <f t="shared" si="57"/>
        <v>Error?</v>
      </c>
    </row>
    <row r="3723" spans="1:4" x14ac:dyDescent="0.2">
      <c r="A3723" s="5">
        <v>3662</v>
      </c>
      <c r="B3723" s="138">
        <f>'Expenditures 15-22'!K283</f>
        <v>61065</v>
      </c>
      <c r="C3723" s="2" t="s">
        <v>573</v>
      </c>
      <c r="D3723" s="2" t="str">
        <f t="shared" si="57"/>
        <v>Error?</v>
      </c>
    </row>
    <row r="3724" spans="1:4" x14ac:dyDescent="0.2">
      <c r="A3724" s="5">
        <v>3663</v>
      </c>
      <c r="B3724" s="138">
        <f>'Expenditures 15-22'!K285</f>
        <v>61065</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52176</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25995</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26181</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27178</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53359</v>
      </c>
      <c r="D4111" s="2" t="str">
        <f t="shared" si="63"/>
        <v>Error?</v>
      </c>
    </row>
    <row r="4112" spans="1:4" x14ac:dyDescent="0.2">
      <c r="A4112" s="10">
        <v>4051</v>
      </c>
      <c r="D4112" s="2" t="str">
        <f t="shared" si="63"/>
        <v>OK</v>
      </c>
    </row>
    <row r="4113" spans="1:4" x14ac:dyDescent="0.2">
      <c r="A4113" s="5">
        <v>4052</v>
      </c>
      <c r="B4113" s="138">
        <f>'Acct Summary 7-8'!C9</f>
        <v>9051993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31105448</v>
      </c>
      <c r="C4122" s="2" t="s">
        <v>573</v>
      </c>
      <c r="D4122" s="2" t="str">
        <f t="shared" si="63"/>
        <v>Error?</v>
      </c>
    </row>
    <row r="4123" spans="1:4" x14ac:dyDescent="0.2">
      <c r="A4123" s="5">
        <v>4062</v>
      </c>
      <c r="B4123" s="138">
        <f>'Acct Summary 7-8'!D10</f>
        <v>2460738</v>
      </c>
      <c r="C4123" s="2" t="s">
        <v>573</v>
      </c>
      <c r="D4123" s="2" t="str">
        <f t="shared" si="63"/>
        <v>Error?</v>
      </c>
    </row>
    <row r="4124" spans="1:4" x14ac:dyDescent="0.2">
      <c r="A4124" s="5">
        <v>4063</v>
      </c>
      <c r="B4124" s="138">
        <f>'Acct Summary 7-8'!E10</f>
        <v>2857205</v>
      </c>
      <c r="C4124" s="2" t="s">
        <v>573</v>
      </c>
      <c r="D4124" s="2" t="str">
        <f t="shared" si="63"/>
        <v>Error?</v>
      </c>
    </row>
    <row r="4125" spans="1:4" x14ac:dyDescent="0.2">
      <c r="A4125" s="5">
        <v>4064</v>
      </c>
      <c r="B4125" s="138">
        <f>'Acct Summary 7-8'!F10</f>
        <v>2374111</v>
      </c>
      <c r="C4125" s="2" t="s">
        <v>573</v>
      </c>
      <c r="D4125" s="2" t="str">
        <f t="shared" si="63"/>
        <v>Error?</v>
      </c>
    </row>
    <row r="4126" spans="1:4" x14ac:dyDescent="0.2">
      <c r="A4126" s="5">
        <v>4065</v>
      </c>
      <c r="B4126" s="138">
        <f>'Acct Summary 7-8'!G10</f>
        <v>735873</v>
      </c>
      <c r="C4126" s="2" t="s">
        <v>573</v>
      </c>
      <c r="D4126" s="2" t="str">
        <f t="shared" si="63"/>
        <v>Error?</v>
      </c>
    </row>
    <row r="4127" spans="1:4" x14ac:dyDescent="0.2">
      <c r="A4127" s="5">
        <v>4066</v>
      </c>
      <c r="B4127" s="138">
        <f>'Acct Summary 7-8'!H10</f>
        <v>306054</v>
      </c>
      <c r="C4127" s="2" t="s">
        <v>573</v>
      </c>
      <c r="D4127" s="2" t="str">
        <f t="shared" si="63"/>
        <v>Error?</v>
      </c>
    </row>
    <row r="4128" spans="1:4" x14ac:dyDescent="0.2">
      <c r="A4128" s="5">
        <v>4067</v>
      </c>
      <c r="B4128" s="138">
        <f>'Acct Summary 7-8'!I10</f>
        <v>38823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394</v>
      </c>
      <c r="C4130" s="2" t="s">
        <v>573</v>
      </c>
      <c r="D4130" s="2" t="str">
        <f t="shared" si="63"/>
        <v>Error?</v>
      </c>
    </row>
    <row r="4131" spans="1:4" x14ac:dyDescent="0.2">
      <c r="A4131" s="5">
        <v>4070</v>
      </c>
      <c r="B4131" s="138">
        <f>'Acct Summary 7-8'!C18</f>
        <v>9051993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32148035</v>
      </c>
      <c r="C4136" s="2" t="s">
        <v>573</v>
      </c>
      <c r="D4136" s="2" t="str">
        <f t="shared" si="63"/>
        <v>Error?</v>
      </c>
    </row>
    <row r="4137" spans="1:4" x14ac:dyDescent="0.2">
      <c r="A4137" s="5">
        <v>4076</v>
      </c>
      <c r="B4137" s="138">
        <f>'Acct Summary 7-8'!D19</f>
        <v>2448193</v>
      </c>
      <c r="C4137" s="2" t="s">
        <v>573</v>
      </c>
      <c r="D4137" s="2" t="str">
        <f t="shared" si="63"/>
        <v>Error?</v>
      </c>
    </row>
    <row r="4138" spans="1:4" x14ac:dyDescent="0.2">
      <c r="A4138" s="5">
        <v>4077</v>
      </c>
      <c r="B4138" s="138">
        <f>'Acct Summary 7-8'!E19</f>
        <v>3044550</v>
      </c>
      <c r="C4138" s="2" t="s">
        <v>573</v>
      </c>
      <c r="D4138" s="2" t="str">
        <f t="shared" si="63"/>
        <v>Error?</v>
      </c>
    </row>
    <row r="4139" spans="1:4" x14ac:dyDescent="0.2">
      <c r="A4139" s="5">
        <v>4078</v>
      </c>
      <c r="B4139" s="138">
        <f>'Acct Summary 7-8'!F19</f>
        <v>2817737</v>
      </c>
      <c r="C4139" s="2" t="s">
        <v>573</v>
      </c>
      <c r="D4139" s="2" t="str">
        <f t="shared" si="63"/>
        <v>Error?</v>
      </c>
    </row>
    <row r="4140" spans="1:4" x14ac:dyDescent="0.2">
      <c r="A4140" s="5">
        <v>4079</v>
      </c>
      <c r="B4140" s="138">
        <f>'Acct Summary 7-8'!G19</f>
        <v>766959</v>
      </c>
      <c r="C4140" s="2" t="s">
        <v>573</v>
      </c>
      <c r="D4140" s="2" t="str">
        <f t="shared" si="63"/>
        <v>Error?</v>
      </c>
    </row>
    <row r="4141" spans="1:4" x14ac:dyDescent="0.2">
      <c r="A4141" s="5">
        <v>4080</v>
      </c>
      <c r="B4141" s="138">
        <f>'Acct Summary 7-8'!H19</f>
        <v>3549754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14431409</v>
      </c>
      <c r="C4171" s="2" t="s">
        <v>573</v>
      </c>
      <c r="D4171" s="2" t="str">
        <f t="shared" si="64"/>
        <v>Error?</v>
      </c>
    </row>
    <row r="4172" spans="1:4" x14ac:dyDescent="0.2">
      <c r="A4172" s="5">
        <v>4111</v>
      </c>
      <c r="B4172" s="138">
        <f>'Short-Term Long-Term Debt 24'!J49</f>
        <v>12126080</v>
      </c>
      <c r="C4172" s="2" t="s">
        <v>573</v>
      </c>
      <c r="D4172" s="2" t="str">
        <f t="shared" si="64"/>
        <v>Error?</v>
      </c>
    </row>
    <row r="4173" spans="1:4" x14ac:dyDescent="0.2">
      <c r="A4173" s="5">
        <v>4112</v>
      </c>
      <c r="B4173" s="138">
        <f>'Short-Term Long-Term Debt 24'!H49</f>
        <v>2515000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-224189</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224189</v>
      </c>
      <c r="D4210" s="2" t="str">
        <f t="shared" si="64"/>
        <v>Error?</v>
      </c>
    </row>
    <row r="4211" spans="1:4" x14ac:dyDescent="0.2">
      <c r="A4211" s="5">
        <v>4150</v>
      </c>
      <c r="B4211" s="138">
        <f>'Expenditures 15-22'!K206</f>
        <v>224189</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2310.39</v>
      </c>
      <c r="C4265" s="2" t="s">
        <v>573</v>
      </c>
      <c r="D4265" s="2" t="str">
        <f t="shared" si="65"/>
        <v>Error?</v>
      </c>
      <c r="E4265" s="128"/>
    </row>
    <row r="4266" spans="1:5" x14ac:dyDescent="0.2">
      <c r="A4266" s="12">
        <v>4205</v>
      </c>
      <c r="B4266" s="138">
        <f>('FP Info 3'!F10)*100000</f>
        <v>285.54199999999997</v>
      </c>
      <c r="C4266" s="2" t="s">
        <v>573</v>
      </c>
      <c r="D4266" s="2" t="str">
        <f t="shared" si="65"/>
        <v>Error?</v>
      </c>
      <c r="E4266" s="128"/>
    </row>
    <row r="4267" spans="1:5" x14ac:dyDescent="0.2">
      <c r="A4267" s="12">
        <v>4206</v>
      </c>
      <c r="B4267" s="138">
        <f>('FP Info 3'!H10)*100000</f>
        <v>140.345</v>
      </c>
      <c r="C4267" s="2" t="s">
        <v>573</v>
      </c>
      <c r="D4267" s="2" t="str">
        <f t="shared" si="65"/>
        <v>Error?</v>
      </c>
      <c r="E4267" s="128"/>
    </row>
    <row r="4268" spans="1:5" x14ac:dyDescent="0.2">
      <c r="A4268" s="12">
        <v>4207</v>
      </c>
      <c r="B4268" s="138">
        <f>('FP Info 3'!J10)*100000</f>
        <v>2736</v>
      </c>
      <c r="C4268" s="2" t="s">
        <v>573</v>
      </c>
      <c r="D4268" s="2" t="str">
        <f t="shared" si="65"/>
        <v>Error?</v>
      </c>
    </row>
    <row r="4269" spans="1:5" x14ac:dyDescent="0.2">
      <c r="A4269" s="12">
        <v>4208</v>
      </c>
      <c r="B4269" s="138">
        <f>'FP Info 3'!J16</f>
        <v>28504488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105309</v>
      </c>
      <c r="D4300" s="2" t="str">
        <f t="shared" si="66"/>
        <v>Error?</v>
      </c>
    </row>
    <row r="4301" spans="1:4" x14ac:dyDescent="0.2">
      <c r="A4301" s="5">
        <v>4240</v>
      </c>
      <c r="B4301" s="138">
        <f>'Rest Tax Levies-Tort Im 25'!G37</f>
        <v>19891</v>
      </c>
      <c r="D4301" s="2" t="str">
        <f t="shared" si="66"/>
        <v>Error?</v>
      </c>
    </row>
    <row r="4302" spans="1:4" x14ac:dyDescent="0.2">
      <c r="A4302" s="5">
        <v>4241</v>
      </c>
      <c r="B4302" s="138">
        <f>'Rest Tax Levies-Tort Im 25'!G38</f>
        <v>95250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15855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41920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19106</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34371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1575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877762740</v>
      </c>
      <c r="D4995" s="2" t="str">
        <f t="shared" si="77"/>
        <v>Error?</v>
      </c>
    </row>
    <row r="4996" spans="1:4" x14ac:dyDescent="0.2">
      <c r="A4996" s="12">
        <v>4935</v>
      </c>
      <c r="B4996" s="138">
        <f>'FP Info 3'!H31</f>
        <v>60565629.060000002</v>
      </c>
      <c r="D4996" s="2" t="str">
        <f t="shared" si="77"/>
        <v>Error?</v>
      </c>
    </row>
    <row r="4997" spans="1:4" x14ac:dyDescent="0.2">
      <c r="A4997" s="12">
        <v>4936</v>
      </c>
      <c r="B4997" s="138">
        <f>'FP Info 3'!H37</f>
        <v>14431409</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18522093</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18522093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91459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91459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477010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15074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492084</v>
      </c>
      <c r="C5087" s="2" t="s">
        <v>573</v>
      </c>
      <c r="D5087" s="2" t="str">
        <f t="shared" si="78"/>
        <v>Error?</v>
      </c>
    </row>
    <row r="5088" spans="1:4" x14ac:dyDescent="0.2">
      <c r="A5088" s="5">
        <v>5027</v>
      </c>
      <c r="B5088" s="138">
        <f>'Revenues 9-14'!C65</f>
        <v>472418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472418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8242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28253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36495</v>
      </c>
      <c r="C5102" s="2" t="s">
        <v>573</v>
      </c>
      <c r="D5102" s="2" t="str">
        <f t="shared" si="78"/>
        <v>Error?</v>
      </c>
    </row>
    <row r="5103" spans="1:4" x14ac:dyDescent="0.2">
      <c r="A5103" s="5">
        <v>5042</v>
      </c>
      <c r="B5103" s="138">
        <f>'Revenues 9-14'!C84</f>
        <v>453199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453199</v>
      </c>
      <c r="C5112" s="2" t="s">
        <v>573</v>
      </c>
      <c r="D5112" s="2" t="str">
        <f t="shared" si="78"/>
        <v>Error?</v>
      </c>
    </row>
    <row r="5113" spans="1:4" x14ac:dyDescent="0.2">
      <c r="A5113" s="5">
        <v>5052</v>
      </c>
      <c r="B5113" s="138">
        <f>'Revenues 9-14'!C95</f>
        <v>13454</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3605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216645</v>
      </c>
      <c r="D5119" s="2" t="str">
        <f t="shared" ref="D5119:D5182" si="79">IF(ISBLANK(B5119),"OK",IF(A5119-B5119=0,"OK","Error?"))</f>
        <v>Error?</v>
      </c>
    </row>
    <row r="5120" spans="1:4" x14ac:dyDescent="0.2">
      <c r="A5120" s="5">
        <v>5059</v>
      </c>
      <c r="B5120" s="138">
        <f>'Revenues 9-14'!C108</f>
        <v>233704</v>
      </c>
      <c r="C5120" s="2" t="s">
        <v>573</v>
      </c>
      <c r="D5120" s="2" t="str">
        <f t="shared" si="79"/>
        <v>Error?</v>
      </c>
    </row>
    <row r="5121" spans="1:4" x14ac:dyDescent="0.2">
      <c r="A5121" s="5">
        <v>5060</v>
      </c>
      <c r="B5121" s="138">
        <f>'Revenues 9-14'!C109</f>
        <v>20301452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1035389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1035389</v>
      </c>
      <c r="C5132" s="2" t="s">
        <v>573</v>
      </c>
      <c r="D5132" s="2" t="str">
        <f t="shared" si="79"/>
        <v>Error?</v>
      </c>
    </row>
    <row r="5133" spans="1:4" x14ac:dyDescent="0.2">
      <c r="A5133" s="5">
        <v>5072</v>
      </c>
      <c r="B5133" s="138">
        <f>'Revenues 9-14'!C125</f>
        <v>188270</v>
      </c>
      <c r="D5133" s="2" t="str">
        <f t="shared" si="79"/>
        <v>Error?</v>
      </c>
    </row>
    <row r="5134" spans="1:4" x14ac:dyDescent="0.2">
      <c r="A5134" s="5">
        <v>5073</v>
      </c>
      <c r="B5134" s="138">
        <f>'Revenues 9-14'!C126</f>
        <v>-33585</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14835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169520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171095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1206484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13329</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13329</v>
      </c>
      <c r="C5246" s="2" t="s">
        <v>573</v>
      </c>
      <c r="D5246" s="2" t="str">
        <f t="shared" si="80"/>
        <v>Error?</v>
      </c>
    </row>
    <row r="5247" spans="1:4" x14ac:dyDescent="0.2">
      <c r="A5247" s="5">
        <v>5186</v>
      </c>
      <c r="B5247" s="138">
        <f>'Revenues 9-14'!C200</f>
        <v>155807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155807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23873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241245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265118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545519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545519</v>
      </c>
      <c r="C5326" s="2" t="s">
        <v>573</v>
      </c>
      <c r="D5326" s="2" t="str">
        <f t="shared" si="82"/>
        <v>Error?</v>
      </c>
    </row>
    <row r="5327" spans="1:5" x14ac:dyDescent="0.2">
      <c r="A5327" s="5">
        <v>5266</v>
      </c>
      <c r="B5327" s="138">
        <f>'Revenues 9-14'!C268</f>
        <v>22053455</v>
      </c>
      <c r="C5327" s="2" t="s">
        <v>573</v>
      </c>
      <c r="D5327" s="2" t="str">
        <f t="shared" si="82"/>
        <v>Error?</v>
      </c>
    </row>
    <row r="5328" spans="1:5" x14ac:dyDescent="0.2">
      <c r="A5328" s="5">
        <v>5267</v>
      </c>
      <c r="B5328" s="138">
        <f>'Revenues 9-14'!D5</f>
        <v>2289141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2289141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58201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58201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28490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84906</v>
      </c>
      <c r="D5354" s="2" t="str">
        <f t="shared" si="82"/>
        <v>Error?</v>
      </c>
    </row>
    <row r="5355" spans="1:4" x14ac:dyDescent="0.2">
      <c r="A5355" s="5">
        <v>5294</v>
      </c>
      <c r="B5355" s="138">
        <f>'Revenues 9-14'!D108</f>
        <v>113396</v>
      </c>
      <c r="C5355" s="2" t="s">
        <v>573</v>
      </c>
      <c r="D5355" s="2" t="str">
        <f t="shared" si="82"/>
        <v>Error?</v>
      </c>
    </row>
    <row r="5356" spans="1:4" x14ac:dyDescent="0.2">
      <c r="A5356" s="5">
        <v>5295</v>
      </c>
      <c r="B5356" s="138">
        <f>'Revenues 9-14'!D109</f>
        <v>2460738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2460738</v>
      </c>
      <c r="C5508" s="2" t="s">
        <v>573</v>
      </c>
      <c r="D5508" s="2" t="str">
        <f t="shared" si="85"/>
        <v>Error?</v>
      </c>
    </row>
    <row r="5509" spans="1:4" x14ac:dyDescent="0.2">
      <c r="A5509" s="5">
        <v>5448</v>
      </c>
      <c r="B5509" s="138">
        <f>'Revenues 9-14'!E5</f>
        <v>2832914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2832914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24291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24291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2857205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2857205</v>
      </c>
      <c r="C5552" s="2" t="s">
        <v>573</v>
      </c>
      <c r="D5552" s="2" t="str">
        <f t="shared" si="85"/>
        <v>Error?</v>
      </c>
    </row>
    <row r="5553" spans="1:4" x14ac:dyDescent="0.2">
      <c r="A5553" s="5">
        <v>5492</v>
      </c>
      <c r="B5553" s="138">
        <f>'Revenues 9-14'!F5</f>
        <v>1124972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1124972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6208</v>
      </c>
      <c r="D5563" s="2" t="str">
        <f t="shared" si="85"/>
        <v>Error?</v>
      </c>
    </row>
    <row r="5564" spans="1:4" x14ac:dyDescent="0.2">
      <c r="A5564" s="5">
        <v>5503</v>
      </c>
      <c r="B5564" s="138">
        <f>'Revenues 9-14'!F43</f>
        <v>404</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6612</v>
      </c>
      <c r="C5579" s="2" t="s">
        <v>573</v>
      </c>
      <c r="D5579" s="2" t="str">
        <f t="shared" si="86"/>
        <v>Error?</v>
      </c>
    </row>
    <row r="5580" spans="1:4" x14ac:dyDescent="0.2">
      <c r="A5580" s="5">
        <v>5519</v>
      </c>
      <c r="B5580" s="138">
        <f>'Revenues 9-14'!F65</f>
        <v>34630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34630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194976</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28405</v>
      </c>
      <c r="D5586" s="2" t="str">
        <f t="shared" si="86"/>
        <v>Error?</v>
      </c>
    </row>
    <row r="5587" spans="1:4" x14ac:dyDescent="0.2">
      <c r="A5587" s="5">
        <v>5526</v>
      </c>
      <c r="B5587" s="138">
        <f>'Revenues 9-14'!F108</f>
        <v>223381</v>
      </c>
      <c r="C5587" s="2" t="s">
        <v>573</v>
      </c>
      <c r="D5587" s="2" t="str">
        <f t="shared" si="86"/>
        <v>Error?</v>
      </c>
    </row>
    <row r="5588" spans="1:4" x14ac:dyDescent="0.2">
      <c r="A5588" s="5">
        <v>5527</v>
      </c>
      <c r="B5588" s="138">
        <f>'Revenues 9-14'!F109</f>
        <v>1389595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492505</v>
      </c>
      <c r="D5615" s="2" t="str">
        <f t="shared" si="86"/>
        <v>Error?</v>
      </c>
    </row>
    <row r="5616" spans="1:4" x14ac:dyDescent="0.2">
      <c r="A5616" s="10">
        <v>5555</v>
      </c>
      <c r="D5616" s="2" t="str">
        <f t="shared" si="86"/>
        <v>OK</v>
      </c>
    </row>
    <row r="5617" spans="1:5" x14ac:dyDescent="0.2">
      <c r="A5617" s="5">
        <v>5556</v>
      </c>
      <c r="B5617" s="138">
        <f>'Revenues 9-14'!F153</f>
        <v>492011</v>
      </c>
      <c r="D5617" s="2" t="str">
        <f t="shared" si="86"/>
        <v>Error?</v>
      </c>
    </row>
    <row r="5618" spans="1:5" x14ac:dyDescent="0.2">
      <c r="A5618" s="5">
        <v>5557</v>
      </c>
      <c r="B5618" s="138">
        <f>'Revenues 9-14'!F155</f>
        <v>984516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984516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984516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2374111</v>
      </c>
      <c r="C5720" s="2" t="s">
        <v>573</v>
      </c>
      <c r="D5720" s="2" t="str">
        <f t="shared" si="88"/>
        <v>Error?</v>
      </c>
    </row>
    <row r="5721" spans="1:4" x14ac:dyDescent="0.2">
      <c r="A5721" s="5">
        <v>5660</v>
      </c>
      <c r="B5721" s="138">
        <f>'Revenues 9-14'!G5</f>
        <v>444893</v>
      </c>
      <c r="D5721" s="2" t="str">
        <f t="shared" si="88"/>
        <v>Error?</v>
      </c>
    </row>
    <row r="5722" spans="1:4" x14ac:dyDescent="0.2">
      <c r="A5722" s="5">
        <v>5661</v>
      </c>
      <c r="B5722" s="138">
        <f>'Revenues 9-14'!G7</f>
        <v>0</v>
      </c>
      <c r="D5722" s="2" t="str">
        <f t="shared" si="88"/>
        <v>Error?</v>
      </c>
    </row>
    <row r="5723" spans="1:4" x14ac:dyDescent="0.2">
      <c r="A5723" s="5">
        <v>5662</v>
      </c>
      <c r="B5723" s="138">
        <f>'Revenues 9-14'!G8</f>
        <v>226010</v>
      </c>
      <c r="D5723" s="2" t="str">
        <f t="shared" si="88"/>
        <v>Error?</v>
      </c>
    </row>
    <row r="5724" spans="1:4" x14ac:dyDescent="0.2">
      <c r="A5724" s="5">
        <v>5663</v>
      </c>
      <c r="B5724" s="138">
        <f>'Revenues 9-14'!G11</f>
        <v>52176</v>
      </c>
      <c r="D5724" s="2" t="str">
        <f t="shared" si="88"/>
        <v>Error?</v>
      </c>
    </row>
    <row r="5725" spans="1:4" x14ac:dyDescent="0.2">
      <c r="A5725" s="5">
        <v>5664</v>
      </c>
      <c r="B5725" s="138">
        <f>'Revenues 9-14'!G12</f>
        <v>723079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6500</v>
      </c>
      <c r="C5730" s="2" t="s">
        <v>573</v>
      </c>
      <c r="D5730" s="2" t="str">
        <f t="shared" si="88"/>
        <v>Error?</v>
      </c>
    </row>
    <row r="5731" spans="1:4" x14ac:dyDescent="0.2">
      <c r="A5731" s="5">
        <v>5670</v>
      </c>
      <c r="B5731" s="138">
        <f>'Revenues 9-14'!G65</f>
        <v>6294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6294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735873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25850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25850</v>
      </c>
      <c r="C5881" s="2" t="s">
        <v>573</v>
      </c>
      <c r="D5881" s="2" t="str">
        <f t="shared" si="90"/>
        <v>Error?</v>
      </c>
    </row>
    <row r="5882" spans="1:4" x14ac:dyDescent="0.2">
      <c r="A5882" s="5">
        <v>5821</v>
      </c>
      <c r="B5882" s="138">
        <f>'Revenues 9-14'!H96</f>
        <v>280204</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280204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306054</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38823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38823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38823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394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394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394</v>
      </c>
      <c r="C6023" s="2" t="s">
        <v>573</v>
      </c>
      <c r="D6023" s="2" t="str">
        <f t="shared" si="93"/>
        <v>Error?</v>
      </c>
    </row>
    <row r="6024" spans="1:5" x14ac:dyDescent="0.2">
      <c r="A6024" s="5">
        <v>5963</v>
      </c>
      <c r="B6024" s="138">
        <f>'Revenues 9-14'!G109</f>
        <v>735873</v>
      </c>
      <c r="C6024" s="2" t="s">
        <v>573</v>
      </c>
      <c r="D6024" s="2" t="str">
        <f t="shared" si="93"/>
        <v>Error?</v>
      </c>
    </row>
    <row r="6025" spans="1:5" x14ac:dyDescent="0.2">
      <c r="A6025" s="5">
        <v>5964</v>
      </c>
      <c r="B6025" s="138">
        <f>'Revenues 9-14'!H109</f>
        <v>306054</v>
      </c>
      <c r="C6025" s="2" t="s">
        <v>573</v>
      </c>
      <c r="D6025" s="2" t="str">
        <f t="shared" si="93"/>
        <v>Error?</v>
      </c>
    </row>
    <row r="6026" spans="1:5" x14ac:dyDescent="0.2">
      <c r="A6026" s="5">
        <v>5965</v>
      </c>
      <c r="B6026" s="138">
        <f>'Revenues 9-14'!I109</f>
        <v>38823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394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61065</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2124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233751</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352916</v>
      </c>
      <c r="D6093" s="2" t="str">
        <f t="shared" si="94"/>
        <v>Error?</v>
      </c>
      <c r="E6093" s="2" t="s">
        <v>190</v>
      </c>
    </row>
    <row r="6094" spans="1:5" x14ac:dyDescent="0.2">
      <c r="A6094">
        <v>6033</v>
      </c>
      <c r="B6094" s="138">
        <f>'Assets-Liab 5-6'!G8</f>
        <v>6500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141282</v>
      </c>
      <c r="D6142" s="2" t="str">
        <f t="shared" si="94"/>
        <v>Error?</v>
      </c>
      <c r="E6142" s="2" t="s">
        <v>190</v>
      </c>
    </row>
    <row r="6143" spans="1:5" x14ac:dyDescent="0.2">
      <c r="A6143">
        <v>6082</v>
      </c>
      <c r="B6143" s="138">
        <f>'Assets-Liab 5-6'!D27</f>
        <v>28959</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4250</v>
      </c>
      <c r="D6145" s="2" t="str">
        <f t="shared" si="95"/>
        <v>Error?</v>
      </c>
      <c r="E6145" s="2" t="s">
        <v>190</v>
      </c>
    </row>
    <row r="6146" spans="1:5" x14ac:dyDescent="0.2">
      <c r="A6146">
        <v>6085</v>
      </c>
      <c r="B6146" s="138">
        <f>'Assets-Liab 5-6'!G27</f>
        <v>-57</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-1042587</v>
      </c>
      <c r="D6267" s="2" t="str">
        <f t="shared" si="96"/>
        <v>Error?</v>
      </c>
      <c r="E6267" s="2" t="s">
        <v>190</v>
      </c>
    </row>
    <row r="6268" spans="1:5" x14ac:dyDescent="0.2">
      <c r="A6268">
        <v>6207</v>
      </c>
      <c r="B6268" s="138">
        <f>'Acct Summary 7-8'!D82</f>
        <v>12545</v>
      </c>
      <c r="D6268" s="2" t="str">
        <f t="shared" si="96"/>
        <v>Error?</v>
      </c>
      <c r="E6268" s="2" t="s">
        <v>190</v>
      </c>
    </row>
    <row r="6269" spans="1:5" x14ac:dyDescent="0.2">
      <c r="A6269">
        <v>6208</v>
      </c>
      <c r="B6269" s="138">
        <f>'Acct Summary 7-8'!E82</f>
        <v>-187345</v>
      </c>
      <c r="D6269" s="2" t="str">
        <f t="shared" si="96"/>
        <v>Error?</v>
      </c>
      <c r="E6269" s="2" t="s">
        <v>190</v>
      </c>
    </row>
    <row r="6270" spans="1:5" x14ac:dyDescent="0.2">
      <c r="A6270">
        <v>6209</v>
      </c>
      <c r="B6270" s="138">
        <f>'Acct Summary 7-8'!F82</f>
        <v>33782</v>
      </c>
      <c r="D6270" s="2" t="str">
        <f t="shared" si="96"/>
        <v>Error?</v>
      </c>
      <c r="E6270" s="2" t="s">
        <v>190</v>
      </c>
    </row>
    <row r="6271" spans="1:5" x14ac:dyDescent="0.2">
      <c r="A6271">
        <v>6210</v>
      </c>
      <c r="B6271" s="138">
        <f>'Acct Summary 7-8'!G82</f>
        <v>-31086</v>
      </c>
      <c r="D6271" s="2" t="str">
        <f t="shared" ref="D6271:D6334" si="97">IF(ISBLANK(B6271),"OK",IF(A6271-B6271=0,"OK","Error?"))</f>
        <v>Error?</v>
      </c>
      <c r="E6271" s="2" t="s">
        <v>190</v>
      </c>
    </row>
    <row r="6272" spans="1:5" x14ac:dyDescent="0.2">
      <c r="A6272">
        <v>6211</v>
      </c>
      <c r="B6272" s="138">
        <f>'Acct Summary 7-8'!H82</f>
        <v>-1243700</v>
      </c>
      <c r="D6272" s="2" t="str">
        <f t="shared" si="97"/>
        <v>Error?</v>
      </c>
      <c r="E6272" s="2" t="s">
        <v>190</v>
      </c>
    </row>
    <row r="6273" spans="1:5" x14ac:dyDescent="0.2">
      <c r="A6273">
        <v>6212</v>
      </c>
      <c r="B6273" s="138">
        <f>'Acct Summary 7-8'!I82</f>
        <v>-1961177</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394</v>
      </c>
      <c r="D6275" s="2" t="str">
        <f t="shared" si="97"/>
        <v>Error?</v>
      </c>
      <c r="E6275" s="2" t="s">
        <v>190</v>
      </c>
    </row>
    <row r="6276" spans="1:5" x14ac:dyDescent="0.2">
      <c r="A6276">
        <v>6215</v>
      </c>
      <c r="B6276" s="138">
        <f>'Acct Summary 7-8'!C83</f>
        <v>-4.7686139146010456E-2</v>
      </c>
      <c r="D6276" s="2" t="str">
        <f t="shared" si="97"/>
        <v>Error?</v>
      </c>
      <c r="E6276" s="2" t="s">
        <v>190</v>
      </c>
    </row>
    <row r="6277" spans="1:5" x14ac:dyDescent="0.2">
      <c r="A6277">
        <v>6216</v>
      </c>
      <c r="B6277" s="138">
        <f>'Acct Summary 7-8'!D83</f>
        <v>4.1568406288178235E-3</v>
      </c>
      <c r="D6277" s="2" t="str">
        <f t="shared" si="97"/>
        <v>Error?</v>
      </c>
      <c r="E6277" s="2" t="s">
        <v>190</v>
      </c>
    </row>
    <row r="6278" spans="1:5" x14ac:dyDescent="0.2">
      <c r="A6278">
        <v>6217</v>
      </c>
      <c r="B6278" s="138">
        <f>'Acct Summary 7-8'!E83</f>
        <v>-8.1266057903232033E-2</v>
      </c>
      <c r="D6278" s="2" t="str">
        <f t="shared" si="97"/>
        <v>Error?</v>
      </c>
      <c r="E6278" s="2" t="s">
        <v>190</v>
      </c>
    </row>
    <row r="6279" spans="1:5" x14ac:dyDescent="0.2">
      <c r="A6279">
        <v>6218</v>
      </c>
      <c r="B6279" s="138">
        <f>'Acct Summary 7-8'!F83</f>
        <v>1.4672298967093085E-2</v>
      </c>
      <c r="D6279" s="2" t="str">
        <f t="shared" si="97"/>
        <v>Error?</v>
      </c>
      <c r="E6279" s="2" t="s">
        <v>190</v>
      </c>
    </row>
    <row r="6280" spans="1:5" x14ac:dyDescent="0.2">
      <c r="A6280">
        <v>6219</v>
      </c>
      <c r="B6280" s="138">
        <f>'Acct Summary 7-8'!G83</f>
        <v>-0.11624454507720094</v>
      </c>
      <c r="D6280" s="2" t="str">
        <f t="shared" si="97"/>
        <v>Error?</v>
      </c>
      <c r="E6280" s="2" t="s">
        <v>190</v>
      </c>
    </row>
    <row r="6281" spans="1:5" x14ac:dyDescent="0.2">
      <c r="A6281">
        <v>6220</v>
      </c>
      <c r="B6281" s="138">
        <f>'Acct Summary 7-8'!H83</f>
        <v>-1.5946261981813799</v>
      </c>
      <c r="D6281" s="2" t="str">
        <f t="shared" si="97"/>
        <v>Error?</v>
      </c>
      <c r="E6281" s="2" t="s">
        <v>190</v>
      </c>
    </row>
    <row r="6282" spans="1:5" x14ac:dyDescent="0.2">
      <c r="A6282">
        <v>6221</v>
      </c>
      <c r="B6282" s="138">
        <f>'Acct Summary 7-8'!I83</f>
        <v>-1.4850493785466456</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2.1873091656026203E-2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90825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13</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13</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543</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140468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169057</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543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2556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2556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37861</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37861</v>
      </c>
      <c r="D6943" s="2" t="str">
        <f t="shared" si="107"/>
        <v>Error?</v>
      </c>
    </row>
    <row r="6944" spans="1:4" x14ac:dyDescent="0.2">
      <c r="A6944">
        <v>6883</v>
      </c>
      <c r="B6944" s="138">
        <f>'Expenditures 15-22'!I55</f>
        <v>819</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819</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3375</v>
      </c>
      <c r="D6977" s="2" t="str">
        <f t="shared" si="108"/>
        <v>Error?</v>
      </c>
    </row>
    <row r="6978" spans="1:4" x14ac:dyDescent="0.2">
      <c r="A6978">
        <v>6917</v>
      </c>
      <c r="B6978" s="138">
        <f>'Expenditures 15-22'!J74</f>
        <v>37861</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482745</v>
      </c>
      <c r="D6983" s="2" t="str">
        <f t="shared" si="108"/>
        <v>Error?</v>
      </c>
    </row>
    <row r="6984" spans="1:4" x14ac:dyDescent="0.2">
      <c r="A6984">
        <v>6923</v>
      </c>
      <c r="B6984" s="138">
        <f>'Expenditures 15-22'!K86</f>
        <v>482745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482745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3918</v>
      </c>
      <c r="D7020" s="2" t="str">
        <f t="shared" si="108"/>
        <v>Error?</v>
      </c>
    </row>
    <row r="7021" spans="1:4" x14ac:dyDescent="0.2">
      <c r="A7021">
        <v>6960</v>
      </c>
      <c r="B7021" s="138">
        <f>'Expenditures 15-22'!J114</f>
        <v>37861</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4634</v>
      </c>
      <c r="D7067" s="2" t="str">
        <f t="shared" si="109"/>
        <v>Error?</v>
      </c>
    </row>
    <row r="7068" spans="1:4" x14ac:dyDescent="0.2">
      <c r="A7068">
        <v>7007</v>
      </c>
      <c r="B7068" s="138">
        <f>'Expenditures 15-22'!K205</f>
        <v>4634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1320</v>
      </c>
      <c r="D7073" s="2" t="str">
        <f t="shared" si="109"/>
        <v>Error?</v>
      </c>
    </row>
    <row r="7074" spans="1:4" x14ac:dyDescent="0.2">
      <c r="A7074">
        <v>7013</v>
      </c>
      <c r="B7074" s="138">
        <f>'Expenditures 15-22'!K216</f>
        <v>1320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1783</v>
      </c>
      <c r="D7077" s="2" t="str">
        <f t="shared" si="109"/>
        <v>Error?</v>
      </c>
    </row>
    <row r="7078" spans="1:4" x14ac:dyDescent="0.2">
      <c r="A7078">
        <v>7017</v>
      </c>
      <c r="B7078" s="138">
        <f>'Expenditures 15-22'!K220</f>
        <v>1783</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2093</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2093</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2093</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36473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13170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122994</v>
      </c>
      <c r="D7257" s="2" t="str">
        <f t="shared" si="112"/>
        <v>Error?</v>
      </c>
    </row>
    <row r="7258" spans="1:4" x14ac:dyDescent="0.2">
      <c r="A7258">
        <f t="shared" si="113"/>
        <v>7197</v>
      </c>
      <c r="B7258" s="138">
        <f>'Expenditures 15-22'!D11</f>
        <v>36726</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9337</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6011</v>
      </c>
      <c r="D7624" s="2" t="str">
        <f t="shared" si="124"/>
        <v>Error?</v>
      </c>
      <c r="E7624" s="2" t="s">
        <v>19</v>
      </c>
    </row>
    <row r="7625" spans="1:5" x14ac:dyDescent="0.2">
      <c r="A7625">
        <f t="shared" si="123"/>
        <v>7564</v>
      </c>
      <c r="B7625" s="138">
        <f>'Cap Outlay Deprec 26'!I17</f>
        <v>601.1</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2272460.1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2000000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282587</v>
      </c>
      <c r="D7759" s="2" t="str">
        <f t="shared" si="127"/>
        <v>Error?</v>
      </c>
      <c r="E7759" s="4" t="s">
        <v>1333</v>
      </c>
    </row>
    <row r="7760" spans="1:6" x14ac:dyDescent="0.2">
      <c r="A7760">
        <v>7699</v>
      </c>
      <c r="B7760" s="138">
        <f>'Aud Quest 2'!J90</f>
        <v>282587</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795203</v>
      </c>
      <c r="D7797" s="2" t="str">
        <f t="shared" si="127"/>
        <v>Error?</v>
      </c>
      <c r="E7797" s="4" t="s">
        <v>1903</v>
      </c>
    </row>
    <row r="7798" spans="1:5" x14ac:dyDescent="0.2">
      <c r="A7798">
        <v>7737</v>
      </c>
      <c r="B7798" s="138">
        <f>'Contracts Paid in CY 29'!F142</f>
        <v>50000</v>
      </c>
      <c r="D7798" s="2" t="str">
        <f t="shared" si="127"/>
        <v>Error?</v>
      </c>
      <c r="E7798" s="4" t="s">
        <v>1903</v>
      </c>
    </row>
    <row r="7799" spans="1:5" x14ac:dyDescent="0.2">
      <c r="A7799">
        <v>7738</v>
      </c>
      <c r="B7799" s="138">
        <f>'Contracts Paid in CY 29'!G142</f>
        <v>745203</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7" t="s">
        <v>1191</v>
      </c>
      <c r="B2" s="2387"/>
      <c r="C2" s="2387"/>
      <c r="D2" s="2387"/>
      <c r="E2" s="2387"/>
      <c r="F2" s="2387"/>
      <c r="G2" s="2387"/>
      <c r="H2" s="2387"/>
      <c r="I2" s="2387"/>
      <c r="J2" s="2387"/>
      <c r="K2" s="2387"/>
      <c r="L2" s="2387"/>
    </row>
    <row r="3" spans="1:29" ht="13.5" customHeight="1" x14ac:dyDescent="0.2">
      <c r="A3" s="2418" t="s">
        <v>1190</v>
      </c>
      <c r="B3" s="2418"/>
      <c r="C3" s="2418"/>
      <c r="D3" s="2418"/>
      <c r="E3" s="2418"/>
      <c r="F3" s="2418"/>
      <c r="G3" s="2418"/>
      <c r="H3" s="2418"/>
      <c r="I3" s="2418"/>
      <c r="J3" s="2418"/>
      <c r="K3" s="2418"/>
      <c r="L3" s="2418"/>
    </row>
    <row r="4" spans="1:29" ht="13.5" customHeight="1" x14ac:dyDescent="0.2">
      <c r="A4" s="2387" t="s">
        <v>1987</v>
      </c>
      <c r="B4" s="2408"/>
      <c r="C4" s="2408"/>
      <c r="D4" s="2408"/>
      <c r="E4" s="2408"/>
      <c r="F4" s="2408"/>
      <c r="G4" s="2408"/>
      <c r="H4" s="2408"/>
      <c r="I4" s="2408"/>
      <c r="J4" s="2408"/>
      <c r="K4" s="2408"/>
      <c r="L4" s="240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9" t="str">
        <f>COVER!A17</f>
        <v>Fremont SD 79</v>
      </c>
      <c r="B7" s="2410"/>
      <c r="C7" s="2410"/>
      <c r="D7" s="2411"/>
      <c r="E7" s="2412">
        <f>COVER!A13</f>
        <v>34049079002</v>
      </c>
      <c r="F7" s="2413"/>
      <c r="G7" s="2419" t="str">
        <f>COVER!T23</f>
        <v>066.005340</v>
      </c>
      <c r="H7" s="2420"/>
      <c r="I7" s="2420"/>
      <c r="J7" s="2420"/>
      <c r="K7" s="2420"/>
      <c r="L7" s="242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2"/>
      <c r="B9" s="2423"/>
      <c r="C9" s="2423"/>
      <c r="D9" s="2423"/>
      <c r="E9" s="2423"/>
      <c r="F9" s="2424"/>
      <c r="G9" s="2393" t="str">
        <f>COVER!T13</f>
        <v>Evans, Marshall and Pease, PC</v>
      </c>
      <c r="H9" s="2425"/>
      <c r="I9" s="2425"/>
      <c r="J9" s="2425"/>
      <c r="K9" s="2425"/>
      <c r="L9" s="2426"/>
    </row>
    <row r="10" spans="1:29" ht="13.5" customHeight="1" x14ac:dyDescent="0.2">
      <c r="A10" s="2399">
        <f>COVER!A38</f>
        <v>0</v>
      </c>
      <c r="B10" s="2400"/>
      <c r="C10" s="2400"/>
      <c r="D10" s="2400"/>
      <c r="E10" s="2400"/>
      <c r="F10" s="2401"/>
      <c r="G10" s="2393" t="str">
        <f>COVER!T17</f>
        <v>1875 Hicks Road</v>
      </c>
      <c r="H10" s="2394"/>
      <c r="I10" s="2394"/>
      <c r="J10" s="2394"/>
      <c r="K10" s="2394"/>
      <c r="L10" s="2395"/>
    </row>
    <row r="11" spans="1:29" ht="13.5" customHeight="1" x14ac:dyDescent="0.2">
      <c r="A11" s="1184" t="s">
        <v>1519</v>
      </c>
      <c r="B11" s="1185"/>
      <c r="C11" s="1186"/>
      <c r="D11" s="1191"/>
      <c r="E11" s="1186"/>
      <c r="F11" s="1190"/>
      <c r="G11" s="2393" t="str">
        <f>COVER!T19</f>
        <v>Rolling Meadows</v>
      </c>
      <c r="H11" s="2394"/>
      <c r="I11" s="2394"/>
      <c r="J11" s="2394"/>
      <c r="K11" s="2394"/>
      <c r="L11" s="2395"/>
    </row>
    <row r="12" spans="1:29" ht="13.5" customHeight="1" x14ac:dyDescent="0.2">
      <c r="A12" s="2402" t="s">
        <v>1518</v>
      </c>
      <c r="B12" s="2403"/>
      <c r="C12" s="2403"/>
      <c r="D12" s="2403"/>
      <c r="E12" s="2403"/>
      <c r="F12" s="2404"/>
      <c r="G12" s="2396"/>
      <c r="H12" s="2397"/>
      <c r="I12" s="2397"/>
      <c r="J12" s="2397"/>
      <c r="K12" s="2397"/>
      <c r="L12" s="2398"/>
    </row>
    <row r="13" spans="1:29" ht="13.5" customHeight="1" x14ac:dyDescent="0.2">
      <c r="A13" s="2393"/>
      <c r="B13" s="2394"/>
      <c r="C13" s="2394"/>
      <c r="D13" s="2394"/>
      <c r="E13" s="2394"/>
      <c r="F13" s="2395"/>
      <c r="G13" s="2388" t="s">
        <v>1520</v>
      </c>
      <c r="H13" s="2389"/>
      <c r="I13" s="2405" t="str">
        <f>COVER!T25</f>
        <v>jeff@empcpa.com</v>
      </c>
      <c r="J13" s="2406"/>
      <c r="K13" s="2406"/>
      <c r="L13" s="2407"/>
    </row>
    <row r="14" spans="1:29" ht="13.5" customHeight="1" x14ac:dyDescent="0.2">
      <c r="A14" s="2393" t="str">
        <f>COVER!A19</f>
        <v>28855 N. Fremont Center</v>
      </c>
      <c r="B14" s="2394"/>
      <c r="C14" s="2394"/>
      <c r="D14" s="2394"/>
      <c r="E14" s="2394"/>
      <c r="F14" s="2395"/>
      <c r="G14" s="1195" t="s">
        <v>1185</v>
      </c>
      <c r="H14" s="1193"/>
      <c r="I14" s="1193"/>
      <c r="J14" s="1193"/>
      <c r="K14" s="1193"/>
      <c r="L14" s="1194"/>
    </row>
    <row r="15" spans="1:29" ht="13.5" customHeight="1" x14ac:dyDescent="0.2">
      <c r="A15" s="2393" t="str">
        <f>COVER!A21</f>
        <v>Mundelein</v>
      </c>
      <c r="B15" s="2394"/>
      <c r="C15" s="2394"/>
      <c r="D15" s="2394"/>
      <c r="E15" s="2394"/>
      <c r="F15" s="2395"/>
      <c r="G15" s="2390" t="str">
        <f>COVER!T15</f>
        <v>Jeffery M. Rollefson, CPA</v>
      </c>
      <c r="H15" s="2391"/>
      <c r="I15" s="2391"/>
      <c r="J15" s="2391"/>
      <c r="K15" s="2391"/>
      <c r="L15" s="2392"/>
    </row>
    <row r="16" spans="1:29" ht="12.2" customHeight="1" x14ac:dyDescent="0.2">
      <c r="A16" s="2415">
        <f>COVER!A25</f>
        <v>60060</v>
      </c>
      <c r="B16" s="2416"/>
      <c r="C16" s="2416"/>
      <c r="D16" s="2416"/>
      <c r="E16" s="2416"/>
      <c r="F16" s="2417"/>
      <c r="G16" s="2427"/>
      <c r="H16" s="2428"/>
      <c r="I16" s="2428"/>
      <c r="J16" s="2428"/>
      <c r="K16" s="2428"/>
      <c r="L16" s="2429"/>
    </row>
    <row r="17" spans="1:13" ht="12.2" customHeight="1" x14ac:dyDescent="0.2">
      <c r="A17" s="2430"/>
      <c r="B17" s="2416"/>
      <c r="C17" s="2416"/>
      <c r="D17" s="2416"/>
      <c r="E17" s="2416"/>
      <c r="F17" s="2417"/>
      <c r="G17" s="1195" t="s">
        <v>1184</v>
      </c>
      <c r="H17" s="1193"/>
      <c r="I17" s="1193"/>
      <c r="J17" s="1193"/>
      <c r="K17" s="1197" t="s">
        <v>1183</v>
      </c>
      <c r="L17" s="1190"/>
      <c r="M17" s="1183"/>
    </row>
    <row r="18" spans="1:13" ht="12.2" customHeight="1" x14ac:dyDescent="0.2">
      <c r="A18" s="2399"/>
      <c r="B18" s="2400"/>
      <c r="C18" s="2400"/>
      <c r="D18" s="2400"/>
      <c r="E18" s="2400"/>
      <c r="F18" s="2401"/>
      <c r="G18" s="2409" t="str">
        <f>COVER!T21</f>
        <v>847-221-5700</v>
      </c>
      <c r="H18" s="2410"/>
      <c r="I18" s="2410"/>
      <c r="J18" s="2410"/>
      <c r="K18" s="2409" t="str">
        <f>COVER!X21</f>
        <v>847-221-5701</v>
      </c>
      <c r="L18" s="241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Fremont SD 79</v>
      </c>
      <c r="B1" s="2408"/>
      <c r="C1" s="2408"/>
      <c r="D1" s="2408"/>
    </row>
    <row r="2" spans="1:11" s="1212" customFormat="1" ht="12.75" x14ac:dyDescent="0.2">
      <c r="A2" s="2432">
        <f>'Single Audit Cover'!E7</f>
        <v>34049079002</v>
      </c>
      <c r="B2" s="2433"/>
      <c r="C2" s="2433"/>
      <c r="D2" s="2433"/>
    </row>
    <row r="3" spans="1:11" s="1212" customFormat="1" ht="12.75" x14ac:dyDescent="0.2">
      <c r="A3" s="2431" t="s">
        <v>1513</v>
      </c>
      <c r="B3" s="2408"/>
      <c r="C3" s="2408"/>
      <c r="D3" s="240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Fremont SD 79</v>
      </c>
      <c r="B1" s="2435"/>
      <c r="C1" s="2435"/>
      <c r="D1" s="2435"/>
      <c r="E1" s="2435"/>
    </row>
    <row r="2" spans="1:5" x14ac:dyDescent="0.2">
      <c r="A2" s="2436">
        <f>'Single Audit Cover'!E7</f>
        <v>34049079002</v>
      </c>
      <c r="B2" s="2436"/>
      <c r="C2" s="2436"/>
      <c r="D2" s="2436"/>
      <c r="E2" s="2436"/>
    </row>
    <row r="3" spans="1:5" ht="4.5" customHeight="1" x14ac:dyDescent="0.2"/>
    <row r="4" spans="1:5" x14ac:dyDescent="0.2">
      <c r="A4" s="2435" t="s">
        <v>1245</v>
      </c>
      <c r="B4" s="2435"/>
      <c r="C4" s="2435"/>
      <c r="D4" s="2435"/>
      <c r="E4" s="2435"/>
    </row>
    <row r="5" spans="1:5" x14ac:dyDescent="0.2">
      <c r="A5" s="2438" t="str">
        <f>'Single Audit Cover'!A4</f>
        <v>Year Ending June 30, 2019</v>
      </c>
      <c r="B5" s="2438"/>
      <c r="C5" s="2438"/>
      <c r="D5" s="2438"/>
      <c r="E5" s="2438"/>
    </row>
    <row r="6" spans="1:5" x14ac:dyDescent="0.2">
      <c r="A6" s="2435" t="s">
        <v>1244</v>
      </c>
      <c r="B6" s="2435"/>
      <c r="C6" s="2435"/>
      <c r="D6" s="2435"/>
      <c r="E6" s="2435"/>
    </row>
    <row r="8" spans="1:5" x14ac:dyDescent="0.2">
      <c r="A8" s="1257" t="s">
        <v>1243</v>
      </c>
    </row>
    <row r="10" spans="1:5" x14ac:dyDescent="0.2">
      <c r="A10" s="1258" t="s">
        <v>1242</v>
      </c>
      <c r="B10" s="1259" t="s">
        <v>1241</v>
      </c>
      <c r="C10" s="1259"/>
      <c r="D10" s="1260">
        <f>SUM('Acct Summary 7-8'!C7:K7)</f>
        <v>545519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-41920</v>
      </c>
    </row>
    <row r="19" spans="1:4" ht="13.5" thickBot="1" x14ac:dyDescent="0.25">
      <c r="A19" s="1262" t="s">
        <v>1235</v>
      </c>
      <c r="D19" s="1263">
        <f>SUM(D10:D17)</f>
        <v>503599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1233</v>
      </c>
      <c r="D32" s="1260">
        <f>SUM(D19:D30)</f>
        <v>503599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4"/>
      <c r="B40" s="2434"/>
      <c r="D40" s="1265"/>
    </row>
    <row r="41" spans="1:4" x14ac:dyDescent="0.2">
      <c r="A41" s="2434"/>
      <c r="B41" s="2434"/>
      <c r="D41" s="1268"/>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1227</v>
      </c>
      <c r="C47" s="1269"/>
      <c r="D47" s="1270">
        <f>SUM(D35:D45)</f>
        <v>0</v>
      </c>
    </row>
    <row r="49" spans="2:4" x14ac:dyDescent="0.2">
      <c r="B49" s="1269" t="s">
        <v>1226</v>
      </c>
      <c r="C49" s="1269"/>
      <c r="D49" s="1270">
        <f>D32-D47</f>
        <v>503599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8" t="str">
        <f>'Single Audit Cover'!A7</f>
        <v>Fremont SD 79</v>
      </c>
      <c r="C1" s="2439"/>
      <c r="D1" s="2439"/>
      <c r="E1" s="2439"/>
      <c r="F1" s="2439"/>
      <c r="G1" s="2439"/>
      <c r="H1" s="2439"/>
      <c r="I1" s="2439"/>
      <c r="J1" s="2439"/>
      <c r="K1" s="2439"/>
      <c r="L1" s="2439"/>
      <c r="M1" s="2439"/>
    </row>
    <row r="2" spans="2:14" ht="15" x14ac:dyDescent="0.2">
      <c r="B2" s="2440">
        <f>'Single Audit Cover'!E7</f>
        <v>34049079002</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Fremont SD 79</v>
      </c>
      <c r="B1" s="2452"/>
      <c r="C1" s="2452"/>
      <c r="D1" s="2452"/>
      <c r="E1" s="2452"/>
      <c r="F1" s="2452"/>
    </row>
    <row r="2" spans="1:7" ht="13.5" customHeight="1" x14ac:dyDescent="0.2">
      <c r="A2" s="2440">
        <f>'Single Audit Cover'!E7</f>
        <v>34049079002</v>
      </c>
      <c r="B2" s="2440"/>
      <c r="C2" s="2440"/>
      <c r="D2" s="2440"/>
      <c r="E2" s="2440"/>
      <c r="F2" s="2440"/>
      <c r="G2" s="1272"/>
    </row>
    <row r="3" spans="1:7" ht="15.75" customHeight="1" x14ac:dyDescent="0.2">
      <c r="A3" s="2453" t="s">
        <v>1271</v>
      </c>
      <c r="B3" s="2453"/>
      <c r="C3" s="2453"/>
      <c r="D3" s="2453"/>
      <c r="E3" s="2453"/>
      <c r="F3" s="2453"/>
    </row>
    <row r="4" spans="1:7" ht="13.5" customHeight="1" x14ac:dyDescent="0.2">
      <c r="A4" s="2454" t="str">
        <f>'Single Audit Cover'!A4</f>
        <v>Year Ending June 30, 2019</v>
      </c>
      <c r="B4" s="2454"/>
      <c r="C4" s="2454"/>
      <c r="D4" s="2454"/>
      <c r="E4" s="2454"/>
      <c r="F4" s="2454"/>
    </row>
    <row r="5" spans="1:7" ht="8.25" customHeight="1" x14ac:dyDescent="0.2">
      <c r="C5" s="317"/>
      <c r="D5" s="317"/>
    </row>
    <row r="6" spans="1:7" ht="13.5" customHeight="1" x14ac:dyDescent="0.2">
      <c r="A6" s="1273" t="s">
        <v>1728</v>
      </c>
      <c r="C6" s="317"/>
      <c r="D6" s="317"/>
    </row>
    <row r="7" spans="1:7" ht="60.95" customHeight="1" x14ac:dyDescent="0.2">
      <c r="A7" s="2451" t="s">
        <v>1729</v>
      </c>
      <c r="B7" s="2451"/>
      <c r="C7" s="2451"/>
      <c r="D7" s="2451"/>
      <c r="E7" s="2451"/>
      <c r="F7" s="2451"/>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1" t="s">
        <v>1731</v>
      </c>
      <c r="B13" s="2451"/>
      <c r="C13" s="2451"/>
      <c r="D13" s="2451"/>
      <c r="E13" s="2451"/>
      <c r="F13" s="2451"/>
    </row>
    <row r="14" spans="1:7" ht="9.75" customHeight="1" x14ac:dyDescent="0.2">
      <c r="C14" s="1257"/>
      <c r="D14" s="1257"/>
    </row>
    <row r="15" spans="1:7" ht="13.5" customHeight="1" x14ac:dyDescent="0.2">
      <c r="C15" s="1846" t="s">
        <v>1270</v>
      </c>
      <c r="D15" s="2449" t="s">
        <v>1269</v>
      </c>
      <c r="E15" s="2449"/>
      <c r="F15" s="2449"/>
    </row>
    <row r="16" spans="1:7" ht="13.5" customHeight="1" x14ac:dyDescent="0.2">
      <c r="A16" s="1279"/>
      <c r="B16" s="1273" t="s">
        <v>1268</v>
      </c>
      <c r="C16" s="1846" t="s">
        <v>1267</v>
      </c>
      <c r="D16" s="2450" t="s">
        <v>1588</v>
      </c>
      <c r="E16" s="2450"/>
      <c r="F16" s="2450"/>
    </row>
    <row r="17" spans="1:6" ht="20.45" customHeight="1" x14ac:dyDescent="0.2">
      <c r="A17" s="1280"/>
      <c r="B17" s="1281"/>
      <c r="C17" s="1282"/>
      <c r="D17" s="2444"/>
      <c r="E17" s="2444"/>
      <c r="F17" s="2444"/>
    </row>
    <row r="18" spans="1:6" ht="20.65" customHeight="1" x14ac:dyDescent="0.2">
      <c r="A18" s="1280"/>
      <c r="B18" s="1281"/>
      <c r="C18" s="1282"/>
      <c r="D18" s="2444"/>
      <c r="E18" s="2444"/>
      <c r="F18" s="2444"/>
    </row>
    <row r="19" spans="1:6" ht="20.65" customHeight="1" x14ac:dyDescent="0.2">
      <c r="A19" s="1280"/>
      <c r="B19" s="1281"/>
      <c r="C19" s="1282"/>
      <c r="D19" s="2444"/>
      <c r="E19" s="2444"/>
      <c r="F19" s="2444"/>
    </row>
    <row r="20" spans="1:6" ht="20.65" customHeight="1" x14ac:dyDescent="0.2">
      <c r="A20" s="1280"/>
      <c r="B20" s="1281"/>
      <c r="C20" s="1282"/>
      <c r="D20" s="2444"/>
      <c r="E20" s="2444"/>
      <c r="F20" s="2444"/>
    </row>
    <row r="21" spans="1:6" ht="20.65" customHeight="1" x14ac:dyDescent="0.2">
      <c r="A21" s="1280"/>
      <c r="B21" s="1281"/>
      <c r="C21" s="1282"/>
      <c r="D21" s="2444"/>
      <c r="E21" s="2444"/>
      <c r="F21" s="2444"/>
    </row>
    <row r="22" spans="1:6" ht="20.65" customHeight="1" x14ac:dyDescent="0.2">
      <c r="A22" s="1280"/>
      <c r="B22" s="1281"/>
      <c r="C22" s="1282"/>
      <c r="D22" s="2444"/>
      <c r="E22" s="2444"/>
      <c r="F22" s="2444"/>
    </row>
    <row r="23" spans="1:6" ht="20.65" customHeight="1" x14ac:dyDescent="0.2">
      <c r="A23" s="1280"/>
      <c r="B23" s="1281"/>
      <c r="C23" s="1282"/>
      <c r="D23" s="2444"/>
      <c r="E23" s="2444"/>
      <c r="F23" s="2444"/>
    </row>
    <row r="24" spans="1:6" ht="20.65" customHeight="1" x14ac:dyDescent="0.2">
      <c r="A24" s="1280"/>
      <c r="B24" s="1281"/>
      <c r="C24" s="1282"/>
      <c r="D24" s="2444"/>
      <c r="E24" s="2444"/>
      <c r="F24" s="2444"/>
    </row>
    <row r="25" spans="1:6" ht="20.65" customHeight="1" x14ac:dyDescent="0.2">
      <c r="A25" s="1280"/>
      <c r="B25" s="1281"/>
      <c r="C25" s="1282"/>
      <c r="D25" s="2444"/>
      <c r="E25" s="2444"/>
      <c r="F25" s="2444"/>
    </row>
    <row r="26" spans="1:6" ht="20.65" customHeight="1" x14ac:dyDescent="0.2">
      <c r="A26" s="1280"/>
      <c r="B26" s="1281"/>
      <c r="C26" s="1282"/>
      <c r="D26" s="2444"/>
      <c r="E26" s="2444"/>
      <c r="F26" s="2444"/>
    </row>
    <row r="27" spans="1:6" ht="20.65" customHeight="1" x14ac:dyDescent="0.2">
      <c r="A27" s="1280"/>
      <c r="B27" s="1281"/>
      <c r="C27" s="1282"/>
      <c r="D27" s="2444"/>
      <c r="E27" s="2444"/>
      <c r="F27" s="2444"/>
    </row>
    <row r="28" spans="1:6" ht="20.65" customHeight="1" x14ac:dyDescent="0.2">
      <c r="A28" s="1280"/>
      <c r="B28" s="1281"/>
      <c r="C28" s="1282"/>
      <c r="D28" s="2444"/>
      <c r="E28" s="2444"/>
      <c r="F28" s="2444"/>
    </row>
    <row r="29" spans="1:6" ht="20.65" customHeight="1" x14ac:dyDescent="0.2">
      <c r="A29" s="1280"/>
      <c r="B29" s="1281"/>
      <c r="C29" s="1282"/>
      <c r="D29" s="2444"/>
      <c r="E29" s="2444"/>
      <c r="F29" s="2444"/>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1732</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108" colorId="8" zoomScale="110" zoomScaleNormal="110" workbookViewId="0">
      <selection activeCell="T23" sqref="T23:W2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1168</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4" t="s">
        <v>1633</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313</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v>33512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1323</v>
      </c>
      <c r="B70" s="2077"/>
      <c r="C70" s="2077"/>
      <c r="D70" s="2077"/>
      <c r="E70" s="2078"/>
      <c r="F70" s="2078"/>
      <c r="G70" s="2078"/>
      <c r="H70" s="2078"/>
      <c r="I70" s="207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v>43646</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1320</v>
      </c>
      <c r="B83" s="2079"/>
      <c r="C83" s="2079"/>
      <c r="D83" s="208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t="s">
        <v>1169</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v>122484</v>
      </c>
      <c r="G88" s="276">
        <v>121740</v>
      </c>
      <c r="H88" s="276">
        <v>38363</v>
      </c>
      <c r="I88" s="276"/>
      <c r="J88" s="277">
        <f>SUM(E88:I88)</f>
        <v>282587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282587</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2069</v>
      </c>
      <c r="D114" s="207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1330</v>
      </c>
      <c r="D117" s="2072"/>
      <c r="E117" s="2073"/>
      <c r="F117" s="2073"/>
      <c r="G117" s="2073"/>
      <c r="H117" s="2073"/>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Fremont SD 79</v>
      </c>
      <c r="C1" s="2467"/>
      <c r="D1" s="2467"/>
      <c r="E1" s="2467"/>
      <c r="F1" s="2467"/>
      <c r="G1" s="2467"/>
      <c r="H1" s="2467"/>
      <c r="I1" s="2467"/>
      <c r="J1" s="1406"/>
    </row>
    <row r="2" spans="2:10" s="317" customFormat="1" ht="12.75" customHeight="1" x14ac:dyDescent="0.2">
      <c r="B2" s="2468">
        <f>'Single Audit Cover'!E7</f>
        <v>34049079002</v>
      </c>
      <c r="C2" s="2469"/>
      <c r="D2" s="2469"/>
      <c r="E2" s="2469"/>
      <c r="F2" s="2469"/>
      <c r="G2" s="2469"/>
      <c r="H2" s="2469"/>
      <c r="I2" s="2469"/>
      <c r="J2" s="1406"/>
    </row>
    <row r="3" spans="2:10" s="317" customFormat="1" ht="12.75" customHeight="1" x14ac:dyDescent="0.2">
      <c r="B3" s="2470" t="s">
        <v>1285</v>
      </c>
      <c r="C3" s="2471"/>
      <c r="D3" s="2471"/>
      <c r="E3" s="2471"/>
      <c r="F3" s="2471"/>
      <c r="G3" s="2471"/>
      <c r="H3" s="2471"/>
      <c r="I3" s="2471"/>
      <c r="J3" s="1407"/>
    </row>
    <row r="4" spans="2:10" s="317" customFormat="1" ht="12.75" customHeight="1" x14ac:dyDescent="0.2">
      <c r="B4" s="2470" t="str">
        <f>'Single Audit Cover'!A4</f>
        <v>Year Ending June 30, 2019</v>
      </c>
      <c r="C4" s="2471"/>
      <c r="D4" s="2471"/>
      <c r="E4" s="2471"/>
      <c r="F4" s="2471"/>
      <c r="G4" s="2471"/>
      <c r="H4" s="2471"/>
      <c r="I4" s="2471"/>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0" t="s">
        <v>1284</v>
      </c>
      <c r="C7" s="2471"/>
      <c r="D7" s="2471"/>
      <c r="E7" s="2471"/>
      <c r="F7" s="2471"/>
      <c r="G7" s="2471"/>
      <c r="H7" s="2471"/>
      <c r="I7" s="2471"/>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2"/>
      <c r="D11" s="2472"/>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3"/>
      <c r="E29" s="2473"/>
      <c r="F29" s="2473"/>
      <c r="G29" s="2473"/>
      <c r="H29" s="2473"/>
      <c r="I29" s="2473"/>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4" t="s">
        <v>1751</v>
      </c>
      <c r="D37" s="2475"/>
      <c r="E37" s="2475"/>
      <c r="F37" s="2476"/>
      <c r="G37" s="2474" t="s">
        <v>1592</v>
      </c>
      <c r="H37" s="2475"/>
      <c r="I37" s="2476"/>
    </row>
    <row r="38" spans="2:9" ht="16.5" customHeight="1" x14ac:dyDescent="0.2">
      <c r="B38" s="1428"/>
      <c r="C38" s="2462"/>
      <c r="D38" s="2463"/>
      <c r="E38" s="2463"/>
      <c r="F38" s="2464"/>
      <c r="G38" s="2477"/>
      <c r="H38" s="2478"/>
      <c r="I38" s="2479"/>
    </row>
    <row r="39" spans="2:9" ht="16.5" customHeight="1" x14ac:dyDescent="0.2">
      <c r="B39" s="1428"/>
      <c r="C39" s="2462"/>
      <c r="D39" s="2463"/>
      <c r="E39" s="2463"/>
      <c r="F39" s="2464"/>
      <c r="G39" s="2465"/>
      <c r="H39" s="2465"/>
      <c r="I39" s="2465"/>
    </row>
    <row r="40" spans="2:9" ht="16.5" customHeight="1" x14ac:dyDescent="0.2">
      <c r="B40" s="1428"/>
      <c r="C40" s="2462"/>
      <c r="D40" s="2463"/>
      <c r="E40" s="2463"/>
      <c r="F40" s="2464"/>
      <c r="G40" s="2465"/>
      <c r="H40" s="2465"/>
      <c r="I40" s="2465"/>
    </row>
    <row r="41" spans="2:9" ht="16.5" customHeight="1" x14ac:dyDescent="0.2">
      <c r="B41" s="1428"/>
      <c r="C41" s="2462"/>
      <c r="D41" s="2463"/>
      <c r="E41" s="2463"/>
      <c r="F41" s="2464"/>
      <c r="G41" s="2465"/>
      <c r="H41" s="2465"/>
      <c r="I41" s="2465"/>
    </row>
    <row r="42" spans="2:9" ht="16.5" customHeight="1" x14ac:dyDescent="0.2">
      <c r="B42" s="1428"/>
      <c r="C42" s="2462"/>
      <c r="D42" s="2463"/>
      <c r="E42" s="2463"/>
      <c r="F42" s="2464"/>
      <c r="G42" s="2465"/>
      <c r="H42" s="2465"/>
      <c r="I42" s="2465"/>
    </row>
    <row r="43" spans="2:9" ht="16.5" customHeight="1" x14ac:dyDescent="0.2">
      <c r="B43" s="1428"/>
      <c r="C43" s="2455" t="s">
        <v>1593</v>
      </c>
      <c r="D43" s="2456"/>
      <c r="E43" s="2456"/>
      <c r="F43" s="2457"/>
      <c r="G43" s="2458">
        <f>SUM(G38:I42)</f>
        <v>0</v>
      </c>
      <c r="H43" s="2458"/>
      <c r="I43" s="2458"/>
    </row>
    <row r="44" spans="2:9" ht="12.75" customHeight="1" x14ac:dyDescent="0.2"/>
    <row r="45" spans="2:9" ht="12.75" customHeight="1" x14ac:dyDescent="0.2">
      <c r="B45" s="1419" t="s">
        <v>2062</v>
      </c>
      <c r="D45" s="2459">
        <v>0</v>
      </c>
      <c r="E45" s="246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61"/>
      <c r="F49" s="2461"/>
      <c r="G49" s="246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Fremont SD 79</v>
      </c>
      <c r="C1" s="2466"/>
      <c r="D1" s="2466"/>
      <c r="E1" s="2466"/>
      <c r="F1" s="2466"/>
      <c r="G1" s="2466"/>
      <c r="H1" s="2466"/>
      <c r="I1" s="2466"/>
      <c r="J1" s="2466"/>
      <c r="K1" s="2466"/>
      <c r="L1" s="1371"/>
      <c r="M1" s="1371"/>
    </row>
    <row r="2" spans="1:13" ht="12" customHeight="1" x14ac:dyDescent="0.2">
      <c r="B2" s="2468">
        <f>'Single Audit Cover'!E7</f>
        <v>34049079002</v>
      </c>
      <c r="C2" s="2468"/>
      <c r="D2" s="2468"/>
      <c r="E2" s="2468"/>
      <c r="F2" s="2468"/>
      <c r="G2" s="2468"/>
      <c r="H2" s="2468"/>
      <c r="I2" s="2468"/>
      <c r="J2" s="2468"/>
      <c r="K2" s="2468"/>
      <c r="L2" s="1372"/>
      <c r="M2" s="1373"/>
    </row>
    <row r="3" spans="1:13" ht="10.35" customHeight="1" x14ac:dyDescent="0.2">
      <c r="B3" s="2482" t="s">
        <v>1285</v>
      </c>
      <c r="C3" s="2482"/>
      <c r="D3" s="2482"/>
      <c r="E3" s="2482"/>
      <c r="F3" s="2482"/>
      <c r="G3" s="2482"/>
      <c r="H3" s="2482"/>
      <c r="I3" s="2482"/>
      <c r="J3" s="2482"/>
      <c r="K3" s="2482"/>
      <c r="L3" s="1374"/>
      <c r="M3" s="1374"/>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5"/>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1"/>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0"/>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0"/>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Fremont SD 79</v>
      </c>
      <c r="C1" s="2489"/>
      <c r="D1" s="2489"/>
      <c r="E1" s="2489"/>
      <c r="F1" s="2489"/>
      <c r="G1" s="2489"/>
      <c r="H1" s="2489"/>
      <c r="I1" s="2489"/>
      <c r="J1" s="2489"/>
      <c r="K1" s="2489"/>
      <c r="L1" s="1449"/>
    </row>
    <row r="2" spans="1:12" ht="12.75" customHeight="1" x14ac:dyDescent="0.2">
      <c r="B2" s="2490">
        <f>'Single Audit Cover'!E7</f>
        <v>34049079002</v>
      </c>
      <c r="C2" s="2490"/>
      <c r="D2" s="2490"/>
      <c r="E2" s="2490"/>
      <c r="F2" s="2490"/>
      <c r="G2" s="2490"/>
      <c r="H2" s="2490"/>
      <c r="I2" s="2490"/>
      <c r="J2" s="2490"/>
      <c r="K2" s="2490"/>
      <c r="L2" s="1450"/>
    </row>
    <row r="3" spans="1:12" ht="12.75" customHeight="1" x14ac:dyDescent="0.2">
      <c r="B3" s="2482" t="s">
        <v>1285</v>
      </c>
      <c r="C3" s="2482"/>
      <c r="D3" s="2482"/>
      <c r="E3" s="2482"/>
      <c r="F3" s="2482"/>
      <c r="G3" s="2482"/>
      <c r="H3" s="2482"/>
      <c r="I3" s="2482"/>
      <c r="J3" s="2482"/>
      <c r="K3" s="2482"/>
      <c r="L3" s="1374"/>
    </row>
    <row r="4" spans="1:12" ht="12.75" customHeight="1" x14ac:dyDescent="0.2">
      <c r="B4" s="2482" t="str">
        <f>'Single Audit Cover'!A4</f>
        <v>Year Ending June 30, 2019</v>
      </c>
      <c r="C4" s="2482"/>
      <c r="D4" s="2482"/>
      <c r="E4" s="2482"/>
      <c r="F4" s="2482"/>
      <c r="G4" s="2482"/>
      <c r="H4" s="2482"/>
      <c r="I4" s="2482"/>
      <c r="J4" s="2482"/>
      <c r="K4" s="2482"/>
      <c r="L4" s="1374"/>
    </row>
    <row r="5" spans="1:12" ht="5.25" customHeight="1" x14ac:dyDescent="0.2">
      <c r="B5" s="1257" t="s">
        <v>1169</v>
      </c>
      <c r="C5" s="1257"/>
      <c r="L5" s="322"/>
    </row>
    <row r="6" spans="1:12" ht="30.75" customHeight="1" x14ac:dyDescent="0.2">
      <c r="A6" s="322"/>
      <c r="B6" s="2491" t="s">
        <v>1308</v>
      </c>
      <c r="C6" s="2491"/>
      <c r="D6" s="2491"/>
      <c r="E6" s="2491"/>
      <c r="F6" s="2491"/>
      <c r="G6" s="2491"/>
      <c r="H6" s="2491"/>
      <c r="I6" s="2491"/>
      <c r="J6" s="2491"/>
      <c r="K6" s="249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3"/>
      <c r="G12" s="2473"/>
      <c r="H12" s="2473"/>
      <c r="I12" s="2473"/>
      <c r="J12" s="2473"/>
      <c r="K12" s="247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6"/>
      <c r="E14" s="2486"/>
      <c r="F14" s="2486"/>
      <c r="H14" s="1459" t="s">
        <v>1303</v>
      </c>
      <c r="I14" s="2487"/>
      <c r="J14" s="2487"/>
      <c r="K14" s="248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7"/>
      <c r="E16" s="2487"/>
      <c r="F16" s="2487"/>
      <c r="G16" s="2487"/>
      <c r="H16" s="2487"/>
      <c r="I16" s="2487"/>
      <c r="J16" s="2487"/>
      <c r="K16" s="2487"/>
      <c r="L16" s="322"/>
    </row>
    <row r="17" spans="2:12" ht="13.5" customHeight="1" x14ac:dyDescent="0.2">
      <c r="B17" s="1384" t="s">
        <v>1301</v>
      </c>
      <c r="C17" s="1384"/>
      <c r="D17" s="2488"/>
      <c r="E17" s="2488"/>
      <c r="F17" s="2488"/>
      <c r="G17" s="2488"/>
      <c r="H17" s="2488"/>
      <c r="I17" s="2488"/>
      <c r="J17" s="2488"/>
      <c r="K17" s="248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1"/>
      <c r="C20" s="2481"/>
      <c r="D20" s="2481"/>
      <c r="E20" s="2481"/>
      <c r="F20" s="2481"/>
      <c r="G20" s="2481"/>
      <c r="H20" s="2481"/>
      <c r="I20" s="2481"/>
      <c r="J20" s="2481"/>
      <c r="K20" s="248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6" t="str">
        <f>'Single Audit Cover'!A7</f>
        <v>Fremont SD 79</v>
      </c>
      <c r="C1" s="2466"/>
      <c r="D1" s="2466"/>
      <c r="E1" s="1469"/>
    </row>
    <row r="2" spans="2:5" s="1279" customFormat="1" ht="12.75" customHeight="1" x14ac:dyDescent="0.2">
      <c r="B2" s="2468">
        <f>'Single Audit Cover'!E7</f>
        <v>34049079002</v>
      </c>
      <c r="C2" s="2468"/>
      <c r="D2" s="2468"/>
      <c r="E2" s="1470"/>
    </row>
    <row r="3" spans="2:5" ht="12.75" customHeight="1" x14ac:dyDescent="0.2">
      <c r="B3" s="2482" t="s">
        <v>1766</v>
      </c>
      <c r="C3" s="2482"/>
      <c r="D3" s="2482"/>
      <c r="E3" s="1271"/>
    </row>
    <row r="4" spans="2:5" s="1279" customFormat="1" ht="12.75" customHeight="1" x14ac:dyDescent="0.2">
      <c r="B4" s="2492" t="str">
        <f>'Single Audit Cover'!A4</f>
        <v>Year Ending June 30, 2019</v>
      </c>
      <c r="C4" s="2492"/>
      <c r="D4" s="2492"/>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T23" sqref="T23:W2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386</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877762740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2.31039E-2</v>
      </c>
      <c r="E10" s="356" t="s">
        <v>1005</v>
      </c>
      <c r="F10" s="355">
        <v>2.85542E-3</v>
      </c>
      <c r="G10" s="356" t="s">
        <v>1005</v>
      </c>
      <c r="H10" s="355">
        <v>1.4034500000000001E-3</v>
      </c>
      <c r="I10" s="356" t="s">
        <v>1006</v>
      </c>
      <c r="J10" s="1732">
        <f>ROUND(D10+F10+H10,5)</f>
        <v>2.7359999999999999E-2</v>
      </c>
      <c r="K10" s="222"/>
      <c r="L10" s="355">
        <v>0</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26927127</v>
      </c>
      <c r="E16" s="356"/>
      <c r="F16" s="1733">
        <f>SUM('Acct Summary 7-8'!C17,'Acct Summary 7-8'!D17,'Acct Summary 7-8'!F17)</f>
        <v>28361972</v>
      </c>
      <c r="G16" s="356"/>
      <c r="H16" s="1733">
        <f>SUM(D16-F16)</f>
        <v>-1434845</v>
      </c>
      <c r="I16" s="222"/>
      <c r="J16" s="1733">
        <f>SUM('Acct Summary 7-8'!C81,'Acct Summary 7-8'!D81,'Acct Summary 7-8'!F81,'Acct Summary 7-8'!I81)</f>
        <v>28504488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35">
        <f>IF(B31="X",(J7*0.069),IF(B32="X",(J7*0.138),"Enter x in a.or b."))</f>
        <v>60565629.060000002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14431409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D1" zoomScale="110" zoomScaleNormal="110" workbookViewId="0">
      <selection activeCell="T23" sqref="T23:W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1413</v>
      </c>
      <c r="B3" s="2110"/>
      <c r="C3" s="2110"/>
      <c r="D3" s="2110"/>
      <c r="E3" s="2110"/>
      <c r="F3" s="2110"/>
      <c r="G3" s="2110"/>
      <c r="H3" s="2110"/>
      <c r="I3" s="2110"/>
      <c r="J3" s="2110"/>
      <c r="K3" s="2110"/>
      <c r="L3" s="2110"/>
      <c r="M3" s="2110"/>
      <c r="N3" s="2110"/>
      <c r="O3" s="2110"/>
      <c r="P3" s="2110"/>
      <c r="Q3" s="2110"/>
      <c r="R3" s="2110"/>
    </row>
    <row r="4" spans="1:18" x14ac:dyDescent="0.2">
      <c r="A4" s="2111" t="s">
        <v>1554</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Fremont SD 79</v>
      </c>
      <c r="E7" s="391"/>
      <c r="G7" s="252"/>
      <c r="H7" s="387"/>
      <c r="I7" s="387"/>
      <c r="J7" s="387"/>
      <c r="K7" s="387"/>
      <c r="L7" s="329"/>
      <c r="M7" s="329"/>
      <c r="N7" s="329"/>
      <c r="O7" s="329"/>
      <c r="P7" s="329"/>
    </row>
    <row r="8" spans="1:18" ht="12.75" x14ac:dyDescent="0.2">
      <c r="A8" s="329"/>
      <c r="B8" s="329"/>
      <c r="C8" s="389" t="s">
        <v>1125</v>
      </c>
      <c r="D8" s="392">
        <f>COVER!A13</f>
        <v>34049079002</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28504488</v>
      </c>
      <c r="I12" s="404"/>
      <c r="J12" s="404"/>
      <c r="K12" s="405">
        <f>TRUNC((H12/H13*100000),5)/100000</f>
        <v>1.0585788821</v>
      </c>
      <c r="L12" s="406"/>
      <c r="M12" s="360" t="s">
        <v>1144</v>
      </c>
      <c r="N12" s="360"/>
      <c r="O12" s="407">
        <v>0.35</v>
      </c>
      <c r="P12" s="218"/>
      <c r="Q12" s="218"/>
    </row>
    <row r="13" spans="1:18" s="408" customFormat="1" ht="12.75" x14ac:dyDescent="0.2">
      <c r="A13" s="218"/>
      <c r="B13" s="401"/>
      <c r="C13" s="2107" t="s">
        <v>1324</v>
      </c>
      <c r="D13" s="2108"/>
      <c r="E13" s="218"/>
      <c r="F13" s="409" t="s">
        <v>793</v>
      </c>
      <c r="G13" s="402"/>
      <c r="H13" s="403">
        <f>SUM('Acct Summary 7-8'!C8+'Acct Summary 7-8'!D8+'Acct Summary 7-8'!F8+'Acct Summary 7-8'!I8)+H14</f>
        <v>26927127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28361972</v>
      </c>
      <c r="I17" s="404"/>
      <c r="J17" s="416"/>
      <c r="K17" s="405">
        <f>TRUNC((H17/H18*100000),5)/100000</f>
        <v>1.0532862269000001</v>
      </c>
      <c r="L17" s="406"/>
      <c r="M17" s="417" t="s">
        <v>1171</v>
      </c>
      <c r="O17" s="418" t="str">
        <f>IF(AND(O16="2", J20 &gt; 2),"1",IF(AND(O16 = "1", J20 &gt; 2),"2",IF(AND(O16="1", J20 &gt;1),"1","0")))</f>
        <v>0</v>
      </c>
      <c r="P17" s="218"/>
    </row>
    <row r="18" spans="1:18" s="408" customFormat="1" ht="11.25" x14ac:dyDescent="0.2">
      <c r="A18" s="218"/>
      <c r="B18" s="401"/>
      <c r="C18" s="2107" t="s">
        <v>1317</v>
      </c>
      <c r="D18" s="2108"/>
      <c r="E18" s="218"/>
      <c r="F18" s="419" t="s">
        <v>794</v>
      </c>
      <c r="G18" s="402"/>
      <c r="H18" s="403">
        <f>SUM('Acct Summary 7-8'!C8+'Acct Summary 7-8'!D8+'Acct Summary 7-8'!F8+'Acct Summary 7-8'!I8)+H19</f>
        <v>26927127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17.989242900000001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4" t="s">
        <v>1412</v>
      </c>
      <c r="D24" s="2104"/>
      <c r="E24" s="218"/>
      <c r="F24" s="218" t="s">
        <v>445</v>
      </c>
      <c r="G24" s="402"/>
      <c r="H24" s="403">
        <f>SUM('Assets-Liab 5-6'!C4+'Assets-Liab 5-6'!D4+'Assets-Liab 5-6'!F4+'Assets-Liab 5-6'!I4+'Assets-Liab 5-6'!C5+'Assets-Liab 5-6'!D5+'Assets-Liab 5-6'!F5+'Assets-Liab 5-6'!I5)</f>
        <v>27036537</v>
      </c>
      <c r="I24" s="422"/>
      <c r="J24" s="422"/>
      <c r="K24" s="423">
        <f>TRUNC(((H24/H25*100000)/100000),2)</f>
        <v>343.17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78783.255560000005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20413250.281440001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14431409</v>
      </c>
      <c r="I32" s="420"/>
      <c r="J32" s="420"/>
      <c r="K32" s="423">
        <f>TRUNC(100-((((H32/H33*100))*100)/100),2)</f>
        <v>76.17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60565629.060000002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Normal="100" workbookViewId="0">
      <pane xSplit="2" ySplit="3" topLeftCell="K32" activePane="bottomRight" state="frozen"/>
      <selection activeCell="T23" sqref="T23:W23"/>
      <selection pane="topRight" activeCell="T23" sqref="T23:W23"/>
      <selection pane="bottomLeft" activeCell="T23" sqref="T23:W23"/>
      <selection pane="bottomRight" activeCell="T23" sqref="T23:W2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4" t="s">
        <v>973</v>
      </c>
      <c r="B3" s="2115"/>
      <c r="C3" s="1559"/>
      <c r="D3" s="1560"/>
      <c r="E3" s="1560"/>
      <c r="F3" s="1560"/>
      <c r="G3" s="1560"/>
      <c r="H3" s="1560"/>
      <c r="I3" s="1560"/>
      <c r="J3" s="1560"/>
      <c r="K3" s="1560"/>
      <c r="L3" s="1560"/>
      <c r="M3" s="1561"/>
      <c r="N3" s="1562"/>
    </row>
    <row r="4" spans="1:14" ht="13.5" customHeight="1" x14ac:dyDescent="0.2">
      <c r="A4" s="463" t="s">
        <v>1651</v>
      </c>
      <c r="B4" s="464"/>
      <c r="C4" s="465">
        <v>20879604</v>
      </c>
      <c r="D4" s="466">
        <v>2936702</v>
      </c>
      <c r="E4" s="466">
        <v>2170283</v>
      </c>
      <c r="F4" s="466">
        <v>1899617</v>
      </c>
      <c r="G4" s="466">
        <f>466327-240110</f>
        <v>226217</v>
      </c>
      <c r="H4" s="466">
        <v>779932</v>
      </c>
      <c r="I4" s="466">
        <v>1320614</v>
      </c>
      <c r="J4" s="467"/>
      <c r="K4" s="466">
        <v>18013</v>
      </c>
      <c r="L4" s="466">
        <v>1021527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v>10126569</v>
      </c>
      <c r="D6" s="466">
        <v>1251544</v>
      </c>
      <c r="E6" s="466">
        <v>1534076</v>
      </c>
      <c r="F6" s="466">
        <v>615139</v>
      </c>
      <c r="G6" s="471">
        <f>271968+121586</f>
        <v>393554</v>
      </c>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f>9173+224578</f>
        <v>233751</v>
      </c>
      <c r="D8" s="467"/>
      <c r="E8" s="467"/>
      <c r="F8" s="467">
        <v>352916</v>
      </c>
      <c r="G8" s="478">
        <v>6500</v>
      </c>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31239924</v>
      </c>
      <c r="D13" s="1737">
        <f t="shared" ref="D13:L13" si="0">SUM(D4:D12)</f>
        <v>4188246</v>
      </c>
      <c r="E13" s="1737">
        <f t="shared" si="0"/>
        <v>3704359</v>
      </c>
      <c r="F13" s="1737">
        <f t="shared" si="0"/>
        <v>2867672</v>
      </c>
      <c r="G13" s="1737">
        <f t="shared" si="0"/>
        <v>626271</v>
      </c>
      <c r="H13" s="1737">
        <f t="shared" si="0"/>
        <v>779932</v>
      </c>
      <c r="I13" s="1737">
        <f t="shared" si="0"/>
        <v>1320614</v>
      </c>
      <c r="J13" s="1737">
        <f t="shared" si="0"/>
        <v>0</v>
      </c>
      <c r="K13" s="1737">
        <f t="shared" si="0"/>
        <v>18013</v>
      </c>
      <c r="L13" s="1737">
        <f t="shared" si="0"/>
        <v>1021527</v>
      </c>
      <c r="M13" s="468"/>
      <c r="N13" s="469"/>
    </row>
    <row r="14" spans="1:14" ht="18" customHeight="1" thickTop="1" x14ac:dyDescent="0.2">
      <c r="A14" s="2116" t="s">
        <v>147</v>
      </c>
      <c r="B14" s="2117"/>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4698697</v>
      </c>
      <c r="N16" s="484"/>
    </row>
    <row r="17" spans="1:14" s="485" customFormat="1" ht="12.75" customHeight="1" x14ac:dyDescent="0.2">
      <c r="A17" s="482" t="s">
        <v>1403</v>
      </c>
      <c r="B17" s="483">
        <v>230</v>
      </c>
      <c r="C17" s="477"/>
      <c r="D17" s="477"/>
      <c r="E17" s="477"/>
      <c r="F17" s="477"/>
      <c r="G17" s="477"/>
      <c r="H17" s="477"/>
      <c r="I17" s="477"/>
      <c r="J17" s="477"/>
      <c r="K17" s="477"/>
      <c r="L17" s="477"/>
      <c r="M17" s="467">
        <v>53363883</v>
      </c>
      <c r="N17" s="484"/>
    </row>
    <row r="18" spans="1:14" s="485" customFormat="1" ht="12.75" customHeight="1" x14ac:dyDescent="0.2">
      <c r="A18" s="482" t="s">
        <v>1404</v>
      </c>
      <c r="B18" s="483">
        <v>240</v>
      </c>
      <c r="C18" s="477"/>
      <c r="D18" s="477"/>
      <c r="E18" s="477"/>
      <c r="F18" s="477"/>
      <c r="G18" s="477"/>
      <c r="H18" s="477"/>
      <c r="I18" s="477"/>
      <c r="J18" s="477"/>
      <c r="K18" s="477"/>
      <c r="L18" s="477"/>
      <c r="M18" s="467">
        <v>4057493</v>
      </c>
      <c r="N18" s="484"/>
    </row>
    <row r="19" spans="1:14" s="485" customFormat="1" ht="12.75" customHeight="1" x14ac:dyDescent="0.2">
      <c r="A19" s="482" t="s">
        <v>1405</v>
      </c>
      <c r="B19" s="483">
        <v>250</v>
      </c>
      <c r="C19" s="477"/>
      <c r="D19" s="477"/>
      <c r="E19" s="477"/>
      <c r="F19" s="477"/>
      <c r="G19" s="477"/>
      <c r="H19" s="477"/>
      <c r="I19" s="477"/>
      <c r="J19" s="477"/>
      <c r="K19" s="477"/>
      <c r="L19" s="477"/>
      <c r="M19" s="467">
        <f>5168624+2936173</f>
        <v>8104797</v>
      </c>
      <c r="N19" s="484"/>
    </row>
    <row r="20" spans="1:14" s="485" customFormat="1" ht="12.75" customHeight="1" x14ac:dyDescent="0.2">
      <c r="A20" s="482" t="s">
        <v>1406</v>
      </c>
      <c r="B20" s="483">
        <v>260</v>
      </c>
      <c r="C20" s="477"/>
      <c r="D20" s="477"/>
      <c r="E20" s="477"/>
      <c r="F20" s="477"/>
      <c r="G20" s="477"/>
      <c r="H20" s="477"/>
      <c r="I20" s="477"/>
      <c r="J20" s="477"/>
      <c r="K20" s="477"/>
      <c r="L20" s="477"/>
      <c r="M20" s="467">
        <v>394682</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2305329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12126080</v>
      </c>
    </row>
    <row r="23" spans="1:14" ht="13.5" customHeight="1" thickBot="1" x14ac:dyDescent="0.25">
      <c r="A23" s="1736" t="s">
        <v>643</v>
      </c>
      <c r="B23" s="1741"/>
      <c r="C23" s="468"/>
      <c r="D23" s="468"/>
      <c r="E23" s="468"/>
      <c r="F23" s="468"/>
      <c r="G23" s="468"/>
      <c r="H23" s="468"/>
      <c r="I23" s="468"/>
      <c r="J23" s="468"/>
      <c r="K23" s="468"/>
      <c r="L23" s="468"/>
      <c r="M23" s="1688">
        <f>SUM(M15:M22)</f>
        <v>70619552</v>
      </c>
      <c r="N23" s="1688">
        <f>SUM(N21:N22)</f>
        <v>14431409</v>
      </c>
    </row>
    <row r="24" spans="1:14" ht="18" customHeight="1" thickTop="1" x14ac:dyDescent="0.2">
      <c r="A24" s="2118" t="s">
        <v>598</v>
      </c>
      <c r="B24" s="2119"/>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f>140398+884</f>
        <v>141282</v>
      </c>
      <c r="D27" s="467">
        <v>28959</v>
      </c>
      <c r="E27" s="467"/>
      <c r="F27" s="467">
        <v>4250</v>
      </c>
      <c r="G27" s="467">
        <v>-57</v>
      </c>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9235119</v>
      </c>
      <c r="D32" s="492">
        <v>1141370</v>
      </c>
      <c r="E32" s="474">
        <v>1399030</v>
      </c>
      <c r="F32" s="474">
        <v>560988</v>
      </c>
      <c r="G32" s="474">
        <f>248027+110882</f>
        <v>358909</v>
      </c>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1021527</v>
      </c>
      <c r="M33" s="468"/>
      <c r="N33" s="469"/>
    </row>
    <row r="34" spans="1:14" ht="13.5" customHeight="1" thickBot="1" x14ac:dyDescent="0.25">
      <c r="A34" s="1738" t="s">
        <v>654</v>
      </c>
      <c r="B34" s="1739"/>
      <c r="C34" s="1740">
        <f>SUM(C25:C33)</f>
        <v>9376401</v>
      </c>
      <c r="D34" s="1740">
        <f t="shared" ref="D34:K34" si="1">SUM(D25:D33)</f>
        <v>1170329</v>
      </c>
      <c r="E34" s="1740">
        <f t="shared" si="1"/>
        <v>1399030</v>
      </c>
      <c r="F34" s="1740">
        <f t="shared" si="1"/>
        <v>565238</v>
      </c>
      <c r="G34" s="1740">
        <f t="shared" si="1"/>
        <v>358852</v>
      </c>
      <c r="H34" s="1740">
        <f t="shared" si="1"/>
        <v>0</v>
      </c>
      <c r="I34" s="1740">
        <f t="shared" si="1"/>
        <v>0</v>
      </c>
      <c r="J34" s="1740">
        <f t="shared" si="1"/>
        <v>0</v>
      </c>
      <c r="K34" s="1740">
        <f t="shared" si="1"/>
        <v>0</v>
      </c>
      <c r="L34" s="1721">
        <f>SUM(L33)</f>
        <v>1021527</v>
      </c>
      <c r="M34" s="468"/>
      <c r="N34" s="480"/>
    </row>
    <row r="35" spans="1:14" ht="18" customHeight="1" thickTop="1" x14ac:dyDescent="0.2">
      <c r="A35" s="2120" t="s">
        <v>529</v>
      </c>
      <c r="B35" s="212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14431409</v>
      </c>
    </row>
    <row r="37" spans="1:14" ht="13.5" thickBot="1" x14ac:dyDescent="0.25">
      <c r="A37" s="1736" t="s">
        <v>653</v>
      </c>
      <c r="B37" s="1741"/>
      <c r="C37" s="477"/>
      <c r="D37" s="477"/>
      <c r="E37" s="477"/>
      <c r="F37" s="477"/>
      <c r="G37" s="477"/>
      <c r="H37" s="477"/>
      <c r="I37" s="477"/>
      <c r="J37" s="477"/>
      <c r="K37" s="477"/>
      <c r="L37" s="480"/>
      <c r="M37" s="468"/>
      <c r="N37" s="1688">
        <f>SUM(N36:N36)</f>
        <v>14431409</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21863523</v>
      </c>
      <c r="D39" s="466">
        <v>3017917</v>
      </c>
      <c r="E39" s="466">
        <v>2305329</v>
      </c>
      <c r="F39" s="466">
        <v>2302434</v>
      </c>
      <c r="G39" s="466">
        <v>267419</v>
      </c>
      <c r="H39" s="466">
        <v>779932</v>
      </c>
      <c r="I39" s="466">
        <v>1320614</v>
      </c>
      <c r="J39" s="467"/>
      <c r="K39" s="466">
        <v>18013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70619552</v>
      </c>
      <c r="N40" s="497"/>
    </row>
    <row r="41" spans="1:14" ht="13.5" customHeight="1" thickBot="1" x14ac:dyDescent="0.25">
      <c r="A41" s="1736" t="s">
        <v>655</v>
      </c>
      <c r="B41" s="1706"/>
      <c r="C41" s="1688">
        <f>(SUM(C34,C37,C38,C39))</f>
        <v>31239924</v>
      </c>
      <c r="D41" s="1688">
        <f t="shared" ref="D41:L41" si="2">SUM(D34,D37,D38:D39)</f>
        <v>4188246</v>
      </c>
      <c r="E41" s="1688">
        <f t="shared" si="2"/>
        <v>3704359</v>
      </c>
      <c r="F41" s="1688">
        <f t="shared" si="2"/>
        <v>2867672</v>
      </c>
      <c r="G41" s="1688">
        <f t="shared" si="2"/>
        <v>626271</v>
      </c>
      <c r="H41" s="1688">
        <f t="shared" si="2"/>
        <v>779932</v>
      </c>
      <c r="I41" s="1688">
        <f t="shared" si="2"/>
        <v>1320614</v>
      </c>
      <c r="J41" s="1688">
        <f t="shared" si="2"/>
        <v>0</v>
      </c>
      <c r="K41" s="1688">
        <f t="shared" si="2"/>
        <v>18013</v>
      </c>
      <c r="L41" s="1688">
        <f t="shared" si="2"/>
        <v>1021527</v>
      </c>
      <c r="M41" s="1688">
        <f>SUM(M40)</f>
        <v>70619552</v>
      </c>
      <c r="N41" s="1688">
        <f>SUM(N37)</f>
        <v>14431409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26" activePane="bottomLeft" state="frozen"/>
      <selection activeCell="T23" sqref="T23:W23"/>
      <selection pane="bottomLeft" activeCell="T23" sqref="T23:W2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2" t="s">
        <v>1175</v>
      </c>
      <c r="B3" s="2143"/>
      <c r="C3" s="1573"/>
      <c r="D3" s="1574"/>
      <c r="E3" s="1574"/>
      <c r="F3" s="1574"/>
      <c r="G3" s="1574"/>
      <c r="H3" s="1574"/>
      <c r="I3" s="1574"/>
      <c r="J3" s="1574"/>
      <c r="K3" s="1575"/>
      <c r="L3" s="506"/>
    </row>
    <row r="4" spans="1:13" ht="15.75" customHeight="1" x14ac:dyDescent="0.2">
      <c r="A4" s="1928" t="s">
        <v>1499</v>
      </c>
      <c r="B4" s="1929">
        <v>1000</v>
      </c>
      <c r="C4" s="1742">
        <f>'Revenues 9-14'!C109</f>
        <v>20301452</v>
      </c>
      <c r="D4" s="1742">
        <f>'Revenues 9-14'!D109</f>
        <v>2460738</v>
      </c>
      <c r="E4" s="1742">
        <f>'Revenues 9-14'!E109</f>
        <v>2857205</v>
      </c>
      <c r="F4" s="1742">
        <f>'Revenues 9-14'!F109</f>
        <v>1389595</v>
      </c>
      <c r="G4" s="1742">
        <f>'Revenues 9-14'!G109</f>
        <v>735873</v>
      </c>
      <c r="H4" s="1742">
        <f>'Revenues 9-14'!H109</f>
        <v>306054</v>
      </c>
      <c r="I4" s="1742">
        <f>'Revenues 9-14'!I109</f>
        <v>38823</v>
      </c>
      <c r="J4" s="1742">
        <f>'Revenues 9-14'!J109</f>
        <v>0</v>
      </c>
      <c r="K4" s="1742">
        <f>'Revenues 9-14'!K109</f>
        <v>394</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1206484</v>
      </c>
      <c r="D6" s="1743">
        <f>'Revenues 9-14'!D170</f>
        <v>0</v>
      </c>
      <c r="E6" s="1743">
        <f>'Revenues 9-14'!E170</f>
        <v>0</v>
      </c>
      <c r="F6" s="1743">
        <f>'Revenues 9-14'!F170</f>
        <v>984516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545519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22053455</v>
      </c>
      <c r="D8" s="1688">
        <f t="shared" ref="D8:K8" si="0">SUM(D4:D7)</f>
        <v>2460738</v>
      </c>
      <c r="E8" s="1688">
        <f t="shared" si="0"/>
        <v>2857205</v>
      </c>
      <c r="F8" s="1688">
        <f t="shared" si="0"/>
        <v>2374111</v>
      </c>
      <c r="G8" s="1688">
        <f t="shared" si="0"/>
        <v>735873</v>
      </c>
      <c r="H8" s="1688">
        <f t="shared" si="0"/>
        <v>306054</v>
      </c>
      <c r="I8" s="1688">
        <f t="shared" si="0"/>
        <v>38823</v>
      </c>
      <c r="J8" s="1688">
        <f t="shared" si="0"/>
        <v>0</v>
      </c>
      <c r="K8" s="1688">
        <f t="shared" si="0"/>
        <v>394</v>
      </c>
      <c r="L8" s="347"/>
    </row>
    <row r="9" spans="1:13" ht="15.75" thickTop="1" x14ac:dyDescent="0.2">
      <c r="A9" s="514" t="s">
        <v>1653</v>
      </c>
      <c r="B9" s="515">
        <v>3998</v>
      </c>
      <c r="C9" s="481">
        <v>9051993</v>
      </c>
      <c r="D9" s="516"/>
      <c r="E9" s="481"/>
      <c r="F9" s="481"/>
      <c r="G9" s="517"/>
      <c r="H9" s="481"/>
      <c r="I9" s="509" t="s">
        <v>1169</v>
      </c>
      <c r="J9" s="478"/>
      <c r="K9" s="481"/>
      <c r="L9" s="347"/>
    </row>
    <row r="10" spans="1:13" s="519" customFormat="1" ht="13.5" thickBot="1" x14ac:dyDescent="0.25">
      <c r="A10" s="1736" t="s">
        <v>1173</v>
      </c>
      <c r="B10" s="1709"/>
      <c r="C10" s="1688">
        <f>SUM(C8:C9)</f>
        <v>31105448</v>
      </c>
      <c r="D10" s="1688">
        <f t="shared" ref="D10:K10" si="1">SUM(D8:D9)</f>
        <v>2460738</v>
      </c>
      <c r="E10" s="1688">
        <f t="shared" si="1"/>
        <v>2857205</v>
      </c>
      <c r="F10" s="1688">
        <f t="shared" si="1"/>
        <v>2374111</v>
      </c>
      <c r="G10" s="1688">
        <f t="shared" si="1"/>
        <v>735873</v>
      </c>
      <c r="H10" s="1688">
        <f t="shared" si="1"/>
        <v>306054</v>
      </c>
      <c r="I10" s="1688">
        <f t="shared" si="1"/>
        <v>38823</v>
      </c>
      <c r="J10" s="1688">
        <f t="shared" si="1"/>
        <v>0</v>
      </c>
      <c r="K10" s="1688">
        <f t="shared" si="1"/>
        <v>394</v>
      </c>
      <c r="L10" s="518"/>
    </row>
    <row r="11" spans="1:13" s="519" customFormat="1" ht="16.7" customHeight="1" thickTop="1" x14ac:dyDescent="0.2">
      <c r="A11" s="2116" t="s">
        <v>1176</v>
      </c>
      <c r="B11" s="2117"/>
      <c r="C11" s="1570"/>
      <c r="D11" s="1571"/>
      <c r="E11" s="1571"/>
      <c r="F11" s="1571"/>
      <c r="G11" s="1571"/>
      <c r="H11" s="1571"/>
      <c r="I11" s="1571"/>
      <c r="J11" s="1571"/>
      <c r="K11" s="1572"/>
      <c r="L11" s="518"/>
    </row>
    <row r="12" spans="1:13" ht="15.75" customHeight="1" x14ac:dyDescent="0.2">
      <c r="A12" s="1576" t="s">
        <v>456</v>
      </c>
      <c r="B12" s="1578">
        <v>1000</v>
      </c>
      <c r="C12" s="1742">
        <f>'Expenditures 15-22'!K33</f>
        <v>14856136</v>
      </c>
      <c r="D12" s="520" t="s">
        <v>1169</v>
      </c>
      <c r="E12" s="468" t="s">
        <v>1169</v>
      </c>
      <c r="F12" s="468" t="s">
        <v>1169</v>
      </c>
      <c r="G12" s="1742">
        <f>'Expenditures 15-22'!K229</f>
        <v>263774</v>
      </c>
      <c r="H12" s="521"/>
      <c r="I12" s="468" t="s">
        <v>1169</v>
      </c>
      <c r="J12" s="468" t="s">
        <v>1169</v>
      </c>
      <c r="K12" s="521" t="s">
        <v>1169</v>
      </c>
      <c r="L12" s="347"/>
    </row>
    <row r="13" spans="1:13" ht="15.75" customHeight="1" x14ac:dyDescent="0.2">
      <c r="A13" s="1576" t="s">
        <v>457</v>
      </c>
      <c r="B13" s="1578">
        <v>2000</v>
      </c>
      <c r="C13" s="1743">
        <f>'Expenditures 15-22'!K74</f>
        <v>7125143</v>
      </c>
      <c r="D13" s="1743">
        <f>'Expenditures 15-22'!K129</f>
        <v>2400600</v>
      </c>
      <c r="E13" s="469" t="s">
        <v>1169</v>
      </c>
      <c r="F13" s="1743">
        <f>'Expenditures 15-22'!K184</f>
        <v>2588914</v>
      </c>
      <c r="G13" s="1743">
        <f>'Expenditures 15-22'!K279</f>
        <v>441781</v>
      </c>
      <c r="H13" s="1743">
        <f>'Expenditures 15-22'!K303</f>
        <v>3549754</v>
      </c>
      <c r="I13" s="468" t="s">
        <v>1169</v>
      </c>
      <c r="J13" s="1743">
        <f>'Expenditures 15-22'!K330</f>
        <v>0</v>
      </c>
      <c r="K13" s="1747">
        <f>'Expenditures 15-22'!K352</f>
        <v>0</v>
      </c>
      <c r="L13" s="347"/>
    </row>
    <row r="14" spans="1:13" ht="15.75" customHeight="1" x14ac:dyDescent="0.2">
      <c r="A14" s="1576" t="s">
        <v>449</v>
      </c>
      <c r="B14" s="1578">
        <v>3000</v>
      </c>
      <c r="C14" s="1743">
        <f>'Expenditures 15-22'!K75</f>
        <v>2282</v>
      </c>
      <c r="D14" s="1743">
        <f>'Expenditures 15-22'!K130</f>
        <v>0</v>
      </c>
      <c r="E14" s="520" t="s">
        <v>1169</v>
      </c>
      <c r="F14" s="1743">
        <f>'Expenditures 15-22'!K185</f>
        <v>0</v>
      </c>
      <c r="G14" s="1743">
        <f>'Expenditures 15-22'!K280</f>
        <v>339</v>
      </c>
      <c r="H14" s="512"/>
      <c r="I14" s="468" t="s">
        <v>1169</v>
      </c>
      <c r="J14" s="468" t="s">
        <v>1169</v>
      </c>
      <c r="K14" s="512" t="s">
        <v>1169</v>
      </c>
      <c r="L14" s="347"/>
    </row>
    <row r="15" spans="1:13" ht="15.75" customHeight="1" x14ac:dyDescent="0.2">
      <c r="A15" s="1576" t="s">
        <v>107</v>
      </c>
      <c r="B15" s="1578">
        <v>4000</v>
      </c>
      <c r="C15" s="1743">
        <f>'Expenditures 15-22'!K102</f>
        <v>1112481</v>
      </c>
      <c r="D15" s="1743">
        <f>'Expenditures 15-22'!K139</f>
        <v>47593</v>
      </c>
      <c r="E15" s="1743">
        <f>'Expenditures 15-22'!K160</f>
        <v>0</v>
      </c>
      <c r="F15" s="1743">
        <f>'Expenditures 15-22'!K196</f>
        <v>0</v>
      </c>
      <c r="G15" s="1743">
        <f>'Expenditures 15-22'!K285</f>
        <v>61065</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3044550</v>
      </c>
      <c r="F16" s="1743">
        <f>'Expenditures 15-22'!K208</f>
        <v>228823</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23096042</v>
      </c>
      <c r="D17" s="1688">
        <f t="shared" si="2"/>
        <v>2448193</v>
      </c>
      <c r="E17" s="1688">
        <f t="shared" si="2"/>
        <v>3044550</v>
      </c>
      <c r="F17" s="1688">
        <f t="shared" si="2"/>
        <v>2817737</v>
      </c>
      <c r="G17" s="1688">
        <f t="shared" si="2"/>
        <v>766959</v>
      </c>
      <c r="H17" s="1688">
        <f t="shared" si="2"/>
        <v>3549754</v>
      </c>
      <c r="I17" s="468"/>
      <c r="J17" s="1688">
        <f>SUM(J12:J16)</f>
        <v>0</v>
      </c>
      <c r="K17" s="1688">
        <f>SUM(K12:K16)</f>
        <v>0</v>
      </c>
      <c r="L17" s="347"/>
    </row>
    <row r="18" spans="1:12" ht="15" customHeight="1" thickTop="1" x14ac:dyDescent="0.2">
      <c r="A18" s="1744" t="s">
        <v>1654</v>
      </c>
      <c r="B18" s="1745">
        <v>4180</v>
      </c>
      <c r="C18" s="1742">
        <f t="shared" ref="C18:H18" si="3">C9</f>
        <v>9051993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32148035</v>
      </c>
      <c r="D19" s="1688">
        <f t="shared" si="4"/>
        <v>2448193</v>
      </c>
      <c r="E19" s="1688">
        <f t="shared" si="4"/>
        <v>3044550</v>
      </c>
      <c r="F19" s="1688">
        <f t="shared" si="4"/>
        <v>2817737</v>
      </c>
      <c r="G19" s="1688">
        <f t="shared" si="4"/>
        <v>766959</v>
      </c>
      <c r="H19" s="1688">
        <f t="shared" si="4"/>
        <v>3549754</v>
      </c>
      <c r="I19" s="468"/>
      <c r="J19" s="1688">
        <f>SUM(J17:J18)</f>
        <v>0</v>
      </c>
      <c r="K19" s="1688">
        <f>SUM(K17:K18)</f>
        <v>0</v>
      </c>
      <c r="L19" s="347"/>
    </row>
    <row r="20" spans="1:12" ht="16.5" thickTop="1" thickBot="1" x14ac:dyDescent="0.25">
      <c r="A20" s="2132" t="s">
        <v>1655</v>
      </c>
      <c r="B20" s="2133"/>
      <c r="C20" s="1746">
        <f>C8-C17</f>
        <v>-1042587</v>
      </c>
      <c r="D20" s="1746">
        <f t="shared" ref="D20:K20" si="5">D8-D17</f>
        <v>12545</v>
      </c>
      <c r="E20" s="1746">
        <f t="shared" si="5"/>
        <v>-187345</v>
      </c>
      <c r="F20" s="1746">
        <f t="shared" si="5"/>
        <v>-443626</v>
      </c>
      <c r="G20" s="1746">
        <f t="shared" si="5"/>
        <v>-31086</v>
      </c>
      <c r="H20" s="1746">
        <f t="shared" si="5"/>
        <v>-3243700</v>
      </c>
      <c r="I20" s="1746">
        <f t="shared" si="5"/>
        <v>38823</v>
      </c>
      <c r="J20" s="1746">
        <f t="shared" si="5"/>
        <v>0</v>
      </c>
      <c r="K20" s="1746">
        <f t="shared" si="5"/>
        <v>394</v>
      </c>
      <c r="L20" s="347"/>
    </row>
    <row r="21" spans="1:12" ht="16.7" customHeight="1" thickTop="1" x14ac:dyDescent="0.2">
      <c r="A21" s="2144" t="s">
        <v>595</v>
      </c>
      <c r="B21" s="2145"/>
      <c r="C21" s="1570"/>
      <c r="D21" s="1571"/>
      <c r="E21" s="1571"/>
      <c r="F21" s="1571"/>
      <c r="G21" s="1571"/>
      <c r="H21" s="1571"/>
      <c r="I21" s="1571"/>
      <c r="J21" s="1571"/>
      <c r="K21" s="1572"/>
      <c r="L21" s="524"/>
    </row>
    <row r="22" spans="1:12" ht="15.75" customHeight="1" collapsed="1" x14ac:dyDescent="0.2">
      <c r="A22" s="2140" t="s">
        <v>596</v>
      </c>
      <c r="B22" s="2141"/>
      <c r="C22" s="477"/>
      <c r="D22" s="477"/>
      <c r="E22" s="477"/>
      <c r="F22" s="477"/>
      <c r="G22" s="477"/>
      <c r="H22" s="477"/>
      <c r="I22" s="477"/>
      <c r="J22" s="477"/>
      <c r="K22" s="477"/>
      <c r="L22" s="347"/>
    </row>
    <row r="23" spans="1:12" s="485" customFormat="1" ht="15.75" customHeight="1" x14ac:dyDescent="0.2">
      <c r="A23" s="2136" t="s">
        <v>293</v>
      </c>
      <c r="B23" s="2137"/>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v>2000000</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8" t="s">
        <v>981</v>
      </c>
      <c r="B32" s="2139"/>
      <c r="C32" s="477"/>
      <c r="D32" s="477"/>
      <c r="E32" s="475"/>
      <c r="F32" s="477"/>
      <c r="G32" s="477"/>
      <c r="H32" s="477"/>
      <c r="I32" s="477"/>
      <c r="J32" s="477"/>
      <c r="K32" s="477"/>
      <c r="L32" s="524"/>
    </row>
    <row r="33" spans="1:12" s="485" customFormat="1" x14ac:dyDescent="0.2">
      <c r="A33" s="1489" t="s">
        <v>412</v>
      </c>
      <c r="B33" s="525">
        <v>7210</v>
      </c>
      <c r="C33" s="467"/>
      <c r="D33" s="467"/>
      <c r="E33" s="467"/>
      <c r="F33" s="467">
        <v>477408</v>
      </c>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v>0</v>
      </c>
      <c r="G43" s="467"/>
      <c r="H43" s="467"/>
      <c r="I43" s="467"/>
      <c r="J43" s="467"/>
      <c r="K43" s="467"/>
      <c r="L43" s="524"/>
    </row>
    <row r="44" spans="1:12" s="485" customFormat="1" ht="13.5" customHeight="1" thickBot="1" x14ac:dyDescent="0.25">
      <c r="A44" s="2146" t="s">
        <v>374</v>
      </c>
      <c r="B44" s="2147"/>
      <c r="C44" s="1703">
        <f>SUM(C24:C43)</f>
        <v>0</v>
      </c>
      <c r="D44" s="1703">
        <f t="shared" ref="D44:K44" si="6">SUM(D24:D43)</f>
        <v>0</v>
      </c>
      <c r="E44" s="1703">
        <f t="shared" si="6"/>
        <v>0</v>
      </c>
      <c r="F44" s="1703">
        <f t="shared" si="6"/>
        <v>477408</v>
      </c>
      <c r="G44" s="1703">
        <f t="shared" si="6"/>
        <v>0</v>
      </c>
      <c r="H44" s="1703">
        <f t="shared" si="6"/>
        <v>2000000</v>
      </c>
      <c r="I44" s="1703">
        <f t="shared" si="6"/>
        <v>0</v>
      </c>
      <c r="J44" s="1703">
        <f t="shared" si="6"/>
        <v>0</v>
      </c>
      <c r="K44" s="1703">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2000000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2" t="s">
        <v>440</v>
      </c>
      <c r="B76" s="2123"/>
      <c r="C76" s="1703">
        <f t="shared" ref="C76:K76" si="7">SUM(C47:C75)</f>
        <v>0</v>
      </c>
      <c r="D76" s="1703">
        <f t="shared" si="7"/>
        <v>0</v>
      </c>
      <c r="E76" s="1703">
        <f t="shared" si="7"/>
        <v>0</v>
      </c>
      <c r="F76" s="1703">
        <f t="shared" si="7"/>
        <v>0</v>
      </c>
      <c r="G76" s="1703">
        <f t="shared" si="7"/>
        <v>0</v>
      </c>
      <c r="H76" s="1703">
        <f t="shared" si="7"/>
        <v>0</v>
      </c>
      <c r="I76" s="1703">
        <f t="shared" si="7"/>
        <v>2000000</v>
      </c>
      <c r="J76" s="1703">
        <f t="shared" si="7"/>
        <v>0</v>
      </c>
      <c r="K76" s="1703">
        <f t="shared" si="7"/>
        <v>0</v>
      </c>
      <c r="L76" s="524"/>
    </row>
    <row r="77" spans="1:12" ht="14.25" thickTop="1" thickBot="1" x14ac:dyDescent="0.25">
      <c r="A77" s="2124" t="s">
        <v>1177</v>
      </c>
      <c r="B77" s="2125"/>
      <c r="C77" s="1703">
        <f t="shared" ref="C77:K77" si="8">C44-C76</f>
        <v>0</v>
      </c>
      <c r="D77" s="1703">
        <f t="shared" si="8"/>
        <v>0</v>
      </c>
      <c r="E77" s="1703">
        <f t="shared" si="8"/>
        <v>0</v>
      </c>
      <c r="F77" s="1703">
        <f t="shared" si="8"/>
        <v>477408</v>
      </c>
      <c r="G77" s="1703">
        <f t="shared" si="8"/>
        <v>0</v>
      </c>
      <c r="H77" s="1703">
        <f t="shared" si="8"/>
        <v>2000000</v>
      </c>
      <c r="I77" s="1703">
        <f t="shared" si="8"/>
        <v>-2000000</v>
      </c>
      <c r="J77" s="1703">
        <f t="shared" si="8"/>
        <v>0</v>
      </c>
      <c r="K77" s="1703">
        <f t="shared" si="8"/>
        <v>0</v>
      </c>
      <c r="L77" s="347"/>
    </row>
    <row r="78" spans="1:12" ht="21.75" customHeight="1" thickTop="1" thickBot="1" x14ac:dyDescent="0.25">
      <c r="A78" s="2128" t="s">
        <v>597</v>
      </c>
      <c r="B78" s="2129"/>
      <c r="C78" s="1702">
        <f t="shared" ref="C78:K78" si="9">C20+C77</f>
        <v>-1042587</v>
      </c>
      <c r="D78" s="1702">
        <f t="shared" si="9"/>
        <v>12545</v>
      </c>
      <c r="E78" s="1702">
        <f t="shared" si="9"/>
        <v>-187345</v>
      </c>
      <c r="F78" s="1702">
        <f t="shared" si="9"/>
        <v>33782</v>
      </c>
      <c r="G78" s="1702">
        <f t="shared" si="9"/>
        <v>-31086</v>
      </c>
      <c r="H78" s="1702">
        <f t="shared" si="9"/>
        <v>-1243700</v>
      </c>
      <c r="I78" s="1702">
        <f t="shared" si="9"/>
        <v>-1961177</v>
      </c>
      <c r="J78" s="1702">
        <f t="shared" si="9"/>
        <v>0</v>
      </c>
      <c r="K78" s="1702">
        <f t="shared" si="9"/>
        <v>394</v>
      </c>
      <c r="L78" s="533"/>
    </row>
    <row r="79" spans="1:12" ht="13.5" thickTop="1" x14ac:dyDescent="0.2">
      <c r="A79" s="1494" t="s">
        <v>1947</v>
      </c>
      <c r="B79" s="534"/>
      <c r="C79" s="478">
        <v>22906110</v>
      </c>
      <c r="D79" s="535">
        <v>3005372</v>
      </c>
      <c r="E79" s="535">
        <v>2492674</v>
      </c>
      <c r="F79" s="535">
        <v>2268652</v>
      </c>
      <c r="G79" s="535">
        <v>298505</v>
      </c>
      <c r="H79" s="535">
        <v>2023632</v>
      </c>
      <c r="I79" s="535">
        <v>3281791</v>
      </c>
      <c r="J79" s="535"/>
      <c r="K79" s="535">
        <v>17619</v>
      </c>
      <c r="L79" s="347"/>
    </row>
    <row r="80" spans="1:12" x14ac:dyDescent="0.2">
      <c r="A80" s="2134" t="s">
        <v>1795</v>
      </c>
      <c r="B80" s="2135"/>
      <c r="C80" s="467"/>
      <c r="D80" s="467"/>
      <c r="E80" s="467"/>
      <c r="F80" s="467"/>
      <c r="G80" s="467"/>
      <c r="H80" s="467"/>
      <c r="I80" s="467"/>
      <c r="J80" s="467"/>
      <c r="K80" s="467"/>
      <c r="L80" s="347"/>
    </row>
    <row r="81" spans="1:12" ht="13.5" thickBot="1" x14ac:dyDescent="0.25">
      <c r="A81" s="2126" t="s">
        <v>1948</v>
      </c>
      <c r="B81" s="2127"/>
      <c r="C81" s="1688">
        <f>(SUM(C78:C80))</f>
        <v>21863523</v>
      </c>
      <c r="D81" s="1688">
        <f>SUM(D78:D80)</f>
        <v>3017917</v>
      </c>
      <c r="E81" s="1688">
        <f t="shared" ref="E81:K81" si="10">SUM(E78:E80)</f>
        <v>2305329</v>
      </c>
      <c r="F81" s="1688">
        <f t="shared" si="10"/>
        <v>2302434</v>
      </c>
      <c r="G81" s="1688">
        <f t="shared" si="10"/>
        <v>267419</v>
      </c>
      <c r="H81" s="1688">
        <f t="shared" si="10"/>
        <v>779932</v>
      </c>
      <c r="I81" s="1688">
        <f t="shared" si="10"/>
        <v>1320614</v>
      </c>
      <c r="J81" s="1688">
        <f t="shared" si="10"/>
        <v>0</v>
      </c>
      <c r="K81" s="1688">
        <f t="shared" si="10"/>
        <v>18013</v>
      </c>
      <c r="L81" s="347"/>
    </row>
    <row r="82" spans="1:12" ht="0.75" customHeight="1" thickTop="1" thickBot="1" x14ac:dyDescent="0.25">
      <c r="A82" s="536" t="s">
        <v>343</v>
      </c>
      <c r="B82" s="537"/>
      <c r="C82" s="538">
        <f>(C81-C79)</f>
        <v>-1042587</v>
      </c>
      <c r="D82" s="538">
        <f t="shared" ref="D82:K82" si="11">(D81-D79)</f>
        <v>12545</v>
      </c>
      <c r="E82" s="538">
        <f t="shared" si="11"/>
        <v>-187345</v>
      </c>
      <c r="F82" s="538">
        <f t="shared" si="11"/>
        <v>33782</v>
      </c>
      <c r="G82" s="538">
        <f t="shared" si="11"/>
        <v>-31086</v>
      </c>
      <c r="H82" s="538">
        <f t="shared" si="11"/>
        <v>-1243700</v>
      </c>
      <c r="I82" s="538">
        <f t="shared" si="11"/>
        <v>-1961177</v>
      </c>
      <c r="J82" s="538">
        <f t="shared" si="11"/>
        <v>0</v>
      </c>
      <c r="K82" s="538">
        <f t="shared" si="11"/>
        <v>394</v>
      </c>
    </row>
    <row r="83" spans="1:12" ht="14.25" hidden="1" thickTop="1" thickBot="1" x14ac:dyDescent="0.25">
      <c r="A83" s="539" t="s">
        <v>344</v>
      </c>
      <c r="B83" s="464"/>
      <c r="C83" s="540">
        <f>C82/C81</f>
        <v>-4.7686139146010456E-2</v>
      </c>
      <c r="D83" s="540">
        <f t="shared" ref="D83:K83" si="12">D82/D81</f>
        <v>4.1568406288178235E-3</v>
      </c>
      <c r="E83" s="540">
        <f t="shared" si="12"/>
        <v>-8.1266057903232033E-2</v>
      </c>
      <c r="F83" s="540">
        <f t="shared" si="12"/>
        <v>1.4672298967093085E-2</v>
      </c>
      <c r="G83" s="540">
        <f t="shared" si="12"/>
        <v>-0.11624454507720094</v>
      </c>
      <c r="H83" s="540">
        <f t="shared" si="12"/>
        <v>-1.5946261981813799</v>
      </c>
      <c r="I83" s="540">
        <f t="shared" si="12"/>
        <v>-1.4850493785466456</v>
      </c>
      <c r="J83" s="540" t="e">
        <f t="shared" si="12"/>
        <v>#DIV/0!</v>
      </c>
      <c r="K83" s="540">
        <f t="shared" si="12"/>
        <v>2.1873091656026203E-2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xSplit="2" ySplit="4" topLeftCell="C89" activePane="bottomRight" state="frozen"/>
      <selection activeCell="A15" sqref="A15:H15"/>
      <selection pane="topRight" activeCell="A15" sqref="A15:H15"/>
      <selection pane="bottomLeft" activeCell="A15" sqref="A15:H15"/>
      <selection pane="bottomRight" activeCell="D107" sqref="D10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1802</v>
      </c>
      <c r="B1" s="452"/>
      <c r="C1" s="453" t="s">
        <v>425</v>
      </c>
      <c r="D1" s="453" t="s">
        <v>426</v>
      </c>
      <c r="E1" s="453" t="s">
        <v>427</v>
      </c>
      <c r="F1" s="453" t="s">
        <v>428</v>
      </c>
      <c r="G1" s="453" t="s">
        <v>429</v>
      </c>
      <c r="H1" s="453" t="s">
        <v>430</v>
      </c>
      <c r="I1" s="453" t="s">
        <v>431</v>
      </c>
      <c r="J1" s="453" t="s">
        <v>432</v>
      </c>
      <c r="K1" s="453" t="s">
        <v>756</v>
      </c>
    </row>
    <row r="2" spans="1:12" ht="36" x14ac:dyDescent="0.2">
      <c r="A2" s="213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18522093</v>
      </c>
      <c r="D5" s="481">
        <v>2289141</v>
      </c>
      <c r="E5" s="466">
        <v>2832914</v>
      </c>
      <c r="F5" s="548">
        <v>1124972</v>
      </c>
      <c r="G5" s="466">
        <f>268687+176206</f>
        <v>444893</v>
      </c>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f>226010</f>
        <v>226010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v>52176</v>
      </c>
      <c r="H11" s="466"/>
      <c r="I11" s="466"/>
      <c r="J11" s="467"/>
      <c r="K11" s="466"/>
      <c r="L11" s="552"/>
    </row>
    <row r="12" spans="1:12" ht="12.75" customHeight="1" thickBot="1" x14ac:dyDescent="0.25">
      <c r="A12" s="1705" t="s">
        <v>29</v>
      </c>
      <c r="B12" s="1706"/>
      <c r="C12" s="1707">
        <f t="shared" ref="C12:K12" si="0">SUM(C5:C11)</f>
        <v>18522093</v>
      </c>
      <c r="D12" s="1707">
        <f t="shared" si="0"/>
        <v>2289141</v>
      </c>
      <c r="E12" s="1707">
        <f t="shared" si="0"/>
        <v>2832914</v>
      </c>
      <c r="F12" s="1707">
        <f t="shared" si="0"/>
        <v>1124972</v>
      </c>
      <c r="G12" s="1707">
        <f t="shared" si="0"/>
        <v>723079</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91459</v>
      </c>
      <c r="D16" s="466"/>
      <c r="E16" s="466"/>
      <c r="F16" s="466"/>
      <c r="G16" s="466">
        <v>6500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91459</v>
      </c>
      <c r="D18" s="1710">
        <f t="shared" ref="D18:K18" si="1">SUM(D14:D17)</f>
        <v>0</v>
      </c>
      <c r="E18" s="1710">
        <f t="shared" si="1"/>
        <v>0</v>
      </c>
      <c r="F18" s="1710">
        <f t="shared" si="1"/>
        <v>0</v>
      </c>
      <c r="G18" s="1710">
        <f t="shared" si="1"/>
        <v>6500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477010</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15074</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492084</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6208</v>
      </c>
      <c r="G42" s="468"/>
      <c r="H42" s="468"/>
      <c r="I42" s="468"/>
      <c r="J42" s="468"/>
      <c r="K42" s="468"/>
    </row>
    <row r="43" spans="1:11" ht="12.75" customHeight="1" x14ac:dyDescent="0.2">
      <c r="A43" s="463" t="s">
        <v>837</v>
      </c>
      <c r="B43" s="470">
        <v>1412</v>
      </c>
      <c r="C43" s="468"/>
      <c r="D43" s="468"/>
      <c r="E43" s="468"/>
      <c r="F43" s="466">
        <v>404</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6612</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472418</v>
      </c>
      <c r="D65" s="466">
        <v>58201</v>
      </c>
      <c r="E65" s="466">
        <v>24291</v>
      </c>
      <c r="F65" s="467">
        <v>34630</v>
      </c>
      <c r="G65" s="466">
        <f>7179-885</f>
        <v>6294</v>
      </c>
      <c r="H65" s="466">
        <v>25850</v>
      </c>
      <c r="I65" s="466">
        <v>38823</v>
      </c>
      <c r="J65" s="467"/>
      <c r="K65" s="466">
        <v>394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472418</v>
      </c>
      <c r="D67" s="1688">
        <f t="shared" ref="D67:K67" si="2">SUM(D65:D66)</f>
        <v>58201</v>
      </c>
      <c r="E67" s="1688">
        <f t="shared" si="2"/>
        <v>24291</v>
      </c>
      <c r="F67" s="1688">
        <f t="shared" si="2"/>
        <v>34630</v>
      </c>
      <c r="G67" s="1688">
        <f t="shared" si="2"/>
        <v>6294</v>
      </c>
      <c r="H67" s="1688">
        <f t="shared" si="2"/>
        <v>25850</v>
      </c>
      <c r="I67" s="1688">
        <f t="shared" si="2"/>
        <v>38823</v>
      </c>
      <c r="J67" s="1688">
        <f t="shared" si="2"/>
        <v>0</v>
      </c>
      <c r="K67" s="1688">
        <f t="shared" si="2"/>
        <v>394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8242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28253</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36495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453199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453199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13454</v>
      </c>
      <c r="D95" s="551"/>
      <c r="E95" s="521"/>
      <c r="F95" s="521"/>
      <c r="G95" s="521"/>
      <c r="H95" s="521"/>
      <c r="I95" s="521"/>
      <c r="J95" s="521"/>
      <c r="K95" s="521"/>
    </row>
    <row r="96" spans="1:11" ht="12.75" customHeight="1" x14ac:dyDescent="0.2">
      <c r="A96" s="463" t="s">
        <v>391</v>
      </c>
      <c r="B96" s="470">
        <v>1920</v>
      </c>
      <c r="C96" s="551"/>
      <c r="D96" s="551">
        <v>28490</v>
      </c>
      <c r="E96" s="479"/>
      <c r="F96" s="478"/>
      <c r="G96" s="478"/>
      <c r="H96" s="478">
        <v>280204</v>
      </c>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v>194976</v>
      </c>
      <c r="G98" s="512"/>
      <c r="H98" s="512"/>
      <c r="I98" s="510"/>
      <c r="J98" s="512"/>
      <c r="K98" s="512"/>
    </row>
    <row r="99" spans="1:12" ht="12.75" customHeight="1" x14ac:dyDescent="0.2">
      <c r="A99" s="463" t="s">
        <v>821</v>
      </c>
      <c r="B99" s="470">
        <v>1950</v>
      </c>
      <c r="C99" s="489">
        <v>3605</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216645</v>
      </c>
      <c r="D107" s="466">
        <v>84906</v>
      </c>
      <c r="E107" s="466"/>
      <c r="F107" s="466">
        <v>28405</v>
      </c>
      <c r="G107" s="466"/>
      <c r="H107" s="466"/>
      <c r="I107" s="466"/>
      <c r="J107" s="467"/>
      <c r="K107" s="466"/>
    </row>
    <row r="108" spans="1:12" ht="12.75" customHeight="1" thickBot="1" x14ac:dyDescent="0.25">
      <c r="A108" s="1708" t="s">
        <v>487</v>
      </c>
      <c r="B108" s="1712"/>
      <c r="C108" s="1707">
        <f>SUM(C95:C107)</f>
        <v>233704</v>
      </c>
      <c r="D108" s="1707">
        <f t="shared" ref="D108:K108" si="3">SUM(D95:D107)</f>
        <v>113396</v>
      </c>
      <c r="E108" s="1707">
        <f t="shared" si="3"/>
        <v>0</v>
      </c>
      <c r="F108" s="1707">
        <f t="shared" si="3"/>
        <v>223381</v>
      </c>
      <c r="G108" s="1707">
        <f t="shared" si="3"/>
        <v>0</v>
      </c>
      <c r="H108" s="1707">
        <f t="shared" si="3"/>
        <v>280204</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20301452</v>
      </c>
      <c r="D109" s="1715">
        <f t="shared" si="4"/>
        <v>2460738</v>
      </c>
      <c r="E109" s="1715">
        <f t="shared" si="4"/>
        <v>2857205</v>
      </c>
      <c r="F109" s="1715">
        <f t="shared" si="4"/>
        <v>1389595</v>
      </c>
      <c r="G109" s="1715">
        <f t="shared" si="4"/>
        <v>735873</v>
      </c>
      <c r="H109" s="1715">
        <f t="shared" si="4"/>
        <v>306054</v>
      </c>
      <c r="I109" s="1715">
        <f t="shared" si="4"/>
        <v>38823</v>
      </c>
      <c r="J109" s="1715">
        <f t="shared" si="4"/>
        <v>0</v>
      </c>
      <c r="K109" s="1702">
        <f t="shared" si="4"/>
        <v>394</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1035389</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1035389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188270</v>
      </c>
      <c r="D125" s="561"/>
      <c r="E125" s="468"/>
      <c r="F125" s="548"/>
      <c r="G125" s="468"/>
      <c r="H125" s="468"/>
      <c r="I125" s="468"/>
      <c r="J125" s="468"/>
      <c r="K125" s="468"/>
    </row>
    <row r="126" spans="1:11" ht="12.75" customHeight="1" x14ac:dyDescent="0.2">
      <c r="A126" s="463" t="s">
        <v>1446</v>
      </c>
      <c r="B126" s="562">
        <v>3105</v>
      </c>
      <c r="C126" s="466">
        <v>-33585</v>
      </c>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14835</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169520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492505</v>
      </c>
      <c r="G152" s="467"/>
      <c r="H152" s="468"/>
      <c r="I152" s="468"/>
      <c r="J152" s="468"/>
      <c r="K152" s="468"/>
    </row>
    <row r="153" spans="1:11" ht="12.75" customHeight="1" x14ac:dyDescent="0.2">
      <c r="A153" s="463" t="s">
        <v>1057</v>
      </c>
      <c r="B153" s="562">
        <v>3510</v>
      </c>
      <c r="C153" s="551"/>
      <c r="D153" s="466"/>
      <c r="E153" s="561"/>
      <c r="F153" s="466">
        <v>492011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984516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1575</v>
      </c>
      <c r="D168" s="580"/>
      <c r="E168" s="580"/>
      <c r="F168" s="580"/>
      <c r="G168" s="581"/>
      <c r="H168" s="582"/>
      <c r="I168" s="581"/>
      <c r="J168" s="581"/>
      <c r="K168" s="582"/>
    </row>
    <row r="169" spans="1:11" ht="12.75" customHeight="1" thickTop="1" thickBot="1" x14ac:dyDescent="0.25">
      <c r="A169" s="2150" t="s">
        <v>398</v>
      </c>
      <c r="B169" s="2151"/>
      <c r="C169" s="1722">
        <f t="shared" ref="C169:K169" si="6">SUM(C132,C141,C145,C146:C150,C155,C156:C167,C168)</f>
        <v>171095</v>
      </c>
      <c r="D169" s="1722">
        <f t="shared" si="6"/>
        <v>0</v>
      </c>
      <c r="E169" s="1722">
        <f t="shared" si="6"/>
        <v>0</v>
      </c>
      <c r="F169" s="1722">
        <f t="shared" si="6"/>
        <v>984516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1206484</v>
      </c>
      <c r="D170" s="1715">
        <f t="shared" si="7"/>
        <v>0</v>
      </c>
      <c r="E170" s="1715">
        <f t="shared" si="7"/>
        <v>0</v>
      </c>
      <c r="F170" s="1715">
        <f t="shared" si="7"/>
        <v>984516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2" t="s">
        <v>1492</v>
      </c>
      <c r="B172" s="215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6" t="s">
        <v>1665</v>
      </c>
      <c r="B175" s="2157"/>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0" t="s">
        <v>1664</v>
      </c>
      <c r="B176" s="216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8" t="s">
        <v>785</v>
      </c>
      <c r="B181" s="2159"/>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4" t="s">
        <v>1803</v>
      </c>
      <c r="B182" s="2155"/>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v>13329</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13329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155807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155807</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23873</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241245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265118</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v>13</v>
      </c>
      <c r="D251" s="467"/>
      <c r="E251" s="467"/>
      <c r="F251" s="467"/>
      <c r="G251" s="467"/>
      <c r="H251" s="467"/>
      <c r="I251" s="468"/>
      <c r="J251" s="467"/>
      <c r="K251" s="467"/>
    </row>
    <row r="252" spans="1:11" ht="12.75" customHeight="1" thickBot="1" x14ac:dyDescent="0.25">
      <c r="A252" s="1725" t="s">
        <v>774</v>
      </c>
      <c r="B252" s="1726"/>
      <c r="C252" s="1718">
        <f t="shared" ref="C252:H252" si="9">SUM(C223:C251)</f>
        <v>13</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19106</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34371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15855</v>
      </c>
      <c r="D263" s="576"/>
      <c r="E263" s="468"/>
      <c r="F263" s="576"/>
      <c r="G263" s="576"/>
      <c r="H263" s="468"/>
      <c r="I263" s="468"/>
      <c r="J263" s="468"/>
      <c r="K263" s="468"/>
    </row>
    <row r="264" spans="1:11" ht="12.75" customHeight="1" thickTop="1" thickBot="1" x14ac:dyDescent="0.25">
      <c r="A264" s="463" t="s">
        <v>377</v>
      </c>
      <c r="B264" s="470">
        <v>4992</v>
      </c>
      <c r="C264" s="575">
        <v>41920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545519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545519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22053455</v>
      </c>
      <c r="D268" s="1715">
        <f t="shared" si="12"/>
        <v>2460738</v>
      </c>
      <c r="E268" s="1715">
        <f t="shared" si="12"/>
        <v>2857205</v>
      </c>
      <c r="F268" s="1715">
        <f t="shared" si="12"/>
        <v>2374111</v>
      </c>
      <c r="G268" s="1715">
        <f t="shared" si="12"/>
        <v>735873</v>
      </c>
      <c r="H268" s="1715">
        <f t="shared" si="12"/>
        <v>306054</v>
      </c>
      <c r="I268" s="1715">
        <f t="shared" si="12"/>
        <v>38823</v>
      </c>
      <c r="J268" s="1715">
        <f t="shared" si="12"/>
        <v>0</v>
      </c>
      <c r="K268" s="1702">
        <f t="shared" si="12"/>
        <v>394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xSplit="2" ySplit="4" topLeftCell="C33" activePane="bottomRight" state="frozen"/>
      <selection activeCell="A15" sqref="A15:H15"/>
      <selection pane="topRight" activeCell="A15" sqref="A15:H15"/>
      <selection pane="bottomLeft" activeCell="A15" sqref="A15:H15"/>
      <selection pane="bottomRight" activeCell="A15" sqref="A15:H1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8049856</v>
      </c>
      <c r="D5" s="466">
        <v>2073696</v>
      </c>
      <c r="E5" s="466">
        <v>15834</v>
      </c>
      <c r="F5" s="466">
        <v>165449</v>
      </c>
      <c r="G5" s="466">
        <v>4273</v>
      </c>
      <c r="H5" s="466">
        <v>6704</v>
      </c>
      <c r="I5" s="467">
        <v>543</v>
      </c>
      <c r="J5" s="467"/>
      <c r="K5" s="1671">
        <f>SUM(C5:J5)</f>
        <v>10316355</v>
      </c>
      <c r="L5" s="466">
        <v>10484300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90825</v>
      </c>
      <c r="D7" s="467">
        <v>36473</v>
      </c>
      <c r="E7" s="467"/>
      <c r="F7" s="467">
        <v>13170</v>
      </c>
      <c r="G7" s="467"/>
      <c r="H7" s="467"/>
      <c r="I7" s="467"/>
      <c r="J7" s="467"/>
      <c r="K7" s="1671">
        <f t="shared" ref="K7:K32" si="0">SUM(C7:J7)</f>
        <v>140468</v>
      </c>
      <c r="L7" s="466">
        <v>201600</v>
      </c>
    </row>
    <row r="8" spans="1:14" x14ac:dyDescent="0.2">
      <c r="A8" s="1504" t="s">
        <v>164</v>
      </c>
      <c r="B8" s="614">
        <v>1200</v>
      </c>
      <c r="C8" s="466">
        <v>1780472</v>
      </c>
      <c r="D8" s="466">
        <v>742500</v>
      </c>
      <c r="E8" s="466">
        <v>546474</v>
      </c>
      <c r="F8" s="466">
        <v>47475</v>
      </c>
      <c r="G8" s="466"/>
      <c r="H8" s="466">
        <v>2731</v>
      </c>
      <c r="I8" s="467"/>
      <c r="J8" s="467"/>
      <c r="K8" s="1671">
        <f t="shared" si="0"/>
        <v>3119652</v>
      </c>
      <c r="L8" s="466">
        <v>3061650</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v>26680</v>
      </c>
      <c r="D10" s="466">
        <v>1644</v>
      </c>
      <c r="E10" s="466">
        <v>72888</v>
      </c>
      <c r="F10" s="466">
        <v>0</v>
      </c>
      <c r="G10" s="466"/>
      <c r="H10" s="466"/>
      <c r="I10" s="467"/>
      <c r="J10" s="467"/>
      <c r="K10" s="1671">
        <f t="shared" si="0"/>
        <v>101212</v>
      </c>
      <c r="L10" s="466">
        <v>193300</v>
      </c>
    </row>
    <row r="11" spans="1:14" x14ac:dyDescent="0.2">
      <c r="A11" s="1504" t="s">
        <v>1130</v>
      </c>
      <c r="B11" s="614" t="s">
        <v>161</v>
      </c>
      <c r="C11" s="467">
        <v>122994</v>
      </c>
      <c r="D11" s="467">
        <v>36726</v>
      </c>
      <c r="E11" s="467"/>
      <c r="F11" s="467">
        <v>9337</v>
      </c>
      <c r="G11" s="467"/>
      <c r="H11" s="467"/>
      <c r="I11" s="467"/>
      <c r="J11" s="467"/>
      <c r="K11" s="1671">
        <f t="shared" si="0"/>
        <v>169057</v>
      </c>
      <c r="L11" s="466">
        <v>166800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c r="D13" s="466"/>
      <c r="E13" s="466"/>
      <c r="F13" s="466"/>
      <c r="G13" s="466"/>
      <c r="H13" s="466"/>
      <c r="I13" s="467"/>
      <c r="J13" s="467"/>
      <c r="K13" s="1671">
        <f t="shared" si="0"/>
        <v>0</v>
      </c>
      <c r="L13" s="466">
        <v>0</v>
      </c>
    </row>
    <row r="14" spans="1:14" x14ac:dyDescent="0.2">
      <c r="A14" s="1504" t="s">
        <v>963</v>
      </c>
      <c r="B14" s="614">
        <v>1500</v>
      </c>
      <c r="C14" s="466">
        <v>171247</v>
      </c>
      <c r="D14" s="466">
        <v>1813</v>
      </c>
      <c r="E14" s="466">
        <v>15734</v>
      </c>
      <c r="F14" s="466">
        <v>2061</v>
      </c>
      <c r="G14" s="466"/>
      <c r="H14" s="466"/>
      <c r="I14" s="467"/>
      <c r="J14" s="467"/>
      <c r="K14" s="1671">
        <f t="shared" si="0"/>
        <v>190855</v>
      </c>
      <c r="L14" s="466">
        <v>166200</v>
      </c>
    </row>
    <row r="15" spans="1:14" x14ac:dyDescent="0.2">
      <c r="A15" s="1504" t="s">
        <v>964</v>
      </c>
      <c r="B15" s="614">
        <v>1600</v>
      </c>
      <c r="C15" s="466">
        <v>14060</v>
      </c>
      <c r="D15" s="466">
        <v>85</v>
      </c>
      <c r="E15" s="466"/>
      <c r="F15" s="466">
        <v>3593</v>
      </c>
      <c r="G15" s="466"/>
      <c r="H15" s="466"/>
      <c r="I15" s="467"/>
      <c r="J15" s="467"/>
      <c r="K15" s="1671">
        <f t="shared" si="0"/>
        <v>17738</v>
      </c>
      <c r="L15" s="466">
        <v>60000</v>
      </c>
    </row>
    <row r="16" spans="1:14" x14ac:dyDescent="0.2">
      <c r="A16" s="1504" t="s">
        <v>987</v>
      </c>
      <c r="B16" s="614" t="s">
        <v>424</v>
      </c>
      <c r="C16" s="466">
        <v>170383</v>
      </c>
      <c r="D16" s="466">
        <v>36132</v>
      </c>
      <c r="E16" s="466"/>
      <c r="F16" s="466">
        <v>1289</v>
      </c>
      <c r="G16" s="466"/>
      <c r="H16" s="466"/>
      <c r="I16" s="467"/>
      <c r="J16" s="467"/>
      <c r="K16" s="1671">
        <f t="shared" si="0"/>
        <v>207804</v>
      </c>
      <c r="L16" s="466">
        <v>213350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v>473581</v>
      </c>
      <c r="D18" s="466">
        <v>103294</v>
      </c>
      <c r="E18" s="466">
        <v>922</v>
      </c>
      <c r="F18" s="466">
        <v>15198</v>
      </c>
      <c r="G18" s="466"/>
      <c r="H18" s="466"/>
      <c r="I18" s="467"/>
      <c r="J18" s="467"/>
      <c r="K18" s="1671">
        <f t="shared" si="0"/>
        <v>592995</v>
      </c>
      <c r="L18" s="466">
        <v>687150</v>
      </c>
    </row>
    <row r="19" spans="1:12" x14ac:dyDescent="0.2">
      <c r="A19" s="1504" t="s">
        <v>134</v>
      </c>
      <c r="B19" s="614">
        <v>1900</v>
      </c>
      <c r="C19" s="466"/>
      <c r="D19" s="466"/>
      <c r="E19" s="466"/>
      <c r="F19" s="466"/>
      <c r="G19" s="466"/>
      <c r="H19" s="466"/>
      <c r="I19" s="467"/>
      <c r="J19" s="467"/>
      <c r="K19" s="1671">
        <f t="shared" si="0"/>
        <v>0</v>
      </c>
      <c r="L19" s="466">
        <v>50000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10900098</v>
      </c>
      <c r="D33" s="1670">
        <f t="shared" ref="D33:L33" si="1">SUM(D5:D32)</f>
        <v>3032363</v>
      </c>
      <c r="E33" s="1670">
        <f t="shared" si="1"/>
        <v>651852</v>
      </c>
      <c r="F33" s="1670">
        <f t="shared" si="1"/>
        <v>257572</v>
      </c>
      <c r="G33" s="1670">
        <f t="shared" si="1"/>
        <v>4273</v>
      </c>
      <c r="H33" s="1670">
        <f t="shared" si="1"/>
        <v>9435</v>
      </c>
      <c r="I33" s="1670">
        <f t="shared" si="1"/>
        <v>543</v>
      </c>
      <c r="J33" s="1670">
        <f t="shared" si="1"/>
        <v>0</v>
      </c>
      <c r="K33" s="1670">
        <f t="shared" si="1"/>
        <v>14856136</v>
      </c>
      <c r="L33" s="1670">
        <f t="shared" si="1"/>
        <v>15284350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v>188385</v>
      </c>
      <c r="D37" s="466">
        <v>37849</v>
      </c>
      <c r="E37" s="466"/>
      <c r="F37" s="466">
        <v>1936</v>
      </c>
      <c r="G37" s="466"/>
      <c r="H37" s="466"/>
      <c r="I37" s="467"/>
      <c r="J37" s="467"/>
      <c r="K37" s="1671">
        <f t="shared" si="2"/>
        <v>228170</v>
      </c>
      <c r="L37" s="466">
        <v>264650</v>
      </c>
    </row>
    <row r="38" spans="1:14" x14ac:dyDescent="0.2">
      <c r="A38" s="1504" t="s">
        <v>198</v>
      </c>
      <c r="B38" s="614">
        <v>2130</v>
      </c>
      <c r="C38" s="466">
        <v>124730</v>
      </c>
      <c r="D38" s="466">
        <v>52184</v>
      </c>
      <c r="E38" s="466">
        <v>-2286</v>
      </c>
      <c r="F38" s="466">
        <v>4684</v>
      </c>
      <c r="G38" s="466"/>
      <c r="H38" s="466"/>
      <c r="I38" s="467"/>
      <c r="J38" s="467"/>
      <c r="K38" s="1671">
        <f t="shared" si="2"/>
        <v>179312</v>
      </c>
      <c r="L38" s="466">
        <v>184200</v>
      </c>
    </row>
    <row r="39" spans="1:14" x14ac:dyDescent="0.2">
      <c r="A39" s="1504" t="s">
        <v>199</v>
      </c>
      <c r="B39" s="614">
        <v>2140</v>
      </c>
      <c r="C39" s="466">
        <v>227438</v>
      </c>
      <c r="D39" s="466">
        <v>51462</v>
      </c>
      <c r="E39" s="466"/>
      <c r="F39" s="466">
        <v>2672</v>
      </c>
      <c r="G39" s="466"/>
      <c r="H39" s="466"/>
      <c r="I39" s="467"/>
      <c r="J39" s="467"/>
      <c r="K39" s="1671">
        <f t="shared" si="2"/>
        <v>281572</v>
      </c>
      <c r="L39" s="466">
        <v>370350</v>
      </c>
    </row>
    <row r="40" spans="1:14" x14ac:dyDescent="0.2">
      <c r="A40" s="1504" t="s">
        <v>200</v>
      </c>
      <c r="B40" s="614">
        <v>2150</v>
      </c>
      <c r="C40" s="466">
        <v>343812</v>
      </c>
      <c r="D40" s="466">
        <v>73569</v>
      </c>
      <c r="E40" s="466"/>
      <c r="F40" s="466">
        <v>5161</v>
      </c>
      <c r="G40" s="466"/>
      <c r="H40" s="466"/>
      <c r="I40" s="467"/>
      <c r="J40" s="467"/>
      <c r="K40" s="1671">
        <f t="shared" si="2"/>
        <v>422542</v>
      </c>
      <c r="L40" s="466">
        <v>422650</v>
      </c>
    </row>
    <row r="41" spans="1:14" x14ac:dyDescent="0.2">
      <c r="A41" s="1504" t="s">
        <v>1669</v>
      </c>
      <c r="B41" s="614">
        <v>2190</v>
      </c>
      <c r="C41" s="466">
        <v>199590</v>
      </c>
      <c r="D41" s="466">
        <v>1834</v>
      </c>
      <c r="E41" s="466"/>
      <c r="F41" s="466">
        <v>9214</v>
      </c>
      <c r="G41" s="466"/>
      <c r="H41" s="466"/>
      <c r="I41" s="467"/>
      <c r="J41" s="467"/>
      <c r="K41" s="1671">
        <f t="shared" si="2"/>
        <v>210638</v>
      </c>
      <c r="L41" s="466">
        <v>187700</v>
      </c>
    </row>
    <row r="42" spans="1:14" ht="12.75" customHeight="1" thickBot="1" x14ac:dyDescent="0.25">
      <c r="A42" s="1668" t="s">
        <v>560</v>
      </c>
      <c r="B42" s="1669" t="s">
        <v>716</v>
      </c>
      <c r="C42" s="1670">
        <f>SUM(C36:C41)</f>
        <v>1083955</v>
      </c>
      <c r="D42" s="1670">
        <f t="shared" ref="D42:L42" si="3">SUM(D36:D41)</f>
        <v>216898</v>
      </c>
      <c r="E42" s="1670">
        <f t="shared" si="3"/>
        <v>-2286</v>
      </c>
      <c r="F42" s="1670">
        <f t="shared" si="3"/>
        <v>23667</v>
      </c>
      <c r="G42" s="1670">
        <f t="shared" si="3"/>
        <v>0</v>
      </c>
      <c r="H42" s="1670">
        <f t="shared" si="3"/>
        <v>0</v>
      </c>
      <c r="I42" s="1670">
        <f t="shared" si="3"/>
        <v>0</v>
      </c>
      <c r="J42" s="1670">
        <f t="shared" si="3"/>
        <v>0</v>
      </c>
      <c r="K42" s="1670">
        <f t="shared" si="3"/>
        <v>1322234</v>
      </c>
      <c r="L42" s="1670">
        <f t="shared" si="3"/>
        <v>1429550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173223</v>
      </c>
      <c r="D44" s="481">
        <v>32974</v>
      </c>
      <c r="E44" s="481">
        <v>222452</v>
      </c>
      <c r="F44" s="481">
        <v>246847</v>
      </c>
      <c r="G44" s="481"/>
      <c r="H44" s="481"/>
      <c r="I44" s="467"/>
      <c r="J44" s="467"/>
      <c r="K44" s="1672">
        <f>SUM(C44:J44)</f>
        <v>675496</v>
      </c>
      <c r="L44" s="481">
        <v>499100</v>
      </c>
    </row>
    <row r="45" spans="1:14" x14ac:dyDescent="0.2">
      <c r="A45" s="1504" t="s">
        <v>815</v>
      </c>
      <c r="B45" s="614">
        <v>2220</v>
      </c>
      <c r="C45" s="466">
        <v>630837</v>
      </c>
      <c r="D45" s="466">
        <v>146896</v>
      </c>
      <c r="E45" s="466">
        <v>613569</v>
      </c>
      <c r="F45" s="466">
        <v>324132</v>
      </c>
      <c r="G45" s="466">
        <v>143450</v>
      </c>
      <c r="H45" s="466"/>
      <c r="I45" s="467">
        <v>2556</v>
      </c>
      <c r="J45" s="467"/>
      <c r="K45" s="1672">
        <f>SUM(C45:J45)</f>
        <v>1861440</v>
      </c>
      <c r="L45" s="466">
        <v>1360340</v>
      </c>
    </row>
    <row r="46" spans="1:14" x14ac:dyDescent="0.2">
      <c r="A46" s="1504" t="s">
        <v>816</v>
      </c>
      <c r="B46" s="614">
        <v>2230</v>
      </c>
      <c r="C46" s="466">
        <v>88574</v>
      </c>
      <c r="D46" s="466"/>
      <c r="E46" s="466"/>
      <c r="F46" s="466"/>
      <c r="G46" s="466"/>
      <c r="H46" s="466"/>
      <c r="I46" s="467"/>
      <c r="J46" s="467"/>
      <c r="K46" s="1672">
        <f>SUM(C46:J46)</f>
        <v>88574</v>
      </c>
      <c r="L46" s="466">
        <v>135000</v>
      </c>
    </row>
    <row r="47" spans="1:14" ht="12.75" customHeight="1" thickBot="1" x14ac:dyDescent="0.25">
      <c r="A47" s="1668" t="s">
        <v>561</v>
      </c>
      <c r="B47" s="1669" t="s">
        <v>32</v>
      </c>
      <c r="C47" s="1670">
        <f>SUM(C44:C46)</f>
        <v>892634</v>
      </c>
      <c r="D47" s="1670">
        <f t="shared" ref="D47:K47" si="4">SUM(D44:D46)</f>
        <v>179870</v>
      </c>
      <c r="E47" s="1670">
        <f t="shared" si="4"/>
        <v>836021</v>
      </c>
      <c r="F47" s="1670">
        <f t="shared" si="4"/>
        <v>570979</v>
      </c>
      <c r="G47" s="1670">
        <f t="shared" si="4"/>
        <v>143450</v>
      </c>
      <c r="H47" s="1670">
        <f t="shared" si="4"/>
        <v>0</v>
      </c>
      <c r="I47" s="1670">
        <f t="shared" si="4"/>
        <v>2556</v>
      </c>
      <c r="J47" s="1670">
        <f t="shared" si="4"/>
        <v>0</v>
      </c>
      <c r="K47" s="1670">
        <f t="shared" si="4"/>
        <v>2625510</v>
      </c>
      <c r="L47" s="1670">
        <f>SUM(L44:L46)</f>
        <v>1994440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13200</v>
      </c>
      <c r="D49" s="481"/>
      <c r="E49" s="481">
        <v>496618</v>
      </c>
      <c r="F49" s="481">
        <v>11845</v>
      </c>
      <c r="G49" s="481"/>
      <c r="H49" s="481">
        <v>14495</v>
      </c>
      <c r="I49" s="467"/>
      <c r="J49" s="467">
        <v>37861</v>
      </c>
      <c r="K49" s="1672">
        <f>SUM(C49:J49)</f>
        <v>574019</v>
      </c>
      <c r="L49" s="481">
        <v>529500</v>
      </c>
    </row>
    <row r="50" spans="1:14" x14ac:dyDescent="0.2">
      <c r="A50" s="1504" t="s">
        <v>818</v>
      </c>
      <c r="B50" s="614">
        <v>2320</v>
      </c>
      <c r="C50" s="466">
        <v>285059</v>
      </c>
      <c r="D50" s="466">
        <v>72873</v>
      </c>
      <c r="E50" s="466">
        <v>14341</v>
      </c>
      <c r="F50" s="466">
        <v>2040</v>
      </c>
      <c r="G50" s="466"/>
      <c r="H50" s="466">
        <v>5461</v>
      </c>
      <c r="I50" s="467"/>
      <c r="J50" s="467"/>
      <c r="K50" s="1672">
        <f>SUM(C50:J50)</f>
        <v>379774</v>
      </c>
      <c r="L50" s="466">
        <v>391500</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298259</v>
      </c>
      <c r="D53" s="1670">
        <f t="shared" ref="D53:L53" si="5">SUM(D49:D52)</f>
        <v>72873</v>
      </c>
      <c r="E53" s="1670">
        <f t="shared" si="5"/>
        <v>510959</v>
      </c>
      <c r="F53" s="1670">
        <f t="shared" si="5"/>
        <v>13885</v>
      </c>
      <c r="G53" s="1670">
        <f t="shared" si="5"/>
        <v>0</v>
      </c>
      <c r="H53" s="1670">
        <f t="shared" si="5"/>
        <v>19956</v>
      </c>
      <c r="I53" s="1670">
        <f t="shared" si="5"/>
        <v>0</v>
      </c>
      <c r="J53" s="1670">
        <f t="shared" si="5"/>
        <v>37861</v>
      </c>
      <c r="K53" s="1670">
        <f t="shared" si="5"/>
        <v>953793</v>
      </c>
      <c r="L53" s="1670">
        <f t="shared" si="5"/>
        <v>921000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694709</v>
      </c>
      <c r="D55" s="481">
        <v>322312</v>
      </c>
      <c r="E55" s="481">
        <v>861</v>
      </c>
      <c r="F55" s="481">
        <v>6260</v>
      </c>
      <c r="G55" s="481">
        <v>-3995</v>
      </c>
      <c r="H55" s="481">
        <v>3167</v>
      </c>
      <c r="I55" s="467">
        <v>819</v>
      </c>
      <c r="J55" s="467"/>
      <c r="K55" s="1672">
        <f>SUM(C55:J55)</f>
        <v>1024133</v>
      </c>
      <c r="L55" s="481">
        <v>1072500</v>
      </c>
    </row>
    <row r="56" spans="1:14" ht="12.75" customHeight="1" x14ac:dyDescent="0.2">
      <c r="A56" s="1508" t="s">
        <v>376</v>
      </c>
      <c r="B56" s="628">
        <v>2490</v>
      </c>
      <c r="C56" s="466">
        <v>180921</v>
      </c>
      <c r="D56" s="466">
        <v>52058</v>
      </c>
      <c r="E56" s="466">
        <v>4588</v>
      </c>
      <c r="F56" s="466">
        <v>2337</v>
      </c>
      <c r="G56" s="466"/>
      <c r="H56" s="466">
        <v>2959</v>
      </c>
      <c r="I56" s="467"/>
      <c r="J56" s="467"/>
      <c r="K56" s="1672">
        <f>SUM(C56:J56)</f>
        <v>242863</v>
      </c>
      <c r="L56" s="466">
        <v>253500</v>
      </c>
    </row>
    <row r="57" spans="1:14" s="343" customFormat="1" ht="12.75" customHeight="1" thickBot="1" x14ac:dyDescent="0.25">
      <c r="A57" s="1668" t="s">
        <v>263</v>
      </c>
      <c r="B57" s="1673" t="s">
        <v>34</v>
      </c>
      <c r="C57" s="1674">
        <f>SUM(C55:C56)</f>
        <v>875630</v>
      </c>
      <c r="D57" s="1674">
        <f t="shared" ref="D57:K57" si="6">SUM(D55:D56)</f>
        <v>374370</v>
      </c>
      <c r="E57" s="1674">
        <f t="shared" si="6"/>
        <v>5449</v>
      </c>
      <c r="F57" s="1674">
        <f t="shared" si="6"/>
        <v>8597</v>
      </c>
      <c r="G57" s="1674">
        <f t="shared" si="6"/>
        <v>-3995</v>
      </c>
      <c r="H57" s="1674">
        <f t="shared" si="6"/>
        <v>6126</v>
      </c>
      <c r="I57" s="1674">
        <f t="shared" si="6"/>
        <v>819</v>
      </c>
      <c r="J57" s="1674">
        <f t="shared" si="6"/>
        <v>0</v>
      </c>
      <c r="K57" s="1674">
        <f t="shared" si="6"/>
        <v>1266996</v>
      </c>
      <c r="L57" s="1670">
        <f>SUM(L55:L56)</f>
        <v>1326000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335628</v>
      </c>
      <c r="D59" s="481">
        <v>90212</v>
      </c>
      <c r="E59" s="481">
        <v>4894</v>
      </c>
      <c r="F59" s="481">
        <v>-6323</v>
      </c>
      <c r="G59" s="481"/>
      <c r="H59" s="481">
        <v>42946</v>
      </c>
      <c r="I59" s="467"/>
      <c r="J59" s="467"/>
      <c r="K59" s="1672">
        <f t="shared" ref="K59:K64" si="7">SUM(C59:J59)</f>
        <v>467357</v>
      </c>
      <c r="L59" s="481">
        <v>552200</v>
      </c>
      <c r="M59" s="609"/>
      <c r="N59" s="609"/>
    </row>
    <row r="60" spans="1:14" s="343" customFormat="1" x14ac:dyDescent="0.2">
      <c r="A60" s="1504" t="s">
        <v>463</v>
      </c>
      <c r="B60" s="614">
        <v>2520</v>
      </c>
      <c r="C60" s="466"/>
      <c r="D60" s="466"/>
      <c r="E60" s="466"/>
      <c r="F60" s="466"/>
      <c r="G60" s="466"/>
      <c r="H60" s="466"/>
      <c r="I60" s="467"/>
      <c r="J60" s="467"/>
      <c r="K60" s="1672">
        <f t="shared" si="7"/>
        <v>0</v>
      </c>
      <c r="L60" s="466">
        <v>0</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90429</v>
      </c>
      <c r="D63" s="466">
        <v>56</v>
      </c>
      <c r="E63" s="466"/>
      <c r="F63" s="466">
        <v>11787</v>
      </c>
      <c r="G63" s="466"/>
      <c r="H63" s="466"/>
      <c r="I63" s="467"/>
      <c r="J63" s="467"/>
      <c r="K63" s="1672">
        <f t="shared" si="7"/>
        <v>102272</v>
      </c>
      <c r="L63" s="466">
        <v>140000</v>
      </c>
    </row>
    <row r="64" spans="1:14" s="609" customFormat="1" x14ac:dyDescent="0.2">
      <c r="A64" s="1509" t="s">
        <v>101</v>
      </c>
      <c r="B64" s="630">
        <v>2570</v>
      </c>
      <c r="C64" s="481">
        <v>94575</v>
      </c>
      <c r="D64" s="481"/>
      <c r="E64" s="481"/>
      <c r="F64" s="481">
        <v>9547</v>
      </c>
      <c r="G64" s="481"/>
      <c r="H64" s="481"/>
      <c r="I64" s="467"/>
      <c r="J64" s="467"/>
      <c r="K64" s="1672">
        <f t="shared" si="7"/>
        <v>104122</v>
      </c>
      <c r="L64" s="481">
        <v>140000</v>
      </c>
    </row>
    <row r="65" spans="1:14" s="343" customFormat="1" ht="12.75" customHeight="1" thickBot="1" x14ac:dyDescent="0.25">
      <c r="A65" s="1668" t="s">
        <v>719</v>
      </c>
      <c r="B65" s="1669" t="s">
        <v>35</v>
      </c>
      <c r="C65" s="1670">
        <f>SUM(C59:C64)</f>
        <v>520632</v>
      </c>
      <c r="D65" s="1670">
        <f t="shared" ref="D65:L65" si="8">SUM(D59:D64)</f>
        <v>90268</v>
      </c>
      <c r="E65" s="1670">
        <f t="shared" si="8"/>
        <v>4894</v>
      </c>
      <c r="F65" s="1670">
        <f t="shared" si="8"/>
        <v>15011</v>
      </c>
      <c r="G65" s="1670">
        <f t="shared" si="8"/>
        <v>0</v>
      </c>
      <c r="H65" s="1670">
        <f t="shared" si="8"/>
        <v>42946</v>
      </c>
      <c r="I65" s="1670">
        <f t="shared" si="8"/>
        <v>0</v>
      </c>
      <c r="J65" s="1670">
        <f t="shared" si="8"/>
        <v>0</v>
      </c>
      <c r="K65" s="1670">
        <f t="shared" si="8"/>
        <v>673751</v>
      </c>
      <c r="L65" s="1670">
        <f t="shared" si="8"/>
        <v>832200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v>69354</v>
      </c>
      <c r="D69" s="466">
        <v>5859</v>
      </c>
      <c r="E69" s="466">
        <v>1553</v>
      </c>
      <c r="F69" s="466">
        <v>2902</v>
      </c>
      <c r="G69" s="466"/>
      <c r="H69" s="466"/>
      <c r="I69" s="467"/>
      <c r="J69" s="467"/>
      <c r="K69" s="1672">
        <f>SUM(C69:J69)</f>
        <v>79668</v>
      </c>
      <c r="L69" s="466">
        <v>97400</v>
      </c>
      <c r="M69" s="609"/>
      <c r="N69" s="609"/>
    </row>
    <row r="70" spans="1:14" s="343" customFormat="1" x14ac:dyDescent="0.2">
      <c r="A70" s="1504" t="s">
        <v>403</v>
      </c>
      <c r="B70" s="614">
        <v>2640</v>
      </c>
      <c r="C70" s="466">
        <v>142820</v>
      </c>
      <c r="D70" s="466">
        <v>51296</v>
      </c>
      <c r="E70" s="466">
        <v>9075</v>
      </c>
      <c r="F70" s="466"/>
      <c r="G70" s="466"/>
      <c r="H70" s="466"/>
      <c r="I70" s="467"/>
      <c r="J70" s="467"/>
      <c r="K70" s="1672">
        <f>SUM(C70:J70)</f>
        <v>203191</v>
      </c>
      <c r="L70" s="466">
        <v>197000</v>
      </c>
      <c r="M70" s="609"/>
      <c r="N70" s="609"/>
    </row>
    <row r="71" spans="1:14" s="343" customFormat="1" x14ac:dyDescent="0.2">
      <c r="A71" s="1504" t="s">
        <v>404</v>
      </c>
      <c r="B71" s="614">
        <v>2660</v>
      </c>
      <c r="C71" s="466"/>
      <c r="D71" s="466"/>
      <c r="E71" s="466"/>
      <c r="F71" s="466"/>
      <c r="G71" s="466"/>
      <c r="H71" s="466"/>
      <c r="I71" s="467"/>
      <c r="J71" s="467"/>
      <c r="K71" s="1672">
        <f>SUM(C71:J71)</f>
        <v>0</v>
      </c>
      <c r="L71" s="466">
        <v>20000</v>
      </c>
      <c r="M71" s="609"/>
      <c r="N71" s="609"/>
    </row>
    <row r="72" spans="1:14" s="343" customFormat="1" ht="12.75" customHeight="1" thickBot="1" x14ac:dyDescent="0.25">
      <c r="A72" s="1668" t="s">
        <v>37</v>
      </c>
      <c r="B72" s="1675" t="s">
        <v>36</v>
      </c>
      <c r="C72" s="1670">
        <f>SUM(C67:C71)</f>
        <v>212174</v>
      </c>
      <c r="D72" s="1670">
        <f t="shared" ref="D72:K72" si="9">SUM(D67:D71)</f>
        <v>57155</v>
      </c>
      <c r="E72" s="1670">
        <f t="shared" si="9"/>
        <v>10628</v>
      </c>
      <c r="F72" s="1670">
        <f t="shared" si="9"/>
        <v>2902</v>
      </c>
      <c r="G72" s="1670">
        <f t="shared" si="9"/>
        <v>0</v>
      </c>
      <c r="H72" s="1670">
        <f t="shared" si="9"/>
        <v>0</v>
      </c>
      <c r="I72" s="1670">
        <f t="shared" si="9"/>
        <v>0</v>
      </c>
      <c r="J72" s="1670">
        <f t="shared" si="9"/>
        <v>0</v>
      </c>
      <c r="K72" s="1670">
        <f t="shared" si="9"/>
        <v>282859</v>
      </c>
      <c r="L72" s="1670">
        <f>SUM(L67:L71)</f>
        <v>314400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3883284</v>
      </c>
      <c r="D74" s="1677">
        <f t="shared" ref="D74:K74" si="10">SUM(D42,D47,D53,D57,D65,D72,D73)</f>
        <v>991434</v>
      </c>
      <c r="E74" s="1677">
        <f t="shared" si="10"/>
        <v>1365665</v>
      </c>
      <c r="F74" s="1677">
        <f t="shared" si="10"/>
        <v>635041</v>
      </c>
      <c r="G74" s="1677">
        <f t="shared" si="10"/>
        <v>139455</v>
      </c>
      <c r="H74" s="1677">
        <f t="shared" si="10"/>
        <v>69028</v>
      </c>
      <c r="I74" s="1677">
        <f t="shared" si="10"/>
        <v>3375</v>
      </c>
      <c r="J74" s="1677">
        <f t="shared" si="10"/>
        <v>37861</v>
      </c>
      <c r="K74" s="1677">
        <f t="shared" si="10"/>
        <v>7125143</v>
      </c>
      <c r="L74" s="1677">
        <f>SUM(L42,L47,L53,L57,L65,L72,L73)</f>
        <v>6817590</v>
      </c>
    </row>
    <row r="75" spans="1:14" s="259" customFormat="1" ht="15.75" customHeight="1" thickTop="1" thickBot="1" x14ac:dyDescent="0.25">
      <c r="A75" s="1610" t="s">
        <v>47</v>
      </c>
      <c r="B75" s="1611" t="s">
        <v>575</v>
      </c>
      <c r="C75" s="573">
        <v>1986</v>
      </c>
      <c r="D75" s="573">
        <v>296</v>
      </c>
      <c r="E75" s="573"/>
      <c r="F75" s="573"/>
      <c r="G75" s="573"/>
      <c r="H75" s="573"/>
      <c r="I75" s="531"/>
      <c r="J75" s="531"/>
      <c r="K75" s="1670">
        <f>SUM(C75:J75)</f>
        <v>2282</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c r="F79" s="616"/>
      <c r="G79" s="616"/>
      <c r="H79" s="466">
        <v>629736</v>
      </c>
      <c r="I79" s="477"/>
      <c r="J79" s="477"/>
      <c r="K79" s="1671">
        <f t="shared" si="11"/>
        <v>629736</v>
      </c>
      <c r="L79" s="466">
        <v>630000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629736</v>
      </c>
      <c r="I84" s="477"/>
      <c r="J84" s="477"/>
      <c r="K84" s="1670">
        <f>SUM(K78:K83)</f>
        <v>629736</v>
      </c>
      <c r="L84" s="1670">
        <f>SUM(L78:L83)</f>
        <v>630000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v>482745</v>
      </c>
      <c r="I86" s="477"/>
      <c r="J86" s="477"/>
      <c r="K86" s="1677">
        <f t="shared" ref="K86:K98" si="12">H86</f>
        <v>482745</v>
      </c>
      <c r="L86" s="530">
        <v>325000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482745</v>
      </c>
      <c r="I92" s="477"/>
      <c r="J92" s="477"/>
      <c r="K92" s="1677">
        <f t="shared" si="12"/>
        <v>482745</v>
      </c>
      <c r="L92" s="1670">
        <f>SUM(L85:L91)</f>
        <v>325000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1112481</v>
      </c>
      <c r="I102" s="477"/>
      <c r="J102" s="477"/>
      <c r="K102" s="1677">
        <f>SUM(K84,K92,K100,K101)</f>
        <v>1112481</v>
      </c>
      <c r="L102" s="1677">
        <f>SUM(L84,L92,L100,L101)</f>
        <v>955000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300000</v>
      </c>
      <c r="M113" s="613"/>
      <c r="N113" s="613"/>
    </row>
    <row r="114" spans="1:14" ht="12.75" customHeight="1" thickTop="1" thickBot="1" x14ac:dyDescent="0.25">
      <c r="A114" s="1668" t="s">
        <v>48</v>
      </c>
      <c r="B114" s="1682"/>
      <c r="C114" s="1670">
        <f>SUM(C33,C74,C75,C102,C112,C113)</f>
        <v>14785368</v>
      </c>
      <c r="D114" s="1670">
        <f t="shared" ref="D114:K114" si="13">SUM(D33,D74,D75,D102,D112,D113)</f>
        <v>4024093</v>
      </c>
      <c r="E114" s="1670">
        <f t="shared" si="13"/>
        <v>2017517</v>
      </c>
      <c r="F114" s="1670">
        <f t="shared" si="13"/>
        <v>892613</v>
      </c>
      <c r="G114" s="1670">
        <f t="shared" si="13"/>
        <v>143728</v>
      </c>
      <c r="H114" s="1670">
        <f>SUM(H33,H74,H75,H102,H112,H113)</f>
        <v>1190944</v>
      </c>
      <c r="I114" s="1670">
        <f t="shared" si="13"/>
        <v>3918</v>
      </c>
      <c r="J114" s="1670">
        <f t="shared" si="13"/>
        <v>37861</v>
      </c>
      <c r="K114" s="1670">
        <f t="shared" si="13"/>
        <v>23096042</v>
      </c>
      <c r="L114" s="1670">
        <f>SUM(L33,L74,L75,L102,L112,L113)</f>
        <v>23356940</v>
      </c>
    </row>
    <row r="115" spans="1:14" ht="13.5" thickTop="1" x14ac:dyDescent="0.2">
      <c r="A115" s="2187" t="s">
        <v>996</v>
      </c>
      <c r="B115" s="2188"/>
      <c r="C115" s="618"/>
      <c r="D115" s="618"/>
      <c r="E115" s="618"/>
      <c r="F115" s="618"/>
      <c r="G115" s="618"/>
      <c r="H115" s="618"/>
      <c r="I115" s="618"/>
      <c r="J115" s="618"/>
      <c r="K115" s="1684">
        <f>'Revenues 9-14'!C268-'Expenditures 15-22'!K114</f>
        <v>-1042587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338876</v>
      </c>
      <c r="D124" s="466">
        <v>108207</v>
      </c>
      <c r="E124" s="466">
        <v>945900</v>
      </c>
      <c r="F124" s="466">
        <v>593382</v>
      </c>
      <c r="G124" s="466">
        <v>327443</v>
      </c>
      <c r="H124" s="466">
        <v>86792</v>
      </c>
      <c r="I124" s="467"/>
      <c r="J124" s="467"/>
      <c r="K124" s="1670">
        <f>SUM(C124:J124)</f>
        <v>2400600</v>
      </c>
      <c r="L124" s="466">
        <v>2601500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338876</v>
      </c>
      <c r="D127" s="1670">
        <f t="shared" ref="D127:L127" si="14">SUM(D122:D126)</f>
        <v>108207</v>
      </c>
      <c r="E127" s="1670">
        <f t="shared" si="14"/>
        <v>945900</v>
      </c>
      <c r="F127" s="1670">
        <f t="shared" si="14"/>
        <v>593382</v>
      </c>
      <c r="G127" s="1670">
        <f t="shared" si="14"/>
        <v>327443</v>
      </c>
      <c r="H127" s="1670">
        <f t="shared" si="14"/>
        <v>86792</v>
      </c>
      <c r="I127" s="1670">
        <f t="shared" si="14"/>
        <v>0</v>
      </c>
      <c r="J127" s="1670">
        <f t="shared" si="14"/>
        <v>0</v>
      </c>
      <c r="K127" s="1670">
        <f t="shared" si="14"/>
        <v>2400600</v>
      </c>
      <c r="L127" s="1670">
        <f t="shared" si="14"/>
        <v>2601500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338876</v>
      </c>
      <c r="D129" s="1677">
        <f t="shared" ref="D129:L129" si="15">SUM(D120,D127,D128)</f>
        <v>108207</v>
      </c>
      <c r="E129" s="1677">
        <f t="shared" si="15"/>
        <v>945900</v>
      </c>
      <c r="F129" s="1677">
        <f t="shared" si="15"/>
        <v>593382</v>
      </c>
      <c r="G129" s="1677">
        <f t="shared" si="15"/>
        <v>327443</v>
      </c>
      <c r="H129" s="1677">
        <f t="shared" si="15"/>
        <v>86792</v>
      </c>
      <c r="I129" s="1677">
        <f t="shared" si="15"/>
        <v>0</v>
      </c>
      <c r="J129" s="1677">
        <f t="shared" si="15"/>
        <v>0</v>
      </c>
      <c r="K129" s="1677">
        <f t="shared" si="15"/>
        <v>2400600</v>
      </c>
      <c r="L129" s="1677">
        <f t="shared" si="15"/>
        <v>2601500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v>47593</v>
      </c>
      <c r="I136" s="477"/>
      <c r="J136" s="616"/>
      <c r="K136" s="1672">
        <f>SUM(E136,H136)</f>
        <v>47593</v>
      </c>
      <c r="L136" s="466"/>
    </row>
    <row r="137" spans="1:14" ht="12.75" customHeight="1" thickBot="1" x14ac:dyDescent="0.25">
      <c r="A137" s="1668" t="s">
        <v>480</v>
      </c>
      <c r="B137" s="1678">
        <v>4100</v>
      </c>
      <c r="C137" s="616"/>
      <c r="D137" s="616"/>
      <c r="E137" s="1670">
        <f>SUM(E133:E136)</f>
        <v>0</v>
      </c>
      <c r="F137" s="616"/>
      <c r="G137" s="616"/>
      <c r="H137" s="1670">
        <f>SUM(H133:H136)</f>
        <v>47593</v>
      </c>
      <c r="I137" s="477"/>
      <c r="J137" s="616"/>
      <c r="K137" s="1670">
        <f>SUM(K133:K136)</f>
        <v>47593</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47593</v>
      </c>
      <c r="I139" s="477"/>
      <c r="J139" s="616"/>
      <c r="K139" s="1672">
        <f>SUM(K137,K138)</f>
        <v>47593</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7" t="s">
        <v>620</v>
      </c>
      <c r="B151" s="2159"/>
      <c r="C151" s="1670">
        <f>SUM(C129,C130,C139,C149,C150)</f>
        <v>338876</v>
      </c>
      <c r="D151" s="1670">
        <f t="shared" ref="D151:K151" si="16">SUM(D129,D130,D139,D149,D150)</f>
        <v>108207</v>
      </c>
      <c r="E151" s="1670">
        <f t="shared" si="16"/>
        <v>945900</v>
      </c>
      <c r="F151" s="1670">
        <f t="shared" si="16"/>
        <v>593382</v>
      </c>
      <c r="G151" s="1670">
        <f t="shared" si="16"/>
        <v>327443</v>
      </c>
      <c r="H151" s="1670">
        <f t="shared" si="16"/>
        <v>134385</v>
      </c>
      <c r="I151" s="1670">
        <f t="shared" si="16"/>
        <v>0</v>
      </c>
      <c r="J151" s="1670">
        <f t="shared" si="16"/>
        <v>0</v>
      </c>
      <c r="K151" s="1670">
        <f t="shared" si="16"/>
        <v>2448193</v>
      </c>
      <c r="L151" s="1670">
        <f>SUM(L129,L130,L139,L149,L150)</f>
        <v>2601500</v>
      </c>
    </row>
    <row r="152" spans="1:14" ht="12.75" customHeight="1" thickTop="1" x14ac:dyDescent="0.2">
      <c r="A152" s="2180" t="s">
        <v>1178</v>
      </c>
      <c r="B152" s="2181"/>
      <c r="C152" s="618"/>
      <c r="D152" s="618"/>
      <c r="E152" s="618"/>
      <c r="F152" s="618"/>
      <c r="G152" s="618"/>
      <c r="H152" s="618"/>
      <c r="I152" s="618"/>
      <c r="J152" s="616"/>
      <c r="K152" s="1684">
        <f>'Revenues 9-14'!D268-'Expenditures 15-22'!K151</f>
        <v>12545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528600</v>
      </c>
      <c r="I169" s="616"/>
      <c r="J169" s="616"/>
      <c r="K169" s="1671">
        <f>SUM(C169:H169)</f>
        <v>528600</v>
      </c>
      <c r="L169" s="656">
        <v>3044000</v>
      </c>
    </row>
    <row r="170" spans="1:14" ht="33.75" customHeight="1" x14ac:dyDescent="0.2">
      <c r="A170" s="669" t="s">
        <v>1670</v>
      </c>
      <c r="B170" s="671" t="s">
        <v>31</v>
      </c>
      <c r="C170" s="616"/>
      <c r="D170" s="616"/>
      <c r="E170" s="616"/>
      <c r="F170" s="616"/>
      <c r="G170" s="616"/>
      <c r="H170" s="569">
        <v>2515000</v>
      </c>
      <c r="I170" s="616"/>
      <c r="J170" s="616"/>
      <c r="K170" s="1671">
        <f>SUM(C170:J170)</f>
        <v>2515000</v>
      </c>
      <c r="L170" s="569"/>
    </row>
    <row r="171" spans="1:14" ht="15.75" customHeight="1" x14ac:dyDescent="0.2">
      <c r="A171" s="621" t="s">
        <v>766</v>
      </c>
      <c r="B171" s="672" t="s">
        <v>84</v>
      </c>
      <c r="C171" s="616"/>
      <c r="D171" s="616"/>
      <c r="E171" s="466"/>
      <c r="F171" s="616"/>
      <c r="G171" s="616"/>
      <c r="H171" s="569">
        <v>950</v>
      </c>
      <c r="I171" s="477"/>
      <c r="J171" s="616"/>
      <c r="K171" s="1671">
        <f>SUM(C171:J171)</f>
        <v>950</v>
      </c>
      <c r="L171" s="569">
        <v>5000</v>
      </c>
    </row>
    <row r="172" spans="1:14" ht="12.75" customHeight="1" thickBot="1" x14ac:dyDescent="0.25">
      <c r="A172" s="1668" t="s">
        <v>638</v>
      </c>
      <c r="B172" s="1669" t="s">
        <v>492</v>
      </c>
      <c r="C172" s="616"/>
      <c r="D172" s="616"/>
      <c r="E172" s="1677">
        <f>SUM(E168,E169,E170,E171)</f>
        <v>0</v>
      </c>
      <c r="F172" s="616"/>
      <c r="G172" s="616"/>
      <c r="H172" s="1677">
        <f>SUM(H168,H169,H170,H171)</f>
        <v>3044550</v>
      </c>
      <c r="I172" s="638"/>
      <c r="J172" s="616"/>
      <c r="K172" s="1677">
        <f>SUM(K168,K169,K170,K171)</f>
        <v>3044550</v>
      </c>
      <c r="L172" s="1677">
        <f>SUM(L168,L169,L170,L171)</f>
        <v>3049000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3044550</v>
      </c>
      <c r="I174" s="638"/>
      <c r="J174" s="616"/>
      <c r="K174" s="1677">
        <f>SUM(K160,K172,K173)</f>
        <v>3044550</v>
      </c>
      <c r="L174" s="1677">
        <f>SUM(L160,L172,L173)</f>
        <v>3049000</v>
      </c>
    </row>
    <row r="175" spans="1:14" ht="13.5" thickTop="1" x14ac:dyDescent="0.2">
      <c r="A175" s="2187" t="s">
        <v>996</v>
      </c>
      <c r="B175" s="2188"/>
      <c r="C175" s="616"/>
      <c r="D175" s="616"/>
      <c r="E175" s="616"/>
      <c r="F175" s="616"/>
      <c r="G175" s="616"/>
      <c r="H175" s="618"/>
      <c r="I175" s="616"/>
      <c r="J175" s="616"/>
      <c r="K175" s="1684">
        <f>'Revenues 9-14'!E268-'Expenditures 15-22'!K174</f>
        <v>-187345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1130466</v>
      </c>
      <c r="D182" s="466">
        <v>337153</v>
      </c>
      <c r="E182" s="466">
        <v>447344</v>
      </c>
      <c r="F182" s="466">
        <v>191948</v>
      </c>
      <c r="G182" s="466">
        <v>481603</v>
      </c>
      <c r="H182" s="466">
        <v>400</v>
      </c>
      <c r="I182" s="467"/>
      <c r="J182" s="467"/>
      <c r="K182" s="1671">
        <f>SUM(C182:J182)</f>
        <v>2588914</v>
      </c>
      <c r="L182" s="466">
        <v>2255000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1130466</v>
      </c>
      <c r="D184" s="1677">
        <f t="shared" ref="D184:J184" si="17">SUM(D180,D182,D183)</f>
        <v>337153</v>
      </c>
      <c r="E184" s="1677">
        <f t="shared" si="17"/>
        <v>447344</v>
      </c>
      <c r="F184" s="1677">
        <f t="shared" si="17"/>
        <v>191948</v>
      </c>
      <c r="G184" s="1677">
        <f t="shared" si="17"/>
        <v>481603</v>
      </c>
      <c r="H184" s="1677">
        <f t="shared" si="17"/>
        <v>400</v>
      </c>
      <c r="I184" s="1677">
        <f t="shared" si="17"/>
        <v>0</v>
      </c>
      <c r="J184" s="1677">
        <f t="shared" si="17"/>
        <v>0</v>
      </c>
      <c r="K184" s="1677">
        <f>SUM(K180,K182,K183)</f>
        <v>2588914</v>
      </c>
      <c r="L184" s="1677">
        <f>SUM(L180, L182:L183)</f>
        <v>2255000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4634</v>
      </c>
      <c r="I205" s="616"/>
      <c r="J205" s="616"/>
      <c r="K205" s="1685">
        <f>SUM(H205)</f>
        <v>4634</v>
      </c>
      <c r="L205" s="535"/>
    </row>
    <row r="206" spans="1:14" ht="30" customHeight="1" x14ac:dyDescent="0.2">
      <c r="A206" s="681" t="s">
        <v>1671</v>
      </c>
      <c r="B206" s="672" t="s">
        <v>31</v>
      </c>
      <c r="C206" s="616"/>
      <c r="D206" s="616"/>
      <c r="E206" s="616"/>
      <c r="F206" s="616"/>
      <c r="G206" s="616"/>
      <c r="H206" s="466">
        <v>224189</v>
      </c>
      <c r="I206" s="616"/>
      <c r="J206" s="616"/>
      <c r="K206" s="1671">
        <f>SUM(H206)</f>
        <v>224189</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228823</v>
      </c>
      <c r="I208" s="616"/>
      <c r="J208" s="616"/>
      <c r="K208" s="1677">
        <f>SUM(K204,K205,K206,K207)</f>
        <v>228823</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1130466</v>
      </c>
      <c r="D210" s="1670">
        <f>SUM(D184,D185)</f>
        <v>337153</v>
      </c>
      <c r="E210" s="1670">
        <f>SUM(E184,E185,E196)</f>
        <v>447344</v>
      </c>
      <c r="F210" s="1670">
        <f>SUM(F184,F185)</f>
        <v>191948</v>
      </c>
      <c r="G210" s="1670">
        <f>SUM(G184,G185)</f>
        <v>481603</v>
      </c>
      <c r="H210" s="1670">
        <f>SUM(H184,H185,H196,H208,H209)</f>
        <v>229223</v>
      </c>
      <c r="I210" s="1670">
        <f>SUM(I184,I185)</f>
        <v>0</v>
      </c>
      <c r="J210" s="1670">
        <f>SUM(J184,J185)</f>
        <v>0</v>
      </c>
      <c r="K210" s="1671">
        <f>SUM(K184,K185,K196,K208,K209)</f>
        <v>2817737</v>
      </c>
      <c r="L210" s="1670">
        <f>SUM(L184,L185,L196,L208,L209)</f>
        <v>2255000</v>
      </c>
    </row>
    <row r="211" spans="1:14" ht="13.5" thickTop="1" x14ac:dyDescent="0.2">
      <c r="A211" s="2187" t="s">
        <v>996</v>
      </c>
      <c r="B211" s="2188"/>
      <c r="C211" s="618"/>
      <c r="D211" s="618"/>
      <c r="E211" s="618"/>
      <c r="F211" s="618"/>
      <c r="G211" s="618"/>
      <c r="H211" s="618"/>
      <c r="I211" s="616"/>
      <c r="J211" s="616"/>
      <c r="K211" s="1684">
        <f>'Revenues 9-14'!F268-'Expenditures 15-22'!K210</f>
        <v>-443626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115527</v>
      </c>
      <c r="E215" s="616"/>
      <c r="F215" s="616"/>
      <c r="G215" s="616"/>
      <c r="H215" s="616"/>
      <c r="I215" s="616"/>
      <c r="J215" s="616"/>
      <c r="K215" s="1671">
        <f>D215</f>
        <v>115527</v>
      </c>
      <c r="L215" s="466">
        <v>117000</v>
      </c>
    </row>
    <row r="216" spans="1:14" x14ac:dyDescent="0.2">
      <c r="A216" s="1504" t="s">
        <v>163</v>
      </c>
      <c r="B216" s="614" t="s">
        <v>967</v>
      </c>
      <c r="C216" s="616"/>
      <c r="D216" s="467">
        <f>1318+2</f>
        <v>1320</v>
      </c>
      <c r="E216" s="616"/>
      <c r="F216" s="616"/>
      <c r="G216" s="616"/>
      <c r="H216" s="616"/>
      <c r="I216" s="616"/>
      <c r="J216" s="616"/>
      <c r="K216" s="1671">
        <f t="shared" ref="K216:K228" si="19">D216</f>
        <v>1320</v>
      </c>
      <c r="L216" s="466">
        <v>7500</v>
      </c>
    </row>
    <row r="217" spans="1:14" x14ac:dyDescent="0.2">
      <c r="A217" s="1504" t="s">
        <v>164</v>
      </c>
      <c r="B217" s="614">
        <v>1200</v>
      </c>
      <c r="C217" s="616"/>
      <c r="D217" s="466">
        <f>65125+63811</f>
        <v>128936</v>
      </c>
      <c r="E217" s="616"/>
      <c r="F217" s="616"/>
      <c r="G217" s="616"/>
      <c r="H217" s="616"/>
      <c r="I217" s="616"/>
      <c r="J217" s="616"/>
      <c r="K217" s="1671">
        <f t="shared" si="19"/>
        <v>128936</v>
      </c>
      <c r="L217" s="466">
        <v>131500</v>
      </c>
    </row>
    <row r="218" spans="1:14" x14ac:dyDescent="0.2">
      <c r="A218" s="1504" t="s">
        <v>278</v>
      </c>
      <c r="B218" s="614" t="s">
        <v>968</v>
      </c>
      <c r="C218" s="616"/>
      <c r="D218" s="467">
        <v>0</v>
      </c>
      <c r="E218" s="616"/>
      <c r="F218" s="616"/>
      <c r="G218" s="616"/>
      <c r="H218" s="616"/>
      <c r="I218" s="616"/>
      <c r="J218" s="616"/>
      <c r="K218" s="1671">
        <f t="shared" si="19"/>
        <v>0</v>
      </c>
      <c r="L218" s="466">
        <v>0</v>
      </c>
    </row>
    <row r="219" spans="1:14" x14ac:dyDescent="0.2">
      <c r="A219" s="1504" t="s">
        <v>279</v>
      </c>
      <c r="B219" s="614">
        <v>1250</v>
      </c>
      <c r="C219" s="616"/>
      <c r="D219" s="466">
        <f>452+135</f>
        <v>587</v>
      </c>
      <c r="E219" s="616"/>
      <c r="F219" s="616"/>
      <c r="G219" s="616"/>
      <c r="H219" s="616"/>
      <c r="I219" s="616"/>
      <c r="J219" s="616"/>
      <c r="K219" s="1671">
        <f t="shared" si="19"/>
        <v>587</v>
      </c>
      <c r="L219" s="466">
        <v>0</v>
      </c>
    </row>
    <row r="220" spans="1:14" x14ac:dyDescent="0.2">
      <c r="A220" s="1504" t="s">
        <v>280</v>
      </c>
      <c r="B220" s="614" t="s">
        <v>161</v>
      </c>
      <c r="C220" s="616"/>
      <c r="D220" s="467">
        <v>1783</v>
      </c>
      <c r="E220" s="616"/>
      <c r="F220" s="616"/>
      <c r="G220" s="616"/>
      <c r="H220" s="616"/>
      <c r="I220" s="616"/>
      <c r="J220" s="616"/>
      <c r="K220" s="1671">
        <f t="shared" si="19"/>
        <v>1783</v>
      </c>
      <c r="L220" s="466">
        <v>0</v>
      </c>
    </row>
    <row r="221" spans="1:14" x14ac:dyDescent="0.2">
      <c r="A221" s="1504" t="s">
        <v>962</v>
      </c>
      <c r="B221" s="614">
        <v>1300</v>
      </c>
      <c r="C221" s="616"/>
      <c r="D221" s="466">
        <v>0</v>
      </c>
      <c r="E221" s="616"/>
      <c r="F221" s="616"/>
      <c r="G221" s="616"/>
      <c r="H221" s="616"/>
      <c r="I221" s="616"/>
      <c r="J221" s="616"/>
      <c r="K221" s="1671">
        <f t="shared" si="19"/>
        <v>0</v>
      </c>
      <c r="L221" s="466">
        <v>0</v>
      </c>
    </row>
    <row r="222" spans="1:14" x14ac:dyDescent="0.2">
      <c r="A222" s="1504" t="s">
        <v>723</v>
      </c>
      <c r="B222" s="614">
        <v>1400</v>
      </c>
      <c r="C222" s="616"/>
      <c r="D222" s="466">
        <v>0</v>
      </c>
      <c r="E222" s="616"/>
      <c r="F222" s="616"/>
      <c r="G222" s="616"/>
      <c r="H222" s="616"/>
      <c r="I222" s="616"/>
      <c r="J222" s="616"/>
      <c r="K222" s="1671">
        <f t="shared" si="19"/>
        <v>0</v>
      </c>
      <c r="L222" s="466">
        <v>0</v>
      </c>
    </row>
    <row r="223" spans="1:14" x14ac:dyDescent="0.2">
      <c r="A223" s="1504" t="s">
        <v>963</v>
      </c>
      <c r="B223" s="614">
        <v>1500</v>
      </c>
      <c r="C223" s="616"/>
      <c r="D223" s="466">
        <f>3383+1215</f>
        <v>4598</v>
      </c>
      <c r="E223" s="616"/>
      <c r="F223" s="616"/>
      <c r="G223" s="616"/>
      <c r="H223" s="616"/>
      <c r="I223" s="616"/>
      <c r="J223" s="616"/>
      <c r="K223" s="1671">
        <f t="shared" si="19"/>
        <v>4598</v>
      </c>
      <c r="L223" s="466">
        <v>4300</v>
      </c>
    </row>
    <row r="224" spans="1:14" x14ac:dyDescent="0.2">
      <c r="A224" s="1504" t="s">
        <v>964</v>
      </c>
      <c r="B224" s="614">
        <v>1600</v>
      </c>
      <c r="C224" s="616"/>
      <c r="D224" s="466">
        <f>300+113</f>
        <v>413</v>
      </c>
      <c r="E224" s="616"/>
      <c r="F224" s="616"/>
      <c r="G224" s="616"/>
      <c r="H224" s="616"/>
      <c r="I224" s="616"/>
      <c r="J224" s="616"/>
      <c r="K224" s="1671">
        <f t="shared" si="19"/>
        <v>413</v>
      </c>
      <c r="L224" s="466">
        <v>0</v>
      </c>
    </row>
    <row r="225" spans="1:12" x14ac:dyDescent="0.2">
      <c r="A225" s="1504" t="s">
        <v>987</v>
      </c>
      <c r="B225" s="614">
        <v>1650</v>
      </c>
      <c r="C225" s="616"/>
      <c r="D225" s="466">
        <v>2471</v>
      </c>
      <c r="E225" s="616"/>
      <c r="F225" s="616"/>
      <c r="G225" s="616"/>
      <c r="H225" s="616"/>
      <c r="I225" s="616"/>
      <c r="J225" s="616"/>
      <c r="K225" s="1671">
        <f t="shared" si="19"/>
        <v>2471</v>
      </c>
      <c r="L225" s="466">
        <v>4100</v>
      </c>
    </row>
    <row r="226" spans="1:12" x14ac:dyDescent="0.2">
      <c r="A226" s="1504" t="s">
        <v>724</v>
      </c>
      <c r="B226" s="614" t="s">
        <v>162</v>
      </c>
      <c r="C226" s="616"/>
      <c r="D226" s="467">
        <v>0</v>
      </c>
      <c r="E226" s="616"/>
      <c r="F226" s="616"/>
      <c r="G226" s="616"/>
      <c r="H226" s="616"/>
      <c r="I226" s="616"/>
      <c r="J226" s="616"/>
      <c r="K226" s="1671">
        <f t="shared" si="19"/>
        <v>0</v>
      </c>
      <c r="L226" s="466">
        <v>0</v>
      </c>
    </row>
    <row r="227" spans="1:12" x14ac:dyDescent="0.2">
      <c r="A227" s="1504" t="s">
        <v>1087</v>
      </c>
      <c r="B227" s="614">
        <v>1800</v>
      </c>
      <c r="C227" s="616"/>
      <c r="D227" s="466">
        <v>8139</v>
      </c>
      <c r="E227" s="616"/>
      <c r="F227" s="616"/>
      <c r="G227" s="616"/>
      <c r="H227" s="616"/>
      <c r="I227" s="616"/>
      <c r="J227" s="616"/>
      <c r="K227" s="1671">
        <f t="shared" si="19"/>
        <v>8139</v>
      </c>
      <c r="L227" s="466">
        <v>8700</v>
      </c>
    </row>
    <row r="228" spans="1:12" x14ac:dyDescent="0.2">
      <c r="A228" s="1504" t="s">
        <v>1088</v>
      </c>
      <c r="B228" s="614">
        <v>1900</v>
      </c>
      <c r="C228" s="616"/>
      <c r="D228" s="466">
        <v>0</v>
      </c>
      <c r="E228" s="616"/>
      <c r="F228" s="616"/>
      <c r="G228" s="616"/>
      <c r="H228" s="616"/>
      <c r="I228" s="616"/>
      <c r="J228" s="616"/>
      <c r="K228" s="1671">
        <f t="shared" si="19"/>
        <v>0</v>
      </c>
      <c r="L228" s="466">
        <v>1700</v>
      </c>
    </row>
    <row r="229" spans="1:12" ht="12.75" customHeight="1" thickBot="1" x14ac:dyDescent="0.25">
      <c r="A229" s="1668" t="s">
        <v>715</v>
      </c>
      <c r="B229" s="1675" t="s">
        <v>570</v>
      </c>
      <c r="C229" s="616"/>
      <c r="D229" s="1670">
        <f>SUM(D215:D228)</f>
        <v>263774</v>
      </c>
      <c r="E229" s="616"/>
      <c r="F229" s="616"/>
      <c r="G229" s="616"/>
      <c r="H229" s="616"/>
      <c r="I229" s="616"/>
      <c r="J229" s="616"/>
      <c r="K229" s="1670">
        <f>SUM(K215:K228)</f>
        <v>263774</v>
      </c>
      <c r="L229" s="1670">
        <f>SUM(L215:L228)</f>
        <v>274800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f>2732</f>
        <v>2732</v>
      </c>
      <c r="E233" s="616"/>
      <c r="F233" s="616"/>
      <c r="G233" s="616"/>
      <c r="H233" s="616"/>
      <c r="I233" s="616"/>
      <c r="J233" s="616"/>
      <c r="K233" s="1671">
        <f t="shared" si="20"/>
        <v>2732</v>
      </c>
      <c r="L233" s="466">
        <v>6000</v>
      </c>
    </row>
    <row r="234" spans="1:12" x14ac:dyDescent="0.2">
      <c r="A234" s="1504" t="s">
        <v>198</v>
      </c>
      <c r="B234" s="614">
        <v>2130</v>
      </c>
      <c r="C234" s="616"/>
      <c r="D234" s="466">
        <f>8857+12285</f>
        <v>21142</v>
      </c>
      <c r="E234" s="616"/>
      <c r="F234" s="616"/>
      <c r="G234" s="616"/>
      <c r="H234" s="616"/>
      <c r="I234" s="616"/>
      <c r="J234" s="616"/>
      <c r="K234" s="1671">
        <f t="shared" si="20"/>
        <v>21142</v>
      </c>
      <c r="L234" s="466">
        <v>23000</v>
      </c>
    </row>
    <row r="235" spans="1:12" x14ac:dyDescent="0.2">
      <c r="A235" s="1504" t="s">
        <v>199</v>
      </c>
      <c r="B235" s="614">
        <v>2140</v>
      </c>
      <c r="C235" s="616"/>
      <c r="D235" s="466">
        <f>3307</f>
        <v>3307</v>
      </c>
      <c r="E235" s="616"/>
      <c r="F235" s="616"/>
      <c r="G235" s="616"/>
      <c r="H235" s="616"/>
      <c r="I235" s="616"/>
      <c r="J235" s="616"/>
      <c r="K235" s="1671">
        <f t="shared" si="20"/>
        <v>3307</v>
      </c>
      <c r="L235" s="466">
        <v>2500</v>
      </c>
    </row>
    <row r="236" spans="1:12" x14ac:dyDescent="0.2">
      <c r="A236" s="1504" t="s">
        <v>200</v>
      </c>
      <c r="B236" s="614">
        <v>2150</v>
      </c>
      <c r="C236" s="616"/>
      <c r="D236" s="466">
        <v>4985</v>
      </c>
      <c r="E236" s="616"/>
      <c r="F236" s="616"/>
      <c r="G236" s="616"/>
      <c r="H236" s="616"/>
      <c r="I236" s="616"/>
      <c r="J236" s="616"/>
      <c r="K236" s="1671">
        <f t="shared" si="20"/>
        <v>4985</v>
      </c>
      <c r="L236" s="466">
        <v>4300</v>
      </c>
    </row>
    <row r="237" spans="1:12" x14ac:dyDescent="0.2">
      <c r="A237" s="1504" t="s">
        <v>165</v>
      </c>
      <c r="B237" s="614">
        <v>2190</v>
      </c>
      <c r="C237" s="616"/>
      <c r="D237" s="466">
        <f>6212+477</f>
        <v>6689</v>
      </c>
      <c r="E237" s="616"/>
      <c r="F237" s="616"/>
      <c r="G237" s="616"/>
      <c r="H237" s="616"/>
      <c r="I237" s="616"/>
      <c r="J237" s="616"/>
      <c r="K237" s="1671">
        <f t="shared" si="20"/>
        <v>6689</v>
      </c>
      <c r="L237" s="466">
        <v>7000</v>
      </c>
    </row>
    <row r="238" spans="1:12" ht="12.75" customHeight="1" thickBot="1" x14ac:dyDescent="0.25">
      <c r="A238" s="1668" t="s">
        <v>560</v>
      </c>
      <c r="B238" s="1675" t="s">
        <v>716</v>
      </c>
      <c r="C238" s="616"/>
      <c r="D238" s="1670">
        <f>SUM(D232:D237)</f>
        <v>38855</v>
      </c>
      <c r="E238" s="616"/>
      <c r="F238" s="616"/>
      <c r="G238" s="616"/>
      <c r="H238" s="616"/>
      <c r="I238" s="616"/>
      <c r="J238" s="616"/>
      <c r="K238" s="1670">
        <f>SUM(K232:K237)</f>
        <v>38855</v>
      </c>
      <c r="L238" s="1670">
        <f>SUM(L232:L237)</f>
        <v>42800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f>2662</f>
        <v>2662</v>
      </c>
      <c r="E240" s="616"/>
      <c r="F240" s="616"/>
      <c r="G240" s="616"/>
      <c r="H240" s="616"/>
      <c r="I240" s="616"/>
      <c r="J240" s="616"/>
      <c r="K240" s="1672">
        <f>D240</f>
        <v>2662</v>
      </c>
      <c r="L240" s="481">
        <v>3000</v>
      </c>
    </row>
    <row r="241" spans="1:12" x14ac:dyDescent="0.2">
      <c r="A241" s="1504" t="s">
        <v>815</v>
      </c>
      <c r="B241" s="614">
        <v>2220</v>
      </c>
      <c r="C241" s="616"/>
      <c r="D241" s="466">
        <f>11618+4100</f>
        <v>15718</v>
      </c>
      <c r="E241" s="616"/>
      <c r="F241" s="616"/>
      <c r="G241" s="616"/>
      <c r="H241" s="616"/>
      <c r="I241" s="616"/>
      <c r="J241" s="616"/>
      <c r="K241" s="1672">
        <f>D241</f>
        <v>15718</v>
      </c>
      <c r="L241" s="466">
        <v>35700</v>
      </c>
    </row>
    <row r="242" spans="1:12" x14ac:dyDescent="0.2">
      <c r="A242" s="1504" t="s">
        <v>816</v>
      </c>
      <c r="B242" s="614">
        <v>2230</v>
      </c>
      <c r="C242" s="616"/>
      <c r="D242" s="466">
        <v>0</v>
      </c>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18380</v>
      </c>
      <c r="E243" s="616"/>
      <c r="F243" s="616"/>
      <c r="G243" s="616"/>
      <c r="H243" s="616"/>
      <c r="I243" s="616"/>
      <c r="J243" s="616"/>
      <c r="K243" s="1670">
        <f>SUM(K240:K242)</f>
        <v>18380</v>
      </c>
      <c r="L243" s="1670">
        <f>SUM(L240:L242)</f>
        <v>38700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0</v>
      </c>
      <c r="E245" s="616"/>
      <c r="F245" s="616"/>
      <c r="G245" s="616"/>
      <c r="H245" s="616"/>
      <c r="I245" s="616"/>
      <c r="J245" s="616"/>
      <c r="K245" s="1672">
        <f>D245</f>
        <v>0</v>
      </c>
      <c r="L245" s="481">
        <v>0</v>
      </c>
    </row>
    <row r="246" spans="1:12" x14ac:dyDescent="0.2">
      <c r="A246" s="1504" t="s">
        <v>818</v>
      </c>
      <c r="B246" s="614">
        <v>2320</v>
      </c>
      <c r="C246" s="616"/>
      <c r="D246" s="466">
        <f>11380+10915</f>
        <v>22295</v>
      </c>
      <c r="E246" s="616"/>
      <c r="F246" s="616"/>
      <c r="G246" s="616"/>
      <c r="H246" s="616"/>
      <c r="I246" s="616"/>
      <c r="J246" s="616"/>
      <c r="K246" s="1672">
        <f t="shared" ref="K246:K256" si="21">D246</f>
        <v>22295</v>
      </c>
      <c r="L246" s="466">
        <v>16500</v>
      </c>
    </row>
    <row r="247" spans="1:12" x14ac:dyDescent="0.2">
      <c r="A247" s="1504" t="s">
        <v>819</v>
      </c>
      <c r="B247" s="614">
        <v>2330</v>
      </c>
      <c r="C247" s="616"/>
      <c r="D247" s="466">
        <v>0</v>
      </c>
      <c r="E247" s="616"/>
      <c r="F247" s="616"/>
      <c r="G247" s="616"/>
      <c r="H247" s="616"/>
      <c r="I247" s="616"/>
      <c r="J247" s="616"/>
      <c r="K247" s="1672">
        <f t="shared" si="21"/>
        <v>0</v>
      </c>
      <c r="L247" s="466">
        <v>0</v>
      </c>
    </row>
    <row r="248" spans="1:12" x14ac:dyDescent="0.2">
      <c r="A248" s="1505" t="s">
        <v>299</v>
      </c>
      <c r="B248" s="602" t="s">
        <v>281</v>
      </c>
      <c r="C248" s="616"/>
      <c r="D248" s="474">
        <v>0</v>
      </c>
      <c r="E248" s="616"/>
      <c r="F248" s="616"/>
      <c r="G248" s="616"/>
      <c r="H248" s="616"/>
      <c r="I248" s="616"/>
      <c r="J248" s="616"/>
      <c r="K248" s="1672">
        <f t="shared" si="21"/>
        <v>0</v>
      </c>
      <c r="L248" s="466">
        <v>0</v>
      </c>
    </row>
    <row r="249" spans="1:12" x14ac:dyDescent="0.2">
      <c r="A249" s="1506" t="s">
        <v>1805</v>
      </c>
      <c r="B249" s="683" t="s">
        <v>282</v>
      </c>
      <c r="C249" s="616"/>
      <c r="D249" s="474">
        <v>0</v>
      </c>
      <c r="E249" s="616"/>
      <c r="F249" s="616"/>
      <c r="G249" s="616"/>
      <c r="H249" s="616"/>
      <c r="I249" s="616"/>
      <c r="J249" s="616"/>
      <c r="K249" s="1672">
        <f t="shared" si="21"/>
        <v>0</v>
      </c>
      <c r="L249" s="466">
        <v>0</v>
      </c>
    </row>
    <row r="250" spans="1:12" x14ac:dyDescent="0.2">
      <c r="A250" s="1505" t="s">
        <v>1806</v>
      </c>
      <c r="B250" s="602" t="s">
        <v>283</v>
      </c>
      <c r="C250" s="616"/>
      <c r="D250" s="474">
        <v>0</v>
      </c>
      <c r="E250" s="616"/>
      <c r="F250" s="616"/>
      <c r="G250" s="616"/>
      <c r="H250" s="616"/>
      <c r="I250" s="616"/>
      <c r="J250" s="616"/>
      <c r="K250" s="1672">
        <f t="shared" si="21"/>
        <v>0</v>
      </c>
      <c r="L250" s="466">
        <v>0</v>
      </c>
    </row>
    <row r="251" spans="1:12" x14ac:dyDescent="0.2">
      <c r="A251" s="1505" t="s">
        <v>238</v>
      </c>
      <c r="B251" s="602" t="s">
        <v>284</v>
      </c>
      <c r="C251" s="616"/>
      <c r="D251" s="474">
        <v>0</v>
      </c>
      <c r="E251" s="616"/>
      <c r="F251" s="616"/>
      <c r="G251" s="616"/>
      <c r="H251" s="616"/>
      <c r="I251" s="616"/>
      <c r="J251" s="616"/>
      <c r="K251" s="1672">
        <f t="shared" si="21"/>
        <v>0</v>
      </c>
      <c r="L251" s="466">
        <v>0</v>
      </c>
    </row>
    <row r="252" spans="1:12" x14ac:dyDescent="0.2">
      <c r="A252" s="1505" t="s">
        <v>702</v>
      </c>
      <c r="B252" s="602" t="s">
        <v>285</v>
      </c>
      <c r="C252" s="616"/>
      <c r="D252" s="474">
        <v>0</v>
      </c>
      <c r="E252" s="616"/>
      <c r="F252" s="616"/>
      <c r="G252" s="616"/>
      <c r="H252" s="616"/>
      <c r="I252" s="616"/>
      <c r="J252" s="616"/>
      <c r="K252" s="1672">
        <f t="shared" si="21"/>
        <v>0</v>
      </c>
      <c r="L252" s="466">
        <v>0</v>
      </c>
    </row>
    <row r="253" spans="1:12" x14ac:dyDescent="0.2">
      <c r="A253" s="1505" t="s">
        <v>239</v>
      </c>
      <c r="B253" s="602" t="s">
        <v>286</v>
      </c>
      <c r="C253" s="616"/>
      <c r="D253" s="474">
        <v>0</v>
      </c>
      <c r="E253" s="616"/>
      <c r="F253" s="616"/>
      <c r="G253" s="616"/>
      <c r="H253" s="616"/>
      <c r="I253" s="616"/>
      <c r="J253" s="616"/>
      <c r="K253" s="1672">
        <f t="shared" si="21"/>
        <v>0</v>
      </c>
      <c r="L253" s="466">
        <v>0</v>
      </c>
    </row>
    <row r="254" spans="1:12" ht="22.5" x14ac:dyDescent="0.2">
      <c r="A254" s="1505" t="s">
        <v>1029</v>
      </c>
      <c r="B254" s="683" t="s">
        <v>287</v>
      </c>
      <c r="C254" s="616"/>
      <c r="D254" s="474">
        <v>0</v>
      </c>
      <c r="E254" s="616"/>
      <c r="F254" s="616"/>
      <c r="G254" s="616"/>
      <c r="H254" s="616"/>
      <c r="I254" s="616"/>
      <c r="J254" s="616"/>
      <c r="K254" s="1672">
        <f t="shared" si="21"/>
        <v>0</v>
      </c>
      <c r="L254" s="466">
        <v>0</v>
      </c>
    </row>
    <row r="255" spans="1:12" x14ac:dyDescent="0.2">
      <c r="A255" s="1505" t="s">
        <v>1030</v>
      </c>
      <c r="B255" s="602" t="s">
        <v>288</v>
      </c>
      <c r="C255" s="616"/>
      <c r="D255" s="474">
        <v>0</v>
      </c>
      <c r="E255" s="616"/>
      <c r="F255" s="616"/>
      <c r="G255" s="616"/>
      <c r="H255" s="616"/>
      <c r="I255" s="616"/>
      <c r="J255" s="616"/>
      <c r="K255" s="1672">
        <f t="shared" si="21"/>
        <v>0</v>
      </c>
      <c r="L255" s="466">
        <v>0</v>
      </c>
    </row>
    <row r="256" spans="1:12" x14ac:dyDescent="0.2">
      <c r="A256" s="1505" t="s">
        <v>971</v>
      </c>
      <c r="B256" s="614" t="s">
        <v>289</v>
      </c>
      <c r="C256" s="616"/>
      <c r="D256" s="474">
        <v>0</v>
      </c>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22295</v>
      </c>
      <c r="E257" s="616"/>
      <c r="F257" s="616"/>
      <c r="G257" s="616"/>
      <c r="H257" s="616"/>
      <c r="I257" s="616"/>
      <c r="J257" s="616"/>
      <c r="K257" s="1670">
        <f>SUM(K245:K256)</f>
        <v>22295</v>
      </c>
      <c r="L257" s="1670">
        <f>SUM(L245:L256)</f>
        <v>16500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23490+21473</f>
        <v>44963</v>
      </c>
      <c r="E259" s="616"/>
      <c r="F259" s="616"/>
      <c r="G259" s="616"/>
      <c r="H259" s="616"/>
      <c r="I259" s="616"/>
      <c r="J259" s="616"/>
      <c r="K259" s="1672">
        <f>D259</f>
        <v>44963</v>
      </c>
      <c r="L259" s="481">
        <v>52500</v>
      </c>
    </row>
    <row r="260" spans="1:14" s="597" customFormat="1" x14ac:dyDescent="0.2">
      <c r="A260" s="1522" t="s">
        <v>1804</v>
      </c>
      <c r="B260" s="628">
        <v>2490</v>
      </c>
      <c r="C260" s="616"/>
      <c r="D260" s="466">
        <f>6683+6274</f>
        <v>12957</v>
      </c>
      <c r="E260" s="616"/>
      <c r="F260" s="616"/>
      <c r="G260" s="616"/>
      <c r="H260" s="616"/>
      <c r="I260" s="616"/>
      <c r="J260" s="616"/>
      <c r="K260" s="1672">
        <f>D260</f>
        <v>12957</v>
      </c>
      <c r="L260" s="466">
        <v>13000</v>
      </c>
      <c r="M260" s="210"/>
      <c r="N260" s="210"/>
    </row>
    <row r="261" spans="1:14" ht="12.75" customHeight="1" thickBot="1" x14ac:dyDescent="0.25">
      <c r="A261" s="1692" t="s">
        <v>263</v>
      </c>
      <c r="B261" s="1697" t="s">
        <v>34</v>
      </c>
      <c r="C261" s="616"/>
      <c r="D261" s="1670">
        <f>SUM(D259:D260)</f>
        <v>57920</v>
      </c>
      <c r="E261" s="616"/>
      <c r="F261" s="616"/>
      <c r="G261" s="616"/>
      <c r="H261" s="616"/>
      <c r="I261" s="616"/>
      <c r="J261" s="616"/>
      <c r="K261" s="1670">
        <f>SUM(K259:K260)</f>
        <v>57920</v>
      </c>
      <c r="L261" s="1670">
        <f>SUM(L259:L260)</f>
        <v>65500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f>16873+16499</f>
        <v>33372</v>
      </c>
      <c r="E263" s="616"/>
      <c r="F263" s="616"/>
      <c r="G263" s="616"/>
      <c r="H263" s="616"/>
      <c r="I263" s="616"/>
      <c r="J263" s="616"/>
      <c r="K263" s="1672">
        <f>D263</f>
        <v>33372</v>
      </c>
      <c r="L263" s="481">
        <v>33060</v>
      </c>
    </row>
    <row r="264" spans="1:14" x14ac:dyDescent="0.2">
      <c r="A264" s="1504" t="s">
        <v>463</v>
      </c>
      <c r="B264" s="685">
        <v>2520</v>
      </c>
      <c r="C264" s="616"/>
      <c r="D264" s="466">
        <v>0</v>
      </c>
      <c r="E264" s="616"/>
      <c r="F264" s="616"/>
      <c r="G264" s="616"/>
      <c r="H264" s="616"/>
      <c r="I264" s="616"/>
      <c r="J264" s="616"/>
      <c r="K264" s="1672">
        <f t="shared" ref="K264:K269" si="22">D264</f>
        <v>0</v>
      </c>
      <c r="L264" s="466">
        <v>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f>22608+32440</f>
        <v>55048</v>
      </c>
      <c r="E266" s="616"/>
      <c r="F266" s="616"/>
      <c r="G266" s="616"/>
      <c r="H266" s="616"/>
      <c r="I266" s="616"/>
      <c r="J266" s="616"/>
      <c r="K266" s="1672">
        <f t="shared" si="22"/>
        <v>55048</v>
      </c>
      <c r="L266" s="466">
        <v>55200</v>
      </c>
    </row>
    <row r="267" spans="1:14" x14ac:dyDescent="0.2">
      <c r="A267" s="1504" t="s">
        <v>953</v>
      </c>
      <c r="B267" s="614">
        <v>2550</v>
      </c>
      <c r="C267" s="616"/>
      <c r="D267" s="466">
        <f>85113+109292</f>
        <v>194405</v>
      </c>
      <c r="E267" s="616"/>
      <c r="F267" s="616"/>
      <c r="G267" s="616"/>
      <c r="H267" s="616"/>
      <c r="I267" s="616"/>
      <c r="J267" s="616"/>
      <c r="K267" s="1672">
        <f t="shared" si="22"/>
        <v>194405</v>
      </c>
      <c r="L267" s="466">
        <v>193000</v>
      </c>
    </row>
    <row r="268" spans="1:14" x14ac:dyDescent="0.2">
      <c r="A268" s="1504" t="s">
        <v>100</v>
      </c>
      <c r="B268" s="614">
        <v>2560</v>
      </c>
      <c r="C268" s="616"/>
      <c r="D268" s="466">
        <f>6908+651</f>
        <v>7559</v>
      </c>
      <c r="E268" s="616"/>
      <c r="F268" s="616"/>
      <c r="G268" s="616"/>
      <c r="H268" s="616"/>
      <c r="I268" s="616"/>
      <c r="J268" s="616"/>
      <c r="K268" s="1672">
        <f t="shared" si="22"/>
        <v>7559</v>
      </c>
      <c r="L268" s="466">
        <v>6000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290384</v>
      </c>
      <c r="E270" s="616"/>
      <c r="F270" s="616"/>
      <c r="G270" s="616"/>
      <c r="H270" s="616"/>
      <c r="I270" s="616"/>
      <c r="J270" s="616"/>
      <c r="K270" s="1670">
        <f>SUM(K263:K269)</f>
        <v>290384</v>
      </c>
      <c r="L270" s="1670">
        <f>SUM(L263:L269)</f>
        <v>287260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v>0</v>
      </c>
    </row>
    <row r="273" spans="1:12" x14ac:dyDescent="0.2">
      <c r="A273" s="1504" t="s">
        <v>607</v>
      </c>
      <c r="B273" s="628">
        <v>2620</v>
      </c>
      <c r="C273" s="616"/>
      <c r="D273" s="466">
        <v>0</v>
      </c>
      <c r="E273" s="616"/>
      <c r="F273" s="616"/>
      <c r="G273" s="616"/>
      <c r="H273" s="616"/>
      <c r="I273" s="616"/>
      <c r="J273" s="616"/>
      <c r="K273" s="1672">
        <f>D273</f>
        <v>0</v>
      </c>
      <c r="L273" s="466">
        <v>0</v>
      </c>
    </row>
    <row r="274" spans="1:12" ht="12" customHeight="1" x14ac:dyDescent="0.2">
      <c r="A274" s="1504" t="s">
        <v>1061</v>
      </c>
      <c r="B274" s="614">
        <v>2630</v>
      </c>
      <c r="C274" s="616"/>
      <c r="D274" s="466">
        <f>5306+6366</f>
        <v>11672</v>
      </c>
      <c r="E274" s="616"/>
      <c r="F274" s="616"/>
      <c r="G274" s="616"/>
      <c r="H274" s="616"/>
      <c r="I274" s="616"/>
      <c r="J274" s="616"/>
      <c r="K274" s="1672">
        <f>D274</f>
        <v>11672</v>
      </c>
      <c r="L274" s="466">
        <v>11300</v>
      </c>
    </row>
    <row r="275" spans="1:12" x14ac:dyDescent="0.2">
      <c r="A275" s="1504" t="s">
        <v>403</v>
      </c>
      <c r="B275" s="614">
        <v>2640</v>
      </c>
      <c r="C275" s="616"/>
      <c r="D275" s="466">
        <v>2275</v>
      </c>
      <c r="E275" s="616"/>
      <c r="F275" s="616"/>
      <c r="G275" s="616"/>
      <c r="H275" s="616"/>
      <c r="I275" s="616"/>
      <c r="J275" s="616"/>
      <c r="K275" s="1672">
        <f>D275</f>
        <v>2275</v>
      </c>
      <c r="L275" s="466">
        <v>0</v>
      </c>
    </row>
    <row r="276" spans="1:12" x14ac:dyDescent="0.2">
      <c r="A276" s="1504" t="s">
        <v>404</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13947</v>
      </c>
      <c r="E277" s="616"/>
      <c r="F277" s="616"/>
      <c r="G277" s="616"/>
      <c r="H277" s="616"/>
      <c r="I277" s="616"/>
      <c r="J277" s="616"/>
      <c r="K277" s="1670">
        <f>SUM(K272:K276)</f>
        <v>13947</v>
      </c>
      <c r="L277" s="1670">
        <f>SUM(L272:L276)</f>
        <v>11300</v>
      </c>
    </row>
    <row r="278" spans="1:12" ht="13.5" customHeight="1" thickTop="1" x14ac:dyDescent="0.2">
      <c r="A278" s="1510" t="s">
        <v>980</v>
      </c>
      <c r="B278" s="655" t="s">
        <v>574</v>
      </c>
      <c r="C278" s="616"/>
      <c r="D278" s="656">
        <v>0</v>
      </c>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441781</v>
      </c>
      <c r="E279" s="616"/>
      <c r="F279" s="616"/>
      <c r="G279" s="616"/>
      <c r="H279" s="616"/>
      <c r="I279" s="616"/>
      <c r="J279" s="616"/>
      <c r="K279" s="1677">
        <f>SUM(K238,K243,K257,K261,K270,K277,K278)</f>
        <v>441781</v>
      </c>
      <c r="L279" s="1677">
        <f>SUM(L238,L243,L257,L261,L270,L277,L278)</f>
        <v>462060</v>
      </c>
    </row>
    <row r="280" spans="1:12" ht="15.75" customHeight="1" thickTop="1" thickBot="1" x14ac:dyDescent="0.25">
      <c r="A280" s="1624" t="s">
        <v>875</v>
      </c>
      <c r="B280" s="1613">
        <v>3000</v>
      </c>
      <c r="C280" s="616"/>
      <c r="D280" s="576">
        <f>152+187</f>
        <v>339</v>
      </c>
      <c r="E280" s="616"/>
      <c r="F280" s="616"/>
      <c r="G280" s="616"/>
      <c r="H280" s="616"/>
      <c r="I280" s="616"/>
      <c r="J280" s="616"/>
      <c r="K280" s="1679">
        <f>D280</f>
        <v>339</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v>0</v>
      </c>
    </row>
    <row r="283" spans="1:12" x14ac:dyDescent="0.2">
      <c r="A283" s="1504" t="s">
        <v>304</v>
      </c>
      <c r="B283" s="614">
        <v>4120</v>
      </c>
      <c r="C283" s="616"/>
      <c r="D283" s="466">
        <v>61065</v>
      </c>
      <c r="E283" s="616"/>
      <c r="F283" s="616"/>
      <c r="G283" s="616"/>
      <c r="H283" s="616"/>
      <c r="I283" s="616"/>
      <c r="J283" s="616"/>
      <c r="K283" s="1671">
        <f>D283</f>
        <v>61065</v>
      </c>
      <c r="L283" s="466">
        <v>0</v>
      </c>
    </row>
    <row r="284" spans="1:12" x14ac:dyDescent="0.2">
      <c r="A284" s="1504" t="s">
        <v>697</v>
      </c>
      <c r="B284" s="614">
        <v>4140</v>
      </c>
      <c r="C284" s="616"/>
      <c r="D284" s="467"/>
      <c r="E284" s="616"/>
      <c r="F284" s="616"/>
      <c r="G284" s="616"/>
      <c r="H284" s="616"/>
      <c r="I284" s="616"/>
      <c r="J284" s="616"/>
      <c r="K284" s="1671">
        <f>D284</f>
        <v>0</v>
      </c>
      <c r="L284" s="466">
        <v>62000</v>
      </c>
    </row>
    <row r="285" spans="1:12" ht="12.75" customHeight="1" thickBot="1" x14ac:dyDescent="0.25">
      <c r="A285" s="1668" t="s">
        <v>1487</v>
      </c>
      <c r="B285" s="1669" t="s">
        <v>860</v>
      </c>
      <c r="C285" s="616"/>
      <c r="D285" s="1670">
        <f>SUM(D282:D284)</f>
        <v>61065</v>
      </c>
      <c r="E285" s="616"/>
      <c r="F285" s="616"/>
      <c r="G285" s="616"/>
      <c r="H285" s="616"/>
      <c r="I285" s="616"/>
      <c r="J285" s="616"/>
      <c r="K285" s="1670">
        <f>SUM(K282:K284)</f>
        <v>61065</v>
      </c>
      <c r="L285" s="1670">
        <f>SUM(L282:L284)</f>
        <v>62000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8" t="s">
        <v>505</v>
      </c>
      <c r="B295" s="2179"/>
      <c r="C295" s="616"/>
      <c r="D295" s="1670">
        <f>SUM(D229,D279,D280,D285)</f>
        <v>766959</v>
      </c>
      <c r="E295" s="616"/>
      <c r="F295" s="616"/>
      <c r="G295" s="616"/>
      <c r="H295" s="1670">
        <f>H293</f>
        <v>0</v>
      </c>
      <c r="I295" s="616"/>
      <c r="J295" s="616"/>
      <c r="K295" s="1670">
        <f>SUM(K229,K279,K280,K285,K293,K294)</f>
        <v>766959</v>
      </c>
      <c r="L295" s="1670">
        <f>SUM(L229,L279,L280,L285,L293,L294)</f>
        <v>798860</v>
      </c>
    </row>
    <row r="296" spans="1:14" ht="13.5" thickTop="1" x14ac:dyDescent="0.2">
      <c r="A296" s="2187" t="s">
        <v>996</v>
      </c>
      <c r="B296" s="2188"/>
      <c r="C296" s="616"/>
      <c r="D296" s="618"/>
      <c r="E296" s="616"/>
      <c r="F296" s="616"/>
      <c r="G296" s="616"/>
      <c r="H296" s="687"/>
      <c r="I296" s="616"/>
      <c r="J296" s="616"/>
      <c r="K296" s="1684">
        <f>'Revenues 9-14'!G268-'Expenditures 15-22'!K295</f>
        <v>-31086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21824</v>
      </c>
      <c r="F301" s="466">
        <v>445</v>
      </c>
      <c r="G301" s="466">
        <v>3525392</v>
      </c>
      <c r="H301" s="466"/>
      <c r="I301" s="467">
        <v>2093</v>
      </c>
      <c r="J301" s="467"/>
      <c r="K301" s="1671">
        <f>SUM(C301:J301)</f>
        <v>3549754</v>
      </c>
      <c r="L301" s="467">
        <v>3750000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21824</v>
      </c>
      <c r="F303" s="1677">
        <f t="shared" si="23"/>
        <v>445</v>
      </c>
      <c r="G303" s="1677">
        <f t="shared" si="23"/>
        <v>3525392</v>
      </c>
      <c r="H303" s="1677">
        <f t="shared" si="23"/>
        <v>0</v>
      </c>
      <c r="I303" s="1677">
        <f t="shared" si="23"/>
        <v>2093</v>
      </c>
      <c r="J303" s="1677">
        <f t="shared" si="23"/>
        <v>0</v>
      </c>
      <c r="K303" s="1677">
        <f t="shared" si="23"/>
        <v>3549754</v>
      </c>
      <c r="L303" s="1677">
        <f t="shared" si="23"/>
        <v>3750000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70">
        <f>SUM(C303)</f>
        <v>0</v>
      </c>
      <c r="D312" s="1670">
        <f>SUM(D303)</f>
        <v>0</v>
      </c>
      <c r="E312" s="1670">
        <f>SUM(E303,E310)</f>
        <v>21824</v>
      </c>
      <c r="F312" s="1670">
        <f>SUM(F303)</f>
        <v>445</v>
      </c>
      <c r="G312" s="1670">
        <f>SUM(G303)</f>
        <v>3525392</v>
      </c>
      <c r="H312" s="1670">
        <f>SUM(H303,H310)</f>
        <v>0</v>
      </c>
      <c r="I312" s="1670">
        <f>SUM(I303)</f>
        <v>2093</v>
      </c>
      <c r="J312" s="1670">
        <f>SUM(J303)</f>
        <v>0</v>
      </c>
      <c r="K312" s="1670">
        <f>SUM(K303,K310,K311)</f>
        <v>3549754</v>
      </c>
      <c r="L312" s="1670">
        <f>SUM(L303,L310,L311)</f>
        <v>3750000</v>
      </c>
      <c r="M312" s="665"/>
      <c r="N312" s="665"/>
    </row>
    <row r="313" spans="1:14" ht="13.5" thickTop="1" x14ac:dyDescent="0.2">
      <c r="A313" s="2171" t="s">
        <v>996</v>
      </c>
      <c r="B313" s="2172"/>
      <c r="C313" s="626"/>
      <c r="D313" s="626"/>
      <c r="E313" s="626"/>
      <c r="F313" s="626"/>
      <c r="G313" s="626"/>
      <c r="H313" s="626"/>
      <c r="I313" s="626"/>
      <c r="J313" s="626"/>
      <c r="K313" s="1685">
        <f>'Revenues 9-14'!H268-'Expenditures 15-22'!K312</f>
        <v>-3243700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73" t="s">
        <v>996</v>
      </c>
      <c r="B343" s="2174"/>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7" t="s">
        <v>996</v>
      </c>
      <c r="B368" s="2188"/>
      <c r="C368" s="654"/>
      <c r="D368" s="654"/>
      <c r="E368" s="626"/>
      <c r="F368" s="626"/>
      <c r="G368" s="626"/>
      <c r="H368" s="626"/>
      <c r="I368" s="626"/>
      <c r="J368" s="623"/>
      <c r="K368" s="1671">
        <f>'Revenues 9-14'!K268-'Expenditures 15-22'!K367</f>
        <v>394</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purl.org/dc/terms/"/>
    <ds:schemaRef ds:uri="d21dc803-237d-4c68-8692-8d731fd29118"/>
    <ds:schemaRef ds:uri="http://schemas.microsoft.com/office/2006/documentManagement/types"/>
    <ds:schemaRef ds:uri="4d435f69-8686-490b-bd6d-b153bf22ab50"/>
    <ds:schemaRef ds:uri="6ce3111e-7420-4802-b50a-75d4e9a0b980"/>
    <ds:schemaRef ds:uri="http://purl.org/dc/elements/1.1/"/>
    <ds:schemaRef ds:uri="http://schemas.microsoft.com/office/infopath/2007/PartnerControls"/>
    <ds:schemaRef ds:uri="http://schemas.openxmlformats.org/package/2006/metadata/core-properties"/>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2019-10-22T15:51:50Z</cp:lastPrinted>
  <dcterms:created xsi:type="dcterms:W3CDTF">2003-10-29T19:06:34Z</dcterms:created>
  <dcterms:modified xsi:type="dcterms:W3CDTF">2019-12-02T21:07:14Z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140</vt:lpwstr>
  </property>
  <property fmtid="{D5CDD505-2E9C-101B-9397-08002B2CF9AE}" pid="6" name="workpaperIndex">
    <vt:lpwstr/>
  </property>
</Properties>
</file>