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E51B3C9C-BDAE-40C5-9D01-CD21FCC474CF}" xr6:coauthVersionLast="36" xr6:coauthVersionMax="36" xr10:uidLastSave="{00000000-0000-0000-0000-000000000000}"/>
  <bookViews>
    <workbookView xWindow="-28920" yWindow="-120" windowWidth="29040" windowHeight="15990" tabRatio="872"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84" r:id="rId28"/>
    <sheet name=" SEFA (2)" sheetId="183" r:id="rId29"/>
    <sheet name=" SEFA (3)" sheetId="179" r:id="rId30"/>
    <sheet name="SEFA NOTES" sheetId="173" r:id="rId31"/>
    <sheet name="SF&amp;QC Sec-1" sheetId="174" r:id="rId32"/>
    <sheet name="SF&amp;QC Sec-2" sheetId="175" r:id="rId33"/>
    <sheet name="SF&amp;QC Sec-3" sheetId="185" r:id="rId34"/>
    <sheet name="SSPAF" sheetId="177" r:id="rId35"/>
  </sheets>
  <externalReferences>
    <externalReference r:id="rId36"/>
    <externalReference r:id="rId37"/>
  </externalReferences>
  <definedNames>
    <definedName name="ccccccccccccccccccccccc">#REF!</definedName>
    <definedName name="JOHN" localSheetId="33">'[1]EDUC FUND'!#REF!</definedName>
    <definedName name="JOHN">'[1]EDUC FUND'!#REF!</definedName>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Print_Titles_MI">[2]CopsGrant!$A$5:$IV$5,[2]CopsGrant!$A$1:$B$16320</definedName>
    <definedName name="S" localSheetId="33">'[1]EDUC FUND'!#REF!</definedName>
    <definedName name="S">'[1]EDUC FUND'!#REF!</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F">#REF!</definedName>
    <definedName name="SSSS" localSheetId="33">'[1]EDUC FUND'!#REF!</definedName>
    <definedName name="SSSS">'[1]EDUC FUND'!#REF!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37" i="8" l="1"/>
  <c r="I25" i="179" l="1"/>
  <c r="G25" i="179"/>
  <c r="F25" i="179"/>
  <c r="E25" i="179"/>
  <c r="I21" i="183" l="1"/>
  <c r="I19" i="179" s="1"/>
  <c r="G21" i="183"/>
  <c r="G19" i="179" s="1"/>
  <c r="F21" i="183"/>
  <c r="F19" i="179" s="1"/>
  <c r="E21" i="183"/>
  <c r="E19" i="179" s="1"/>
  <c r="I22" i="184"/>
  <c r="I24" i="184" s="1"/>
  <c r="G22" i="184"/>
  <c r="G24" i="184" s="1"/>
  <c r="F22" i="184"/>
  <c r="F24" i="184" s="1"/>
  <c r="E22" i="184"/>
  <c r="E24" i="184" s="1"/>
  <c r="F27" i="179" l="1"/>
  <c r="D35" i="171" s="1"/>
  <c r="E27" i="179"/>
  <c r="G27" i="179"/>
  <c r="I27" i="179"/>
  <c r="L27" i="184"/>
  <c r="L26" i="184"/>
  <c r="L25" i="184"/>
  <c r="L24" i="184"/>
  <c r="L23" i="184"/>
  <c r="L22" i="184"/>
  <c r="L21" i="184"/>
  <c r="L20" i="184"/>
  <c r="L19" i="184"/>
  <c r="L18" i="184"/>
  <c r="L17" i="184"/>
  <c r="L16" i="184"/>
  <c r="L15" i="184"/>
  <c r="L14" i="184"/>
  <c r="L13" i="184"/>
  <c r="L12" i="184"/>
  <c r="L11" i="184"/>
  <c r="B4" i="184"/>
  <c r="L27" i="183"/>
  <c r="L26" i="183"/>
  <c r="L25" i="183"/>
  <c r="L24" i="183"/>
  <c r="L23" i="183"/>
  <c r="L22" i="183"/>
  <c r="L21" i="183"/>
  <c r="L20" i="183"/>
  <c r="L19" i="183"/>
  <c r="L18" i="183"/>
  <c r="L17" i="183"/>
  <c r="L16" i="183"/>
  <c r="L15" i="183"/>
  <c r="L14" i="183"/>
  <c r="L13" i="183"/>
  <c r="L12" i="183"/>
  <c r="L11" i="183"/>
  <c r="B4" i="18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D167" i="34" l="1"/>
  <c r="D166" i="34"/>
  <c r="C167" i="34"/>
  <c r="C166" i="34"/>
  <c r="B7808" i="106" l="1"/>
  <c r="D7808" i="106" s="1"/>
  <c r="B7807" i="106"/>
  <c r="D7807" i="106" s="1"/>
  <c r="B7806" i="106"/>
  <c r="D7806" i="106" s="1"/>
  <c r="B7805" i="106"/>
  <c r="D7805" i="106" s="1"/>
  <c r="B7804" i="106"/>
  <c r="D7804" i="106" s="1"/>
  <c r="B7803" i="106"/>
  <c r="D7803" i="106" s="1"/>
  <c r="B7802" i="106"/>
  <c r="D7802" i="106" s="1"/>
  <c r="B7801" i="106"/>
  <c r="D7801" i="106" s="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L334" i="29" l="1"/>
  <c r="B7795" i="106"/>
  <c r="L357" i="29" l="1"/>
  <c r="K355" i="29" l="1"/>
  <c r="B7794" i="106" s="1"/>
  <c r="B7793" i="106"/>
  <c r="K356" i="29"/>
  <c r="B7791" i="106"/>
  <c r="K354" i="29"/>
  <c r="H357" i="29"/>
  <c r="L285" i="29"/>
  <c r="L160" i="29"/>
  <c r="L137" i="29"/>
  <c r="K357" i="29" l="1"/>
  <c r="K15" i="4" s="1"/>
  <c r="B7792" i="106"/>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A7" i="169"/>
  <c r="B4" i="177"/>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3" l="1"/>
  <c r="B1" i="184"/>
  <c r="B2" i="179"/>
  <c r="B2" i="184"/>
  <c r="B2" i="183"/>
  <c r="B2" i="177"/>
  <c r="A2" i="170"/>
  <c r="B2" i="174"/>
  <c r="A2" i="173"/>
  <c r="A1" i="171"/>
  <c r="B1" i="179"/>
  <c r="B1" i="175"/>
  <c r="B1" i="177"/>
  <c r="A1" i="170"/>
  <c r="A2" i="171"/>
  <c r="A1" i="173"/>
  <c r="B1" i="174"/>
  <c r="B2" i="175"/>
  <c r="B7773" i="106" l="1"/>
  <c r="B61" i="106" l="1"/>
  <c r="B52" i="106"/>
  <c r="B51" i="106" l="1"/>
  <c r="B49" i="106"/>
  <c r="B48" i="106"/>
  <c r="B47" i="106"/>
  <c r="B46" i="106"/>
  <c r="B45" i="106"/>
  <c r="B44" i="106"/>
  <c r="B43" i="106"/>
  <c r="B42" i="106"/>
  <c r="B41" i="106"/>
  <c r="B50" i="106"/>
  <c r="J85" i="28" l="1"/>
  <c r="B7758" i="106" s="1"/>
  <c r="D7758" i="106" s="1"/>
  <c r="J88" i="28"/>
  <c r="K12" i="12"/>
  <c r="K23" i="12"/>
  <c r="J12" i="12"/>
  <c r="J21" i="12"/>
  <c r="J23" i="12"/>
  <c r="B7729" i="106"/>
  <c r="D7729" i="106" s="1"/>
  <c r="B7734" i="106"/>
  <c r="B7726" i="106"/>
  <c r="B30" i="36"/>
  <c r="B33" i="36" s="1"/>
  <c r="B43" i="36" s="1"/>
  <c r="B56" i="36" s="1"/>
  <c r="B66" i="36" s="1"/>
  <c r="B70" i="36" s="1"/>
  <c r="B74" i="36" s="1"/>
  <c r="L127" i="29"/>
  <c r="L129" i="29" s="1"/>
  <c r="L139" i="29"/>
  <c r="L149" i="29"/>
  <c r="I7" i="145"/>
  <c r="I6" i="145"/>
  <c r="D78" i="36"/>
  <c r="K185" i="29"/>
  <c r="F14" i="4" s="1"/>
  <c r="B2597" i="106" s="1"/>
  <c r="D2597" i="106"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D78" i="106"/>
  <c r="D79" i="106"/>
  <c r="D80" i="106"/>
  <c r="D81" i="106"/>
  <c r="D82" i="106"/>
  <c r="D83" i="106"/>
  <c r="D84" i="106"/>
  <c r="D85" i="106"/>
  <c r="D87" i="106"/>
  <c r="D89" i="106"/>
  <c r="D90" i="106"/>
  <c r="D94" i="106"/>
  <c r="D95" i="106"/>
  <c r="D96" i="106"/>
  <c r="D98" i="106"/>
  <c r="D99" i="106"/>
  <c r="D100" i="106"/>
  <c r="D101" i="106"/>
  <c r="D102" i="106"/>
  <c r="D103" i="106"/>
  <c r="B105" i="106"/>
  <c r="D105" i="106" s="1"/>
  <c r="D106" i="106"/>
  <c r="D107" i="106"/>
  <c r="D110" i="106"/>
  <c r="D111" i="106"/>
  <c r="D112" i="106"/>
  <c r="D113" i="106"/>
  <c r="D114" i="106"/>
  <c r="D115" i="106"/>
  <c r="D116" i="106"/>
  <c r="D118" i="106"/>
  <c r="D120" i="106"/>
  <c r="D121" i="106"/>
  <c r="D125" i="106"/>
  <c r="D127" i="106"/>
  <c r="D128" i="106"/>
  <c r="B129" i="106"/>
  <c r="D129" i="106" s="1"/>
  <c r="D132" i="106"/>
  <c r="D133" i="106"/>
  <c r="D135" i="106"/>
  <c r="D136" i="106"/>
  <c r="D137" i="106"/>
  <c r="D138" i="106"/>
  <c r="D142" i="106"/>
  <c r="D143" i="106"/>
  <c r="D144" i="106"/>
  <c r="D146" i="106"/>
  <c r="D147" i="106"/>
  <c r="D148" i="106"/>
  <c r="D149" i="106"/>
  <c r="D150" i="106"/>
  <c r="D151" i="106"/>
  <c r="B153" i="106"/>
  <c r="D153" i="106" s="1"/>
  <c r="D154" i="106"/>
  <c r="D155" i="106"/>
  <c r="D158" i="106"/>
  <c r="D159" i="106"/>
  <c r="D160" i="106"/>
  <c r="D161" i="106"/>
  <c r="D162" i="106"/>
  <c r="D163" i="106"/>
  <c r="D165" i="106"/>
  <c r="D167" i="106"/>
  <c r="D168" i="106"/>
  <c r="D172" i="106"/>
  <c r="D174" i="106"/>
  <c r="D175" i="106"/>
  <c r="D176" i="106"/>
  <c r="B177" i="106"/>
  <c r="D177" i="106" s="1"/>
  <c r="D178" i="106"/>
  <c r="D181" i="106"/>
  <c r="D182" i="106"/>
  <c r="D183" i="106"/>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K120" i="29"/>
  <c r="B4080" i="106" s="1"/>
  <c r="D4080" i="106" s="1"/>
  <c r="D1286" i="106"/>
  <c r="D1290" i="106"/>
  <c r="D1291" i="106"/>
  <c r="D1292" i="106"/>
  <c r="D1293" i="106"/>
  <c r="D1294" i="106"/>
  <c r="D1295" i="106"/>
  <c r="D1296" i="106"/>
  <c r="D1297" i="106"/>
  <c r="D1298" i="106"/>
  <c r="D1299" i="106"/>
  <c r="D1300" i="106"/>
  <c r="D1301" i="106"/>
  <c r="D1302" i="106"/>
  <c r="D1303" i="106"/>
  <c r="D1304" i="106"/>
  <c r="D1305" i="106"/>
  <c r="D1306" i="106"/>
  <c r="B1312" i="106"/>
  <c r="D1312" i="106" s="1"/>
  <c r="B1315" i="106"/>
  <c r="D1315" i="106" s="1"/>
  <c r="D1319" i="106"/>
  <c r="D1320" i="106"/>
  <c r="D1321" i="106"/>
  <c r="D1322" i="106"/>
  <c r="B1323" i="106"/>
  <c r="D1323" i="106" s="1"/>
  <c r="K169" i="29"/>
  <c r="B1326" i="106" s="1"/>
  <c r="D1326" i="106" s="1"/>
  <c r="K170" i="29"/>
  <c r="D1334" i="106"/>
  <c r="D1336" i="106"/>
  <c r="D1337" i="106"/>
  <c r="D1342" i="106"/>
  <c r="D1343" i="106"/>
  <c r="D1348" i="106"/>
  <c r="D1349" i="106"/>
  <c r="D1355" i="106"/>
  <c r="D1356" i="106"/>
  <c r="D1361" i="106"/>
  <c r="D1362" i="106"/>
  <c r="D1367" i="106"/>
  <c r="D1368" i="106"/>
  <c r="D1374" i="106"/>
  <c r="D1378" i="106"/>
  <c r="D1379" i="106"/>
  <c r="K180" i="29"/>
  <c r="B4087" i="106" s="1"/>
  <c r="D4087" i="106" s="1"/>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B2820" i="106"/>
  <c r="D2820" i="106" s="1"/>
  <c r="B2821" i="106"/>
  <c r="D2821" i="106" s="1"/>
  <c r="B2822" i="106"/>
  <c r="D2822" i="106" s="1"/>
  <c r="B2825" i="106"/>
  <c r="D2825" i="106" s="1"/>
  <c r="B2826" i="106"/>
  <c r="D2826" i="106" s="1"/>
  <c r="B2827" i="106"/>
  <c r="D2827" i="106" s="1"/>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B3273" i="106"/>
  <c r="D3273" i="106" s="1"/>
  <c r="B3275" i="106"/>
  <c r="D3275" i="106" s="1"/>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74" i="106"/>
  <c r="D3374" i="106" s="1"/>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D3412" i="106"/>
  <c r="D3413" i="106"/>
  <c r="D3415" i="106"/>
  <c r="D3416" i="106"/>
  <c r="D3418" i="106"/>
  <c r="D3420" i="106"/>
  <c r="D3421" i="106"/>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B4330" i="106"/>
  <c r="D4330" i="106" s="1"/>
  <c r="D4347" i="106"/>
  <c r="D4348" i="106"/>
  <c r="D4349" i="106"/>
  <c r="D4350" i="106"/>
  <c r="D4367" i="106"/>
  <c r="B4368" i="106"/>
  <c r="D4368" i="106" s="1"/>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B4799" i="106"/>
  <c r="D4799" i="106" s="1"/>
  <c r="D4800" i="106"/>
  <c r="D4803" i="106"/>
  <c r="D4807" i="106"/>
  <c r="D4809" i="106"/>
  <c r="D4812" i="106"/>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B4868" i="106"/>
  <c r="D4868" i="106" s="1"/>
  <c r="D4869" i="106"/>
  <c r="D4870" i="106"/>
  <c r="D4871" i="106"/>
  <c r="D4872" i="106"/>
  <c r="D4873" i="106"/>
  <c r="D4880" i="106"/>
  <c r="B4881" i="106"/>
  <c r="D4881"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B5088" i="106"/>
  <c r="D5088" i="106" s="1"/>
  <c r="B5127" i="106"/>
  <c r="D5127"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B5879" i="106"/>
  <c r="D5879" i="106" s="1"/>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B5924" i="106"/>
  <c r="D5924" i="106" s="1"/>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9" i="106"/>
  <c r="D6089" i="106" s="1"/>
  <c r="B6098" i="106"/>
  <c r="D6098" i="106" s="1"/>
  <c r="A6103" i="106"/>
  <c r="B6107" i="106"/>
  <c r="D6107" i="106" s="1"/>
  <c r="B6108" i="106"/>
  <c r="D6108" i="106" s="1"/>
  <c r="B6121" i="106"/>
  <c r="D6121" i="106" s="1"/>
  <c r="B6122" i="106"/>
  <c r="D6122" i="106" s="1"/>
  <c r="B6132" i="106"/>
  <c r="D6132" i="106" s="1"/>
  <c r="B6141" i="106"/>
  <c r="D6141" i="106" s="1"/>
  <c r="B6142" i="106"/>
  <c r="D6142" i="106" s="1"/>
  <c r="B6147" i="106"/>
  <c r="D6147" i="106" s="1"/>
  <c r="B6150" i="106"/>
  <c r="D6150" i="106" s="1"/>
  <c r="B6159" i="106"/>
  <c r="D6159" i="106" s="1"/>
  <c r="B6168" i="106"/>
  <c r="D6168" i="106" s="1"/>
  <c r="B6177" i="106"/>
  <c r="D6177"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24" i="106"/>
  <c r="D6224" i="106" s="1"/>
  <c r="J18" i="4"/>
  <c r="B6228" i="106" s="1"/>
  <c r="D6228" i="106" s="1"/>
  <c r="B6257" i="106"/>
  <c r="D6257" i="106" s="1"/>
  <c r="B6265" i="106"/>
  <c r="D6265" i="106" s="1"/>
  <c r="B6296" i="106"/>
  <c r="D6296" i="106" s="1"/>
  <c r="B6297" i="106"/>
  <c r="D6297" i="106" s="1"/>
  <c r="B6328" i="106"/>
  <c r="D6328" i="106" s="1"/>
  <c r="B6338" i="106"/>
  <c r="D6338" i="106" s="1"/>
  <c r="B6348" i="106"/>
  <c r="D6348" i="106" s="1"/>
  <c r="B6374" i="106"/>
  <c r="D6374" i="106" s="1"/>
  <c r="B6379" i="106"/>
  <c r="D6379" i="106" s="1"/>
  <c r="D6382" i="106"/>
  <c r="D6383" i="106"/>
  <c r="D6384" i="106"/>
  <c r="D6385" i="106"/>
  <c r="D6386" i="106"/>
  <c r="D6387" i="106"/>
  <c r="B6394" i="106"/>
  <c r="D6394"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21" i="106"/>
  <c r="D6621" i="106" s="1"/>
  <c r="B6633" i="106"/>
  <c r="D6633" i="106" s="1"/>
  <c r="B6641" i="106"/>
  <c r="D6641" i="106" s="1"/>
  <c r="B6649" i="106"/>
  <c r="D6649" i="106" s="1"/>
  <c r="B6657" i="106"/>
  <c r="D6657" i="106" s="1"/>
  <c r="B6665" i="106"/>
  <c r="D6665" i="106" s="1"/>
  <c r="B6673" i="106"/>
  <c r="D6673" i="106" s="1"/>
  <c r="B6681" i="106"/>
  <c r="D6681" i="106" s="1"/>
  <c r="B6689" i="106"/>
  <c r="D6689" i="106" s="1"/>
  <c r="B6703" i="106"/>
  <c r="D6703" i="106" s="1"/>
  <c r="B6711" i="106"/>
  <c r="D6711" i="106" s="1"/>
  <c r="B6719" i="106"/>
  <c r="D6719" i="106" s="1"/>
  <c r="B6728" i="106"/>
  <c r="D6728" i="106" s="1"/>
  <c r="B6736" i="106"/>
  <c r="D6736" i="106" s="1"/>
  <c r="B6744" i="106"/>
  <c r="D6744" i="106" s="1"/>
  <c r="B6752" i="106"/>
  <c r="D6752" i="106" s="1"/>
  <c r="B6760" i="106"/>
  <c r="D6760" i="106" s="1"/>
  <c r="B6768" i="106"/>
  <c r="D6768" i="106" s="1"/>
  <c r="B6776" i="106"/>
  <c r="D6776" i="106" s="1"/>
  <c r="B6784" i="106"/>
  <c r="D6784" i="106" s="1"/>
  <c r="B6792" i="106"/>
  <c r="D6792" i="106" s="1"/>
  <c r="B6800" i="106"/>
  <c r="D6800" i="106" s="1"/>
  <c r="B6808" i="106"/>
  <c r="D6808" i="106" s="1"/>
  <c r="B6816" i="106"/>
  <c r="D6816" i="106" s="1"/>
  <c r="B6824" i="106"/>
  <c r="D6824" i="106" s="1"/>
  <c r="B6832" i="106"/>
  <c r="D6832" i="106" s="1"/>
  <c r="D6841" i="106"/>
  <c r="D6842" i="106"/>
  <c r="D6843" i="106"/>
  <c r="B6941" i="106"/>
  <c r="D6941" i="106" s="1"/>
  <c r="B7022" i="106"/>
  <c r="D7022" i="106" s="1"/>
  <c r="B7023" i="106"/>
  <c r="D7023" i="106" s="1"/>
  <c r="B7053" i="106"/>
  <c r="D7053" i="106" s="1"/>
  <c r="D7056" i="106"/>
  <c r="B7057" i="106"/>
  <c r="D7057" i="106" s="1"/>
  <c r="B7058" i="106"/>
  <c r="D7058" i="106" s="1"/>
  <c r="B7065" i="106"/>
  <c r="D7065" i="106" s="1"/>
  <c r="B7066" i="106"/>
  <c r="D706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55"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9" i="106"/>
  <c r="B7641" i="106"/>
  <c r="B7642" i="106"/>
  <c r="B7643" i="106"/>
  <c r="B7644" i="106"/>
  <c r="B7645" i="106"/>
  <c r="B7646" i="106"/>
  <c r="B7647" i="106"/>
  <c r="B7649" i="106"/>
  <c r="B7650" i="106"/>
  <c r="B7654" i="106"/>
  <c r="D7654" i="106" s="1"/>
  <c r="B7663" i="106"/>
  <c r="D7663"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D7734" i="106"/>
  <c r="B7735" i="106"/>
  <c r="D7735" i="106" s="1"/>
  <c r="B7736" i="106"/>
  <c r="D7736" i="106" s="1"/>
  <c r="B7737" i="106"/>
  <c r="D7737" i="106" s="1"/>
  <c r="B7738" i="106"/>
  <c r="D7738" i="106" s="1"/>
  <c r="D7744" i="106"/>
  <c r="B7745" i="106"/>
  <c r="D7745" i="106" s="1"/>
  <c r="B7753" i="106"/>
  <c r="D7753" i="106" s="1"/>
  <c r="B7755" i="106"/>
  <c r="D7755" i="106" s="1"/>
  <c r="B7756" i="106"/>
  <c r="D7756" i="106" s="1"/>
  <c r="B7757" i="106"/>
  <c r="D7757" i="106" s="1"/>
  <c r="D7770" i="106"/>
  <c r="D7771" i="106"/>
  <c r="D7772" i="106"/>
  <c r="D7773" i="106"/>
  <c r="D7791" i="106"/>
  <c r="D7792" i="106"/>
  <c r="D7793" i="106"/>
  <c r="D7794" i="106"/>
  <c r="D7795" i="106"/>
  <c r="D7797" i="106"/>
  <c r="D7798" i="106"/>
  <c r="D7799" i="106"/>
  <c r="D7800" i="106"/>
  <c r="B6" i="36"/>
  <c r="B7" i="36" s="1"/>
  <c r="B9" i="36" s="1"/>
  <c r="B10" i="36" s="1"/>
  <c r="B11" i="36" s="1"/>
  <c r="B12" i="36" s="1"/>
  <c r="B13" i="36" s="1"/>
  <c r="D23" i="36"/>
  <c r="B9" i="106" s="1"/>
  <c r="D25" i="36"/>
  <c r="D26" i="36"/>
  <c r="D27" i="36"/>
  <c r="D28" i="36"/>
  <c r="D31" i="36"/>
  <c r="D32" i="36"/>
  <c r="D39" i="36"/>
  <c r="D40" i="36"/>
  <c r="D41" i="36"/>
  <c r="D42" i="36"/>
  <c r="D79"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C120" i="34"/>
  <c r="D120" i="34"/>
  <c r="C121" i="34"/>
  <c r="C122" i="34"/>
  <c r="D122" i="34"/>
  <c r="D123" i="34"/>
  <c r="D124" i="34"/>
  <c r="D125" i="34"/>
  <c r="D126" i="34"/>
  <c r="D127" i="34"/>
  <c r="C128" i="34"/>
  <c r="D128" i="34"/>
  <c r="C129" i="34"/>
  <c r="D129" i="34"/>
  <c r="C130" i="34"/>
  <c r="D130" i="34"/>
  <c r="C131" i="34"/>
  <c r="D131"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C160" i="34"/>
  <c r="D160" i="34"/>
  <c r="C161" i="34"/>
  <c r="D161" i="34"/>
  <c r="C162" i="34"/>
  <c r="D162" i="34"/>
  <c r="C163" i="34"/>
  <c r="D163" i="34"/>
  <c r="C164" i="34"/>
  <c r="D164" i="34"/>
  <c r="C165" i="34"/>
  <c r="D165" i="34"/>
  <c r="C168" i="34"/>
  <c r="D168" i="34"/>
  <c r="C169" i="34"/>
  <c r="D169" i="34"/>
  <c r="C170" i="34"/>
  <c r="D170" i="34"/>
  <c r="F178" i="34"/>
  <c r="F3" i="11"/>
  <c r="B7591" i="106" s="1"/>
  <c r="F5" i="11"/>
  <c r="C16" i="11"/>
  <c r="B2013" i="106" s="1"/>
  <c r="D2013" i="106" s="1"/>
  <c r="B7727" i="106"/>
  <c r="D7727" i="106" s="1"/>
  <c r="C49" i="8"/>
  <c r="B12" i="7"/>
  <c r="B1753" i="106" s="1"/>
  <c r="D175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L33" i="29"/>
  <c r="L42" i="29"/>
  <c r="L47" i="29"/>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K12" i="5"/>
  <c r="B5987" i="106" s="1"/>
  <c r="D5987" i="106" s="1"/>
  <c r="K18" i="5"/>
  <c r="B5992" i="106" s="1"/>
  <c r="D5992" i="106" s="1"/>
  <c r="K67" i="5"/>
  <c r="B5995" i="106" s="1"/>
  <c r="D5995" i="106" s="1"/>
  <c r="K108" i="5"/>
  <c r="B5999" i="106" s="1"/>
  <c r="D5999" i="106" s="1"/>
  <c r="K122" i="5"/>
  <c r="B6006" i="106" s="1"/>
  <c r="D6006" i="106" s="1"/>
  <c r="K169" i="5"/>
  <c r="B5000" i="106" s="1"/>
  <c r="D5000" i="106" s="1"/>
  <c r="K175" i="5"/>
  <c r="B4951" i="106" s="1"/>
  <c r="D4951" i="106" s="1"/>
  <c r="K181" i="5"/>
  <c r="B6016" i="106" s="1"/>
  <c r="D6016" i="106" s="1"/>
  <c r="K252" i="5"/>
  <c r="K266" i="5" s="1"/>
  <c r="B4442" i="106" s="1"/>
  <c r="D4442" i="106" s="1"/>
  <c r="D7" i="118"/>
  <c r="D8" i="118"/>
  <c r="D9" i="118"/>
  <c r="H29" i="118"/>
  <c r="D11" i="37"/>
  <c r="D22" i="37"/>
  <c r="L5" i="11"/>
  <c r="B2056" i="106" s="1"/>
  <c r="D2056" i="106" s="1"/>
  <c r="D69" i="36" l="1"/>
  <c r="J22" i="37"/>
  <c r="H28" i="118"/>
  <c r="K28" i="118" s="1"/>
  <c r="O27" i="118" s="1"/>
  <c r="O29" i="118" s="1"/>
  <c r="N22" i="3"/>
  <c r="B283" i="106" s="1"/>
  <c r="D283" i="106" s="1"/>
  <c r="L22" i="37"/>
  <c r="D24" i="37"/>
  <c r="B4270" i="106" s="1"/>
  <c r="D4270" i="106" s="1"/>
  <c r="F62" i="34"/>
  <c r="B2836" i="106"/>
  <c r="D2836" i="106" s="1"/>
  <c r="F19" i="7"/>
  <c r="B1807" i="106" s="1"/>
  <c r="D1807" i="106" s="1"/>
  <c r="B3454" i="106"/>
  <c r="D3454" i="106" s="1"/>
  <c r="B2864" i="106"/>
  <c r="D2864" i="106" s="1"/>
  <c r="B2029" i="106"/>
  <c r="D2029" i="106" s="1"/>
  <c r="B276" i="106"/>
  <c r="D276" i="106" s="1"/>
  <c r="B2028" i="106"/>
  <c r="D2028" i="106" s="1"/>
  <c r="B275" i="106"/>
  <c r="D275" i="106" s="1"/>
  <c r="B2026" i="106"/>
  <c r="D2026" i="106" s="1"/>
  <c r="B2027" i="106"/>
  <c r="D2027" i="106" s="1"/>
  <c r="B274" i="106"/>
  <c r="D274" i="106" s="1"/>
  <c r="B2895" i="106"/>
  <c r="D2895" i="106" s="1"/>
  <c r="J352" i="29"/>
  <c r="J367" i="29" s="1"/>
  <c r="B7245" i="106" s="1"/>
  <c r="D7245" i="106" s="1"/>
  <c r="H365" i="29"/>
  <c r="B7242" i="106" s="1"/>
  <c r="D7242" i="106" s="1"/>
  <c r="L15" i="11"/>
  <c r="B3459" i="106" s="1"/>
  <c r="D3459" i="106" s="1"/>
  <c r="H33" i="118"/>
  <c r="L367" i="29"/>
  <c r="B3647" i="106"/>
  <c r="D3647" i="106" s="1"/>
  <c r="C352" i="29"/>
  <c r="B3621" i="106" s="1"/>
  <c r="D3621" i="106" s="1"/>
  <c r="L13" i="11"/>
  <c r="B2060" i="106" s="1"/>
  <c r="D2060" i="106" s="1"/>
  <c r="L342" i="29"/>
  <c r="I24" i="12"/>
  <c r="B3649" i="106"/>
  <c r="D3649" i="106" s="1"/>
  <c r="G367" i="29"/>
  <c r="B3650" i="106" s="1"/>
  <c r="D3650" i="106" s="1"/>
  <c r="L312" i="29"/>
  <c r="K350" i="29"/>
  <c r="F21" i="8"/>
  <c r="K24" i="12"/>
  <c r="D3583" i="106"/>
  <c r="B3635" i="106"/>
  <c r="B1329" i="106"/>
  <c r="D1329" i="106" s="1"/>
  <c r="F61" i="34"/>
  <c r="D12" i="7"/>
  <c r="B1769" i="106" s="1"/>
  <c r="D1769" i="106" s="1"/>
  <c r="K170" i="5"/>
  <c r="K6" i="4" s="1"/>
  <c r="B3570" i="106" s="1"/>
  <c r="D3570" i="106" s="1"/>
  <c r="K267" i="5"/>
  <c r="B6022" i="106" s="1"/>
  <c r="D6022" i="106" s="1"/>
  <c r="J90" i="28"/>
  <c r="H352" i="29"/>
  <c r="B3656" i="106" s="1"/>
  <c r="D3656" i="106" s="1"/>
  <c r="B79" i="36"/>
  <c r="B77" i="36"/>
  <c r="B6840" i="106"/>
  <c r="D6840" i="106" s="1"/>
  <c r="K109" i="5"/>
  <c r="F16" i="11"/>
  <c r="B2031" i="106" s="1"/>
  <c r="D2031" i="106" s="1"/>
  <c r="K362" i="29"/>
  <c r="B3676" i="106" s="1"/>
  <c r="D3676" i="106" s="1"/>
  <c r="D352" i="29"/>
  <c r="D367" i="29" s="1"/>
  <c r="B3629" i="106" s="1"/>
  <c r="D3629" i="106" s="1"/>
  <c r="K16" i="11"/>
  <c r="B2055" i="106" s="1"/>
  <c r="D2055" i="106" s="1"/>
  <c r="B7759" i="106"/>
  <c r="D7759" i="106" s="1"/>
  <c r="L3" i="11"/>
  <c r="B7596" i="106" s="1"/>
  <c r="L9" i="11"/>
  <c r="B7614" i="106" s="1"/>
  <c r="L10" i="11"/>
  <c r="B2058" i="106" s="1"/>
  <c r="D2058" i="106" s="1"/>
  <c r="L210" i="29"/>
  <c r="L102" i="29"/>
  <c r="B7600" i="106"/>
  <c r="L6" i="11"/>
  <c r="B7605" i="106" s="1"/>
  <c r="A7250" i="106"/>
  <c r="A7251" i="106" s="1"/>
  <c r="A7252" i="106" s="1"/>
  <c r="A7253" i="106" s="1"/>
  <c r="A7254" i="106" s="1"/>
  <c r="A7255" i="106" s="1"/>
  <c r="A7256" i="106" s="1"/>
  <c r="A7257" i="106" s="1"/>
  <c r="L279" i="29"/>
  <c r="L295" i="29" s="1"/>
  <c r="L74" i="29"/>
  <c r="B7618" i="106"/>
  <c r="L14" i="11"/>
  <c r="B7623" i="106" s="1"/>
  <c r="B7230" i="106"/>
  <c r="D7230" i="106" s="1"/>
  <c r="I352" i="29"/>
  <c r="I367" i="29" s="1"/>
  <c r="B7503" i="106"/>
  <c r="B7531" i="106"/>
  <c r="I49" i="8"/>
  <c r="B3633" i="106"/>
  <c r="D3633" i="106" s="1"/>
  <c r="E352" i="29"/>
  <c r="E367" i="29" s="1"/>
  <c r="B1977" i="106"/>
  <c r="D1977" i="106" s="1"/>
  <c r="H24" i="12"/>
  <c r="B1867" i="106"/>
  <c r="D1867" i="106" s="1"/>
  <c r="F15" i="8"/>
  <c r="B3640" i="106"/>
  <c r="D3640" i="106" s="1"/>
  <c r="F352" i="29"/>
  <c r="F367" i="29" s="1"/>
  <c r="L12" i="11"/>
  <c r="B2059" i="106" s="1"/>
  <c r="D2059" i="106" s="1"/>
  <c r="L8" i="11"/>
  <c r="B2057" i="106" s="1"/>
  <c r="D2057" i="106" s="1"/>
  <c r="G24" i="12"/>
  <c r="J19" i="145"/>
  <c r="D82" i="36" s="1"/>
  <c r="L151" i="29"/>
  <c r="J24" i="12"/>
  <c r="B7730" i="106"/>
  <c r="D7730" i="106" s="1"/>
  <c r="B7270" i="106"/>
  <c r="K365" i="29" l="1"/>
  <c r="M23" i="3"/>
  <c r="B273" i="106"/>
  <c r="D273" i="106" s="1"/>
  <c r="L16" i="11"/>
  <c r="B2061" i="106" s="1"/>
  <c r="D2061" i="106" s="1"/>
  <c r="B7235" i="106"/>
  <c r="D7235" i="106" s="1"/>
  <c r="B2914" i="106"/>
  <c r="D2914" i="106" s="1"/>
  <c r="L34" i="3"/>
  <c r="C367" i="29"/>
  <c r="B3622" i="106" s="1"/>
  <c r="D3622" i="106" s="1"/>
  <c r="L114" i="29"/>
  <c r="D7255" i="106"/>
  <c r="B1996" i="106"/>
  <c r="D1996" i="106" s="1"/>
  <c r="I26" i="12"/>
  <c r="B7741" i="106" s="1"/>
  <c r="D7741" i="106" s="1"/>
  <c r="B7733" i="106"/>
  <c r="D7733" i="106" s="1"/>
  <c r="K26" i="12"/>
  <c r="B7743" i="106" s="1"/>
  <c r="D7743" i="106" s="1"/>
  <c r="B1879" i="106"/>
  <c r="D1879" i="106" s="1"/>
  <c r="H22" i="37"/>
  <c r="B3628" i="106"/>
  <c r="D3628" i="106" s="1"/>
  <c r="B3670" i="106"/>
  <c r="D3670" i="106" s="1"/>
  <c r="K352" i="29"/>
  <c r="H367" i="29"/>
  <c r="B3660" i="106" s="1"/>
  <c r="D3660" i="106" s="1"/>
  <c r="K7" i="4"/>
  <c r="B3718" i="106" s="1"/>
  <c r="D3718" i="106" s="1"/>
  <c r="B6014" i="106"/>
  <c r="D6014" i="106" s="1"/>
  <c r="B7760" i="106"/>
  <c r="D7760" i="106" s="1"/>
  <c r="D24" i="36"/>
  <c r="B3674" i="106"/>
  <c r="D3674" i="106" s="1"/>
  <c r="B3573" i="106"/>
  <c r="D3573" i="106" s="1"/>
  <c r="K4" i="4"/>
  <c r="B6028" i="106"/>
  <c r="D6028" i="106" s="1"/>
  <c r="K268" i="5"/>
  <c r="B6023" i="106" s="1"/>
  <c r="D6023" i="106" s="1"/>
  <c r="B1875" i="106"/>
  <c r="D1875" i="106" s="1"/>
  <c r="F22" i="37"/>
  <c r="B1983" i="106"/>
  <c r="D1983" i="106" s="1"/>
  <c r="H26" i="12"/>
  <c r="B7740" i="106" s="1"/>
  <c r="D7740" i="106" s="1"/>
  <c r="A7258" i="106"/>
  <c r="B7732" i="106"/>
  <c r="D7732" i="106" s="1"/>
  <c r="J26" i="12"/>
  <c r="B7742" i="106" s="1"/>
  <c r="D7742" i="106" s="1"/>
  <c r="B1958" i="106"/>
  <c r="D1958" i="106" s="1"/>
  <c r="G26" i="12"/>
  <c r="B7739" i="106" s="1"/>
  <c r="D7739" i="106" s="1"/>
  <c r="B3642" i="106"/>
  <c r="D3642" i="106" s="1"/>
  <c r="B3643" i="106"/>
  <c r="D3643" i="106" s="1"/>
  <c r="K16" i="4"/>
  <c r="B7243" i="106"/>
  <c r="D7243" i="106" s="1"/>
  <c r="B3636" i="106"/>
  <c r="D3636" i="106" s="1"/>
  <c r="D3635" i="106"/>
  <c r="B4171" i="106"/>
  <c r="D4171" i="106" s="1"/>
  <c r="N36" i="3"/>
  <c r="B7244" i="106"/>
  <c r="D7244" i="106" s="1"/>
  <c r="B7234" i="106"/>
  <c r="D7234" i="106" s="1"/>
  <c r="B7298" i="106"/>
  <c r="B7299" i="106"/>
  <c r="F24" i="37" l="1"/>
  <c r="K367" i="29"/>
  <c r="B3678" i="106" s="1"/>
  <c r="D3678" i="106" s="1"/>
  <c r="B279" i="106"/>
  <c r="D279" i="106" s="1"/>
  <c r="B2916" i="106"/>
  <c r="D2916" i="106" s="1"/>
  <c r="L41" i="3"/>
  <c r="K13" i="4"/>
  <c r="B3572" i="106" s="1"/>
  <c r="D3572" i="106" s="1"/>
  <c r="B3672" i="106"/>
  <c r="D3672" i="106" s="1"/>
  <c r="B3569" i="106"/>
  <c r="D3569" i="106" s="1"/>
  <c r="K8" i="4"/>
  <c r="A7259" i="106"/>
  <c r="H37" i="37"/>
  <c r="B285" i="106"/>
  <c r="D285" i="106" s="1"/>
  <c r="N37" i="3"/>
  <c r="B3574" i="106"/>
  <c r="D3574" i="106" s="1"/>
  <c r="K368" i="29" l="1"/>
  <c r="B3681" i="106" s="1"/>
  <c r="D3681" i="106" s="1"/>
  <c r="B280" i="106"/>
  <c r="D280" i="106" s="1"/>
  <c r="M41" i="3"/>
  <c r="B2917" i="106"/>
  <c r="D2917" i="106" s="1"/>
  <c r="D53" i="36"/>
  <c r="K17" i="4"/>
  <c r="K20" i="4" s="1"/>
  <c r="K10" i="4"/>
  <c r="B4130" i="106" s="1"/>
  <c r="D4130" i="106" s="1"/>
  <c r="B3571" i="106"/>
  <c r="D3571" i="106" s="1"/>
  <c r="N41" i="3"/>
  <c r="B287" i="106"/>
  <c r="D287" i="106" s="1"/>
  <c r="B4997" i="106"/>
  <c r="D4997" i="106" s="1"/>
  <c r="H32" i="118"/>
  <c r="K32" i="118" s="1"/>
  <c r="O31" i="118" s="1"/>
  <c r="O33" i="118" s="1"/>
  <c r="A7260" i="106"/>
  <c r="K19" i="4" l="1"/>
  <c r="B4144" i="106" s="1"/>
  <c r="D4144" i="106" s="1"/>
  <c r="B3575" i="106"/>
  <c r="D3575" i="106" s="1"/>
  <c r="B281" i="106"/>
  <c r="D281" i="106" s="1"/>
  <c r="D54" i="36"/>
  <c r="A7261" i="106"/>
  <c r="B288" i="106"/>
  <c r="D288" i="106" s="1"/>
  <c r="B3576" i="106"/>
  <c r="D3576" i="106" s="1"/>
  <c r="B780" i="106" l="1"/>
  <c r="D780" i="106" s="1"/>
  <c r="B838" i="106"/>
  <c r="D838" i="106" s="1"/>
  <c r="A7262" i="106"/>
  <c r="B791" i="106" l="1"/>
  <c r="D791" i="106" s="1"/>
  <c r="B6172" i="106"/>
  <c r="D6172" i="106" s="1"/>
  <c r="D270" i="29"/>
  <c r="B1436" i="106" s="1"/>
  <c r="D1436" i="106" s="1"/>
  <c r="K263" i="29"/>
  <c r="B1428" i="106"/>
  <c r="D1428" i="106" s="1"/>
  <c r="B7682" i="106"/>
  <c r="D7682" i="106" s="1"/>
  <c r="B6849" i="106"/>
  <c r="D6849" i="106" s="1"/>
  <c r="B2840" i="106"/>
  <c r="D2840" i="106" s="1"/>
  <c r="B6692" i="106"/>
  <c r="D6692" i="106" s="1"/>
  <c r="B777" i="106"/>
  <c r="D777" i="106" s="1"/>
  <c r="B6152" i="106"/>
  <c r="D6152" i="106" s="1"/>
  <c r="B5728" i="106"/>
  <c r="D5728" i="106" s="1"/>
  <c r="B7179" i="106"/>
  <c r="D7179" i="106" s="1"/>
  <c r="B2844" i="106"/>
  <c r="D2844" i="106" s="1"/>
  <c r="K291" i="29"/>
  <c r="B2846" i="106" s="1"/>
  <c r="D2846" i="106" s="1"/>
  <c r="B1262" i="106"/>
  <c r="D1262" i="106" s="1"/>
  <c r="B903" i="106"/>
  <c r="D903" i="106" s="1"/>
  <c r="B5332" i="106"/>
  <c r="D5332" i="106" s="1"/>
  <c r="B15" i="7"/>
  <c r="K63" i="29"/>
  <c r="E30" i="108" s="1"/>
  <c r="B742" i="106"/>
  <c r="D742" i="106" s="1"/>
  <c r="B5064" i="106"/>
  <c r="D5064" i="106" s="1"/>
  <c r="B17" i="7"/>
  <c r="B1046" i="106"/>
  <c r="D1046" i="106" s="1"/>
  <c r="K91" i="29"/>
  <c r="B6994" i="106" s="1"/>
  <c r="D6994" i="106" s="1"/>
  <c r="B6993" i="106"/>
  <c r="D6993" i="106" s="1"/>
  <c r="B325" i="106"/>
  <c r="D325" i="106" s="1"/>
  <c r="B6629" i="106"/>
  <c r="D6629" i="106" s="1"/>
  <c r="B3534" i="106"/>
  <c r="D3534" i="106" s="1"/>
  <c r="B6987" i="106"/>
  <c r="D6987" i="106" s="1"/>
  <c r="K88" i="29"/>
  <c r="B6988" i="106" s="1"/>
  <c r="D6988" i="106" s="1"/>
  <c r="B5785" i="106"/>
  <c r="D5785" i="106" s="1"/>
  <c r="G188" i="5"/>
  <c r="B6710" i="106"/>
  <c r="D6710" i="106" s="1"/>
  <c r="B104" i="106"/>
  <c r="D104" i="106" s="1"/>
  <c r="B6928" i="106"/>
  <c r="D6928" i="106" s="1"/>
  <c r="B7657" i="106"/>
  <c r="D7657" i="106" s="1"/>
  <c r="B6632" i="106"/>
  <c r="D6632" i="106" s="1"/>
  <c r="B6968" i="106"/>
  <c r="D6968" i="106" s="1"/>
  <c r="B5727" i="106"/>
  <c r="D5727" i="106" s="1"/>
  <c r="B862" i="106"/>
  <c r="D862" i="106" s="1"/>
  <c r="E72" i="29"/>
  <c r="B869" i="106" s="1"/>
  <c r="D869" i="106" s="1"/>
  <c r="B6861" i="106"/>
  <c r="D6861" i="106" s="1"/>
  <c r="B6745" i="106"/>
  <c r="D6745" i="106" s="1"/>
  <c r="B6188" i="106"/>
  <c r="D6188" i="106" s="1"/>
  <c r="B3230" i="106"/>
  <c r="D3230" i="106" s="1"/>
  <c r="B2843" i="106"/>
  <c r="D2843" i="106" s="1"/>
  <c r="K290" i="29"/>
  <c r="B2845" i="106" s="1"/>
  <c r="D2845" i="106" s="1"/>
  <c r="K142" i="29"/>
  <c r="B1268" i="106"/>
  <c r="D1268" i="106" s="1"/>
  <c r="H147" i="29"/>
  <c r="B7047" i="106" s="1"/>
  <c r="D7047" i="106" s="1"/>
  <c r="B957" i="106"/>
  <c r="D957" i="106" s="1"/>
  <c r="B4215" i="106"/>
  <c r="D4215" i="106" s="1"/>
  <c r="D114" i="5"/>
  <c r="B5357" i="106"/>
  <c r="D5357" i="106" s="1"/>
  <c r="B72" i="106"/>
  <c r="D72" i="106" s="1"/>
  <c r="K50" i="29"/>
  <c r="B733" i="106"/>
  <c r="D733" i="106" s="1"/>
  <c r="B6688" i="106"/>
  <c r="D6688" i="106" s="1"/>
  <c r="E84" i="29"/>
  <c r="K78" i="29"/>
  <c r="B2949" i="106"/>
  <c r="D2949" i="106" s="1"/>
  <c r="B4793" i="106"/>
  <c r="D4793" i="106" s="1"/>
  <c r="B2763" i="106"/>
  <c r="D2763" i="106" s="1"/>
  <c r="B4879" i="106"/>
  <c r="D4879" i="106" s="1"/>
  <c r="B7125" i="106"/>
  <c r="D7125" i="106" s="1"/>
  <c r="J330" i="29"/>
  <c r="B6245" i="106"/>
  <c r="D6245" i="106" s="1"/>
  <c r="B7686" i="106"/>
  <c r="D7686" i="106" s="1"/>
  <c r="B6090" i="106"/>
  <c r="D6090" i="106" s="1"/>
  <c r="B6905" i="106"/>
  <c r="D6905" i="106" s="1"/>
  <c r="J42" i="29"/>
  <c r="B6235" i="106"/>
  <c r="D6235" i="106" s="1"/>
  <c r="B6125" i="106"/>
  <c r="D6125" i="106" s="1"/>
  <c r="C34" i="3"/>
  <c r="B91" i="106" s="1"/>
  <c r="D91" i="106" s="1"/>
  <c r="B6704" i="106"/>
  <c r="D6704" i="106" s="1"/>
  <c r="B944" i="106"/>
  <c r="D944" i="106" s="1"/>
  <c r="B6353" i="106"/>
  <c r="D6353" i="106" s="1"/>
  <c r="J122" i="5"/>
  <c r="B1039" i="106"/>
  <c r="D1039" i="106" s="1"/>
  <c r="B1418" i="106"/>
  <c r="D1418" i="106" s="1"/>
  <c r="K240" i="29"/>
  <c r="D243" i="29"/>
  <c r="B1421" i="106" s="1"/>
  <c r="D1421" i="106" s="1"/>
  <c r="B828" i="106"/>
  <c r="D828" i="106" s="1"/>
  <c r="B4394" i="106"/>
  <c r="D4394" i="106" s="1"/>
  <c r="B3493" i="106"/>
  <c r="D3493" i="106" s="1"/>
  <c r="B6863" i="106"/>
  <c r="D6863" i="106" s="1"/>
  <c r="F149" i="34"/>
  <c r="B6769" i="106"/>
  <c r="D6769" i="106" s="1"/>
  <c r="B6173" i="106"/>
  <c r="D6173" i="106" s="1"/>
  <c r="B5089" i="106"/>
  <c r="D5089" i="106" s="1"/>
  <c r="C67" i="5"/>
  <c r="B5090" i="106" s="1"/>
  <c r="D5090" i="106" s="1"/>
  <c r="B1038" i="106"/>
  <c r="D1038" i="106" s="1"/>
  <c r="J127" i="29"/>
  <c r="B7025" i="106"/>
  <c r="D7025" i="106" s="1"/>
  <c r="B1236" i="106"/>
  <c r="D1236" i="106" s="1"/>
  <c r="B6258" i="106"/>
  <c r="D6258" i="106" s="1"/>
  <c r="B6810" i="106"/>
  <c r="D6810" i="106" s="1"/>
  <c r="B907" i="106"/>
  <c r="D907" i="106" s="1"/>
  <c r="B7707" i="106"/>
  <c r="D7707" i="106" s="1"/>
  <c r="B5561" i="106"/>
  <c r="D5561" i="106" s="1"/>
  <c r="B6630" i="106"/>
  <c r="D6630" i="106" s="1"/>
  <c r="B6939" i="106"/>
  <c r="D6939" i="106" s="1"/>
  <c r="H65" i="29"/>
  <c r="B1035" i="106" s="1"/>
  <c r="D1035" i="106" s="1"/>
  <c r="B1028" i="106"/>
  <c r="D1028" i="106" s="1"/>
  <c r="B4919" i="106"/>
  <c r="D4919" i="106" s="1"/>
  <c r="B6254" i="106"/>
  <c r="D6254" i="106" s="1"/>
  <c r="B6771" i="106"/>
  <c r="D6771" i="106" s="1"/>
  <c r="B6349" i="106"/>
  <c r="D6349" i="106" s="1"/>
  <c r="B1451" i="106"/>
  <c r="D1451" i="106" s="1"/>
  <c r="K292" i="29"/>
  <c r="B1514" i="106" s="1"/>
  <c r="D1514" i="106" s="1"/>
  <c r="B7693" i="106"/>
  <c r="D7693" i="106" s="1"/>
  <c r="K46" i="29"/>
  <c r="B1118" i="106" s="1"/>
  <c r="D1118" i="106" s="1"/>
  <c r="B730" i="106"/>
  <c r="D730" i="106" s="1"/>
  <c r="B7809" i="106"/>
  <c r="D7809" i="106" s="1"/>
  <c r="F166" i="34"/>
  <c r="B5585" i="106"/>
  <c r="D5585" i="106" s="1"/>
  <c r="B4376" i="106"/>
  <c r="D4376" i="106" s="1"/>
  <c r="B4802" i="106"/>
  <c r="D4802" i="106" s="1"/>
  <c r="B7111" i="106"/>
  <c r="D7111" i="106" s="1"/>
  <c r="B13" i="7"/>
  <c r="B5026" i="106"/>
  <c r="D5026" i="106" s="1"/>
  <c r="B6390" i="106"/>
  <c r="D6390" i="106" s="1"/>
  <c r="B938" i="106"/>
  <c r="D938" i="106" s="1"/>
  <c r="B7031" i="106"/>
  <c r="D7031" i="106" s="1"/>
  <c r="K75" i="29"/>
  <c r="B756" i="106"/>
  <c r="D756" i="106" s="1"/>
  <c r="B7014" i="106"/>
  <c r="D7014" i="106" s="1"/>
  <c r="B3486" i="106"/>
  <c r="D3486" i="106" s="1"/>
  <c r="B6664" i="106"/>
  <c r="D6664" i="106" s="1"/>
  <c r="B6327" i="106"/>
  <c r="D6327" i="106" s="1"/>
  <c r="B4379" i="106"/>
  <c r="D4379" i="106" s="1"/>
  <c r="K69" i="29"/>
  <c r="B748" i="106"/>
  <c r="D748" i="106" s="1"/>
  <c r="B741" i="106"/>
  <c r="D741" i="106" s="1"/>
  <c r="K62" i="29"/>
  <c r="B1129" i="106" s="1"/>
  <c r="D1129" i="106" s="1"/>
  <c r="B4356" i="106"/>
  <c r="D4356" i="106" s="1"/>
  <c r="B2725" i="106"/>
  <c r="D2725" i="106" s="1"/>
  <c r="K247" i="29"/>
  <c r="B2726" i="106" s="1"/>
  <c r="D2726" i="106" s="1"/>
  <c r="B800" i="106"/>
  <c r="D800" i="106" s="1"/>
  <c r="B6320" i="106"/>
  <c r="D6320" i="106" s="1"/>
  <c r="B4344" i="106"/>
  <c r="D4344" i="106" s="1"/>
  <c r="B6667" i="106"/>
  <c r="D6667" i="106" s="1"/>
  <c r="I67" i="5"/>
  <c r="B5926" i="106" s="1"/>
  <c r="D5926" i="106" s="1"/>
  <c r="B5925" i="106"/>
  <c r="D5925" i="106" s="1"/>
  <c r="B738" i="106"/>
  <c r="D738" i="106" s="1"/>
  <c r="K59" i="29"/>
  <c r="C65" i="29"/>
  <c r="B745" i="106" s="1"/>
  <c r="D745" i="106" s="1"/>
  <c r="B7146" i="106"/>
  <c r="D7146" i="106" s="1"/>
  <c r="B6829" i="106"/>
  <c r="D6829" i="106" s="1"/>
  <c r="F209" i="5"/>
  <c r="B4413" i="106" s="1"/>
  <c r="D4413" i="106" s="1"/>
  <c r="B5673" i="106"/>
  <c r="D5673" i="106" s="1"/>
  <c r="B6187" i="106"/>
  <c r="D6187" i="106" s="1"/>
  <c r="B6960" i="106"/>
  <c r="D6960" i="106" s="1"/>
  <c r="B7655" i="106"/>
  <c r="D7655" i="106" s="1"/>
  <c r="B2995" i="106"/>
  <c r="D2995" i="106" s="1"/>
  <c r="H194" i="29"/>
  <c r="B97" i="106"/>
  <c r="D97" i="106" s="1"/>
  <c r="B7093" i="106"/>
  <c r="D7093" i="106" s="1"/>
  <c r="K254" i="29"/>
  <c r="B7094" i="106" s="1"/>
  <c r="D7094" i="106" s="1"/>
  <c r="B5627" i="106"/>
  <c r="D5627" i="106" s="1"/>
  <c r="B6851" i="106"/>
  <c r="D6851" i="106" s="1"/>
  <c r="B7697" i="106"/>
  <c r="D7697" i="106" s="1"/>
  <c r="K329" i="29"/>
  <c r="B7705" i="106" s="1"/>
  <c r="D7705" i="106" s="1"/>
  <c r="B5078" i="106"/>
  <c r="D5078" i="106" s="1"/>
  <c r="B1522" i="106"/>
  <c r="D1522" i="106" s="1"/>
  <c r="K302" i="29"/>
  <c r="B1558" i="106" s="1"/>
  <c r="D1558" i="106" s="1"/>
  <c r="B6371" i="106"/>
  <c r="D6371" i="106" s="1"/>
  <c r="H169" i="5"/>
  <c r="B5899" i="106" s="1"/>
  <c r="D5899" i="106" s="1"/>
  <c r="B986" i="106"/>
  <c r="D986" i="106" s="1"/>
  <c r="B4217" i="106"/>
  <c r="D4217" i="106" s="1"/>
  <c r="B6350" i="106"/>
  <c r="D6350" i="106" s="1"/>
  <c r="B6819" i="106"/>
  <c r="D6819" i="106" s="1"/>
  <c r="B6317" i="106"/>
  <c r="D6317" i="106" s="1"/>
  <c r="B5027" i="106"/>
  <c r="D5027" i="106" s="1"/>
  <c r="H340" i="29"/>
  <c r="B7214" i="106" s="1"/>
  <c r="D7214" i="106" s="1"/>
  <c r="B7208" i="106"/>
  <c r="D7208" i="106" s="1"/>
  <c r="K337" i="29"/>
  <c r="B5708" i="106"/>
  <c r="D5708" i="106" s="1"/>
  <c r="B6751" i="106"/>
  <c r="D6751" i="106" s="1"/>
  <c r="B5740" i="106"/>
  <c r="D5740" i="106" s="1"/>
  <c r="B6733" i="106"/>
  <c r="D6733" i="106" s="1"/>
  <c r="B5917" i="106"/>
  <c r="D5917" i="106" s="1"/>
  <c r="B996" i="106"/>
  <c r="D996" i="106" s="1"/>
  <c r="B6104" i="106"/>
  <c r="D6104" i="106" s="1"/>
  <c r="B7251" i="106"/>
  <c r="D7251" i="106" s="1"/>
  <c r="K9" i="29"/>
  <c r="K7" i="29"/>
  <c r="B6848" i="106" s="1"/>
  <c r="D6848" i="106" s="1"/>
  <c r="B6727" i="106"/>
  <c r="D6727" i="106" s="1"/>
  <c r="B3316" i="106"/>
  <c r="D3316" i="106" s="1"/>
  <c r="B6237" i="106"/>
  <c r="D6237" i="106" s="1"/>
  <c r="B6700" i="106"/>
  <c r="D6700" i="106" s="1"/>
  <c r="B837" i="106"/>
  <c r="D837" i="106" s="1"/>
  <c r="E42" i="29"/>
  <c r="B5522" i="106"/>
  <c r="D5522" i="106" s="1"/>
  <c r="E108" i="5"/>
  <c r="B5526" i="106" s="1"/>
  <c r="D5526" i="106" s="1"/>
  <c r="B4946" i="106"/>
  <c r="D4946" i="106" s="1"/>
  <c r="B5798" i="106"/>
  <c r="D5798" i="106" s="1"/>
  <c r="B7816" i="106"/>
  <c r="D7816" i="106" s="1"/>
  <c r="B5609" i="106"/>
  <c r="D5609" i="106" s="1"/>
  <c r="B6316" i="106"/>
  <c r="D6316" i="106" s="1"/>
  <c r="J67" i="5"/>
  <c r="B6318" i="106" s="1"/>
  <c r="D6318" i="106" s="1"/>
  <c r="B6862" i="106"/>
  <c r="D6862" i="106" s="1"/>
  <c r="C188" i="5"/>
  <c r="B4395" i="106" s="1"/>
  <c r="D4395" i="106" s="1"/>
  <c r="B5233" i="106"/>
  <c r="D5233" i="106" s="1"/>
  <c r="B6812" i="106"/>
  <c r="D6812" i="106" s="1"/>
  <c r="B5100" i="106"/>
  <c r="D5100" i="106" s="1"/>
  <c r="K134" i="29"/>
  <c r="B2986" i="106" s="1"/>
  <c r="D2986" i="106" s="1"/>
  <c r="B4199" i="106"/>
  <c r="D4199" i="106" s="1"/>
  <c r="B6933" i="106"/>
  <c r="D6933" i="106" s="1"/>
  <c r="B4920" i="106"/>
  <c r="D4920" i="106" s="1"/>
  <c r="K124" i="29"/>
  <c r="B1276" i="106" s="1"/>
  <c r="D1276" i="106" s="1"/>
  <c r="B1221" i="106"/>
  <c r="D1221" i="106" s="1"/>
  <c r="B6146" i="106"/>
  <c r="D6146" i="106" s="1"/>
  <c r="B5107" i="106"/>
  <c r="D5107" i="106" s="1"/>
  <c r="F98" i="34"/>
  <c r="B978" i="106"/>
  <c r="D978" i="106" s="1"/>
  <c r="G72" i="29"/>
  <c r="B985" i="106" s="1"/>
  <c r="D985" i="106" s="1"/>
  <c r="B5345" i="106"/>
  <c r="D5345" i="106" s="1"/>
  <c r="B6355" i="106"/>
  <c r="D6355" i="106" s="1"/>
  <c r="B6918" i="106"/>
  <c r="D6918" i="106" s="1"/>
  <c r="I47" i="29"/>
  <c r="B6924" i="106" s="1"/>
  <c r="D6924" i="106" s="1"/>
  <c r="B6675" i="106"/>
  <c r="D6675" i="106" s="1"/>
  <c r="B5589" i="106"/>
  <c r="D5589" i="106" s="1"/>
  <c r="F114" i="5"/>
  <c r="B7109" i="106"/>
  <c r="D7109" i="106" s="1"/>
  <c r="B7658" i="106"/>
  <c r="D7658" i="106" s="1"/>
  <c r="K251" i="29"/>
  <c r="B7088" i="106" s="1"/>
  <c r="D7088" i="106" s="1"/>
  <c r="B7087" i="106"/>
  <c r="D7087" i="106" s="1"/>
  <c r="B892" i="106"/>
  <c r="D892" i="106" s="1"/>
  <c r="B2848" i="106"/>
  <c r="D2848" i="106" s="1"/>
  <c r="B7651" i="106"/>
  <c r="D7651" i="106" s="1"/>
  <c r="B844" i="106"/>
  <c r="D844" i="106" s="1"/>
  <c r="E47" i="29"/>
  <c r="B847" i="106" s="1"/>
  <c r="D847" i="106" s="1"/>
  <c r="J33" i="29"/>
  <c r="B6845" i="106"/>
  <c r="D6845" i="106" s="1"/>
  <c r="B2766" i="106"/>
  <c r="D2766" i="106" s="1"/>
  <c r="B5084" i="106"/>
  <c r="D5084" i="106" s="1"/>
  <c r="B7703" i="106"/>
  <c r="D7703" i="106" s="1"/>
  <c r="B4392" i="106"/>
  <c r="D4392" i="106" s="1"/>
  <c r="K101" i="29"/>
  <c r="B7015" i="106" s="1"/>
  <c r="D7015" i="106" s="1"/>
  <c r="B2947" i="106"/>
  <c r="D2947" i="106" s="1"/>
  <c r="B7690" i="106"/>
  <c r="D7690" i="106" s="1"/>
  <c r="B7097" i="106"/>
  <c r="D7097" i="106" s="1"/>
  <c r="K256" i="29"/>
  <c r="B7098" i="106" s="1"/>
  <c r="D7098" i="106" s="1"/>
  <c r="B1036" i="106"/>
  <c r="D1036" i="106" s="1"/>
  <c r="H72" i="29"/>
  <c r="B1043" i="106" s="1"/>
  <c r="D1043" i="106" s="1"/>
  <c r="B6755" i="106"/>
  <c r="D6755" i="106" s="1"/>
  <c r="B4410" i="106"/>
  <c r="D4410" i="106" s="1"/>
  <c r="B797" i="106"/>
  <c r="D797" i="106" s="1"/>
  <c r="B5352" i="106"/>
  <c r="D5352" i="106" s="1"/>
  <c r="D47" i="29"/>
  <c r="B789" i="106" s="1"/>
  <c r="D789" i="106" s="1"/>
  <c r="B786" i="106"/>
  <c r="D786" i="106" s="1"/>
  <c r="K233" i="29"/>
  <c r="B1476" i="106" s="1"/>
  <c r="D1476" i="106" s="1"/>
  <c r="B1412" i="106"/>
  <c r="D1412" i="106" s="1"/>
  <c r="B7683" i="106"/>
  <c r="D7683" i="106" s="1"/>
  <c r="B5882" i="106"/>
  <c r="D5882" i="106" s="1"/>
  <c r="H108" i="5"/>
  <c r="B5886" i="106" s="1"/>
  <c r="D5886" i="106" s="1"/>
  <c r="B5710" i="106"/>
  <c r="D5710" i="106" s="1"/>
  <c r="B7699" i="106"/>
  <c r="D7699" i="106" s="1"/>
  <c r="B16" i="7"/>
  <c r="B5723" i="106"/>
  <c r="D5723" i="106" s="1"/>
  <c r="B7128" i="106"/>
  <c r="D7128" i="106" s="1"/>
  <c r="B6625" i="106"/>
  <c r="D6625" i="106" s="1"/>
  <c r="D17" i="171"/>
  <c r="B4362" i="106"/>
  <c r="D4362" i="106" s="1"/>
  <c r="F169" i="34"/>
  <c r="B6685" i="106"/>
  <c r="D6685" i="106" s="1"/>
  <c r="B6788" i="106"/>
  <c r="D6788" i="106" s="1"/>
  <c r="B202" i="106"/>
  <c r="D202" i="106" s="1"/>
  <c r="B917" i="106"/>
  <c r="D917" i="106" s="1"/>
  <c r="B5093" i="106"/>
  <c r="D5093" i="106" s="1"/>
  <c r="B6366" i="106"/>
  <c r="D6366" i="106" s="1"/>
  <c r="B6714" i="106"/>
  <c r="D6714" i="106" s="1"/>
  <c r="K332" i="29"/>
  <c r="B7785" i="106"/>
  <c r="D7785" i="106" s="1"/>
  <c r="H334" i="29"/>
  <c r="B7789" i="106" s="1"/>
  <c r="D7789" i="106" s="1"/>
  <c r="B851" i="106"/>
  <c r="D851" i="106" s="1"/>
  <c r="E57" i="29"/>
  <c r="B853" i="106" s="1"/>
  <c r="D853" i="106" s="1"/>
  <c r="B6251" i="106"/>
  <c r="D6251" i="106" s="1"/>
  <c r="B5168" i="106"/>
  <c r="D5168" i="106" s="1"/>
  <c r="F110" i="34"/>
  <c r="B6623" i="106"/>
  <c r="D6623" i="106" s="1"/>
  <c r="B6770" i="106"/>
  <c r="D6770" i="106" s="1"/>
  <c r="B206" i="106"/>
  <c r="D206" i="106" s="1"/>
  <c r="B1366" i="106"/>
  <c r="D1366" i="106" s="1"/>
  <c r="H184" i="29"/>
  <c r="B1370" i="106" s="1"/>
  <c r="D1370" i="106" s="1"/>
  <c r="B6370" i="106"/>
  <c r="D6370" i="106" s="1"/>
  <c r="B5351" i="106"/>
  <c r="D5351" i="106" s="1"/>
  <c r="B2758" i="106"/>
  <c r="D2758" i="106" s="1"/>
  <c r="B1442" i="106"/>
  <c r="D1442" i="106" s="1"/>
  <c r="K276" i="29"/>
  <c r="B1506" i="106" s="1"/>
  <c r="D1506" i="106" s="1"/>
  <c r="B7182" i="106"/>
  <c r="D7182" i="106" s="1"/>
  <c r="K135" i="29"/>
  <c r="B2987" i="106" s="1"/>
  <c r="D2987" i="106" s="1"/>
  <c r="B4200" i="106"/>
  <c r="D4200" i="106" s="1"/>
  <c r="B5520" i="106"/>
  <c r="D5520" i="106" s="1"/>
  <c r="B5108" i="106"/>
  <c r="D5108" i="106" s="1"/>
  <c r="B2800" i="106"/>
  <c r="D2800" i="106" s="1"/>
  <c r="F103" i="34"/>
  <c r="B4761" i="106"/>
  <c r="D4761" i="106" s="1"/>
  <c r="B2955" i="106"/>
  <c r="D2955" i="106" s="1"/>
  <c r="H84" i="29"/>
  <c r="B1033" i="106"/>
  <c r="D1033" i="106" s="1"/>
  <c r="B6873" i="106"/>
  <c r="D6873" i="106" s="1"/>
  <c r="F167" i="34"/>
  <c r="B7813" i="106"/>
  <c r="D7813" i="106" s="1"/>
  <c r="B5844" i="106"/>
  <c r="D5844" i="106" s="1"/>
  <c r="G221" i="5"/>
  <c r="B5847" i="106" s="1"/>
  <c r="D5847" i="106" s="1"/>
  <c r="B706" i="106"/>
  <c r="D706" i="106" s="1"/>
  <c r="K16" i="29"/>
  <c r="B1094" i="106" s="1"/>
  <c r="D1094" i="106" s="1"/>
  <c r="C76" i="4"/>
  <c r="B3231" i="106" s="1"/>
  <c r="D3231" i="106" s="1"/>
  <c r="B5022" i="106"/>
  <c r="D5022" i="106" s="1"/>
  <c r="B1396" i="106"/>
  <c r="D1396" i="106" s="1"/>
  <c r="K225" i="29"/>
  <c r="B1460" i="106" s="1"/>
  <c r="D1460" i="106" s="1"/>
  <c r="B7195" i="106"/>
  <c r="D7195" i="106" s="1"/>
  <c r="B6743" i="106"/>
  <c r="D6743" i="106" s="1"/>
  <c r="B6680" i="106"/>
  <c r="D6680" i="106" s="1"/>
  <c r="B7661" i="106"/>
  <c r="D7661" i="106" s="1"/>
  <c r="B764" i="106"/>
  <c r="D764" i="106" s="1"/>
  <c r="B4342" i="106"/>
  <c r="D4342" i="106" s="1"/>
  <c r="B5387" i="106"/>
  <c r="D5387" i="106" s="1"/>
  <c r="F29" i="34"/>
  <c r="B7689" i="106"/>
  <c r="D7689" i="106" s="1"/>
  <c r="B5739" i="106"/>
  <c r="D5739" i="106" s="1"/>
  <c r="H13" i="3"/>
  <c r="B203" i="106" s="1"/>
  <c r="D203" i="106" s="1"/>
  <c r="B3519" i="106"/>
  <c r="D3519" i="106" s="1"/>
  <c r="B6969" i="106"/>
  <c r="D6969" i="106" s="1"/>
  <c r="B4332" i="106"/>
  <c r="D4332" i="106" s="1"/>
  <c r="B3297" i="106"/>
  <c r="D3297" i="106" s="1"/>
  <c r="B5135" i="106"/>
  <c r="D5135" i="106" s="1"/>
  <c r="B5139" i="106"/>
  <c r="D5139" i="106" s="1"/>
  <c r="B5181" i="106"/>
  <c r="D5181" i="106" s="1"/>
  <c r="F112" i="34"/>
  <c r="B6713" i="106"/>
  <c r="D6713" i="106" s="1"/>
  <c r="B725" i="106"/>
  <c r="D725" i="106" s="1"/>
  <c r="K40" i="29"/>
  <c r="B1113" i="106" s="1"/>
  <c r="D1113" i="106" s="1"/>
  <c r="B5594" i="106"/>
  <c r="D5594" i="106" s="1"/>
  <c r="B4309" i="106"/>
  <c r="D4309" i="106" s="1"/>
  <c r="B6369" i="106"/>
  <c r="D6369" i="106" s="1"/>
  <c r="B179" i="106"/>
  <c r="D179" i="106" s="1"/>
  <c r="B1528" i="106"/>
  <c r="D1528" i="106" s="1"/>
  <c r="B6116" i="106"/>
  <c r="D6116" i="106" s="1"/>
  <c r="B972" i="106"/>
  <c r="D972" i="106" s="1"/>
  <c r="B6092" i="106"/>
  <c r="D6092" i="106" s="1"/>
  <c r="B6153" i="106"/>
  <c r="D6153" i="106" s="1"/>
  <c r="B6930" i="106"/>
  <c r="D6930" i="106" s="1"/>
  <c r="B6393" i="106"/>
  <c r="D6393" i="106" s="1"/>
  <c r="B4878" i="106"/>
  <c r="D4878" i="106" s="1"/>
  <c r="K122" i="29"/>
  <c r="C127" i="29"/>
  <c r="B1219" i="106"/>
  <c r="D1219" i="106" s="1"/>
  <c r="B7787" i="106"/>
  <c r="D7787" i="106" s="1"/>
  <c r="K333" i="29"/>
  <c r="B7788" i="106" s="1"/>
  <c r="D7788" i="106" s="1"/>
  <c r="B6342" i="106"/>
  <c r="D6342" i="106" s="1"/>
  <c r="B7101" i="106"/>
  <c r="D7101" i="106" s="1"/>
  <c r="E310" i="29"/>
  <c r="B7114" i="106" s="1"/>
  <c r="D7114" i="106" s="1"/>
  <c r="B7105" i="106"/>
  <c r="D7105" i="106" s="1"/>
  <c r="K306" i="29"/>
  <c r="K38" i="29"/>
  <c r="B1111" i="106" s="1"/>
  <c r="D1111" i="106" s="1"/>
  <c r="B723" i="106"/>
  <c r="D723" i="106" s="1"/>
  <c r="B6627" i="106"/>
  <c r="D6627" i="106" s="1"/>
  <c r="B6650" i="106"/>
  <c r="D6650" i="106" s="1"/>
  <c r="F137" i="34"/>
  <c r="B973" i="106"/>
  <c r="D973" i="106" s="1"/>
  <c r="B1232" i="106"/>
  <c r="D1232" i="106" s="1"/>
  <c r="B6701" i="106"/>
  <c r="D6701" i="106" s="1"/>
  <c r="B2979" i="106"/>
  <c r="D2979" i="106" s="1"/>
  <c r="B726" i="106"/>
  <c r="D726" i="106" s="1"/>
  <c r="K41" i="29"/>
  <c r="B1114" i="106" s="1"/>
  <c r="D1114" i="106" s="1"/>
  <c r="B6398" i="106"/>
  <c r="D6398" i="106" s="1"/>
  <c r="J175" i="5"/>
  <c r="B6400" i="106" s="1"/>
  <c r="D6400" i="106" s="1"/>
  <c r="B5625" i="106"/>
  <c r="D5625" i="106" s="1"/>
  <c r="B863" i="106"/>
  <c r="D863" i="106" s="1"/>
  <c r="B923" i="106"/>
  <c r="D923" i="106" s="1"/>
  <c r="B5091" i="106"/>
  <c r="D5091" i="106" s="1"/>
  <c r="B5354" i="106"/>
  <c r="D5354" i="106" s="1"/>
  <c r="B1007" i="106"/>
  <c r="D1007" i="106" s="1"/>
  <c r="B2792" i="106"/>
  <c r="D2792" i="106" s="1"/>
  <c r="K108" i="29"/>
  <c r="B2796" i="106" s="1"/>
  <c r="D2796" i="106" s="1"/>
  <c r="F121" i="34"/>
  <c r="B4792" i="106"/>
  <c r="D4792" i="106" s="1"/>
  <c r="B6931" i="106"/>
  <c r="D6931" i="106" s="1"/>
  <c r="B1373" i="106"/>
  <c r="D1373" i="106" s="1"/>
  <c r="K203" i="29"/>
  <c r="B1385" i="106" s="1"/>
  <c r="D1385" i="106" s="1"/>
  <c r="B782" i="106"/>
  <c r="D782" i="106" s="1"/>
  <c r="B2721" i="106"/>
  <c r="D2721" i="106" s="1"/>
  <c r="B804" i="106"/>
  <c r="D804" i="106" s="1"/>
  <c r="D72" i="29"/>
  <c r="B811" i="106" s="1"/>
  <c r="D811" i="106" s="1"/>
  <c r="B5240" i="106"/>
  <c r="D5240" i="106" s="1"/>
  <c r="B961" i="106"/>
  <c r="D961" i="106" s="1"/>
  <c r="B724" i="106"/>
  <c r="D724" i="106" s="1"/>
  <c r="K39" i="29"/>
  <c r="B1112" i="106" s="1"/>
  <c r="D1112" i="106" s="1"/>
  <c r="B886" i="106"/>
  <c r="D886" i="106" s="1"/>
  <c r="B6155" i="106"/>
  <c r="D6155" i="106" s="1"/>
  <c r="I48" i="4"/>
  <c r="B2106" i="106" s="1"/>
  <c r="D2106" i="106" s="1"/>
  <c r="B321" i="106"/>
  <c r="D321" i="106" s="1"/>
  <c r="B7183" i="106"/>
  <c r="D7183" i="106" s="1"/>
  <c r="B855" i="106"/>
  <c r="D855" i="106" s="1"/>
  <c r="B3064" i="106"/>
  <c r="D3064" i="106" s="1"/>
  <c r="K219" i="29"/>
  <c r="B3065" i="106" s="1"/>
  <c r="D3065" i="106" s="1"/>
  <c r="B6875" i="106"/>
  <c r="D6875" i="106" s="1"/>
  <c r="K30" i="29"/>
  <c r="B6896" i="106"/>
  <c r="D6896" i="106" s="1"/>
  <c r="B3487" i="106"/>
  <c r="D3487" i="106" s="1"/>
  <c r="B5401" i="106"/>
  <c r="D5401" i="106" s="1"/>
  <c r="C57" i="29"/>
  <c r="B737" i="106" s="1"/>
  <c r="D737" i="106" s="1"/>
  <c r="B735" i="106"/>
  <c r="D735" i="106" s="1"/>
  <c r="K55" i="29"/>
  <c r="B1123" i="106" s="1"/>
  <c r="D1123" i="106" s="1"/>
  <c r="F91" i="34"/>
  <c r="B5573" i="106"/>
  <c r="D5573" i="106" s="1"/>
  <c r="B4191" i="106"/>
  <c r="D4191" i="106" s="1"/>
  <c r="B6290" i="106"/>
  <c r="D6290" i="106" s="1"/>
  <c r="D73" i="36"/>
  <c r="B2958" i="106"/>
  <c r="D2958" i="106" s="1"/>
  <c r="B812" i="106"/>
  <c r="D812" i="106" s="1"/>
  <c r="B6799" i="106"/>
  <c r="D6799" i="106" s="1"/>
  <c r="B4378" i="106"/>
  <c r="D4378" i="106" s="1"/>
  <c r="B7247" i="106"/>
  <c r="D7247" i="106" s="1"/>
  <c r="B5242" i="106"/>
  <c r="D5242" i="106" s="1"/>
  <c r="B5079" i="106"/>
  <c r="D5079" i="106" s="1"/>
  <c r="B928" i="106"/>
  <c r="D928" i="106" s="1"/>
  <c r="B809" i="106"/>
  <c r="D809" i="106" s="1"/>
  <c r="B6302" i="106"/>
  <c r="D6302" i="106" s="1"/>
  <c r="J18" i="5"/>
  <c r="B6306" i="106" s="1"/>
  <c r="D6306" i="106" s="1"/>
  <c r="B6156" i="106"/>
  <c r="D6156" i="106" s="1"/>
  <c r="B7136" i="106"/>
  <c r="D7136" i="106" s="1"/>
  <c r="K321" i="29"/>
  <c r="B7144" i="106" s="1"/>
  <c r="D7144" i="106" s="1"/>
  <c r="K222" i="29"/>
  <c r="B1471" i="106" s="1"/>
  <c r="D1471" i="106" s="1"/>
  <c r="B1407" i="106"/>
  <c r="D1407" i="106" s="1"/>
  <c r="B164" i="106"/>
  <c r="D164" i="106" s="1"/>
  <c r="B4312" i="106"/>
  <c r="D4312" i="106" s="1"/>
  <c r="B5927" i="106"/>
  <c r="D5927" i="106" s="1"/>
  <c r="I108" i="5"/>
  <c r="B5930" i="106" s="1"/>
  <c r="D5930" i="106" s="1"/>
  <c r="B7673" i="106"/>
  <c r="D7673" i="106" s="1"/>
  <c r="B2992" i="106"/>
  <c r="D2992" i="106" s="1"/>
  <c r="K191" i="29"/>
  <c r="B3010" i="106" s="1"/>
  <c r="D3010" i="106" s="1"/>
  <c r="B2817" i="106"/>
  <c r="D2817" i="106" s="1"/>
  <c r="E76" i="4"/>
  <c r="B3276" i="106" s="1"/>
  <c r="D3276" i="106" s="1"/>
  <c r="B1434" i="106"/>
  <c r="D1434" i="106" s="1"/>
  <c r="K269" i="29"/>
  <c r="B1498" i="106" s="1"/>
  <c r="D1498" i="106" s="1"/>
  <c r="B7694" i="106"/>
  <c r="D7694" i="106" s="1"/>
  <c r="F33" i="29"/>
  <c r="B894" i="106" s="1"/>
  <c r="D894" i="106" s="1"/>
  <c r="B879" i="106"/>
  <c r="D879" i="106" s="1"/>
  <c r="D209" i="5"/>
  <c r="B4412" i="106" s="1"/>
  <c r="D4412" i="106" s="1"/>
  <c r="B5440" i="106"/>
  <c r="D5440" i="106" s="1"/>
  <c r="B6158" i="106"/>
  <c r="D6158" i="106" s="1"/>
  <c r="B6322" i="106"/>
  <c r="D6322" i="106" s="1"/>
  <c r="B6135" i="106"/>
  <c r="D6135" i="106" s="1"/>
  <c r="K227" i="29"/>
  <c r="B1466" i="106" s="1"/>
  <c r="D1466" i="106" s="1"/>
  <c r="B1402" i="106"/>
  <c r="D1402" i="106" s="1"/>
  <c r="B119" i="106"/>
  <c r="D119" i="106" s="1"/>
  <c r="B858" i="106"/>
  <c r="D858" i="106" s="1"/>
  <c r="B18" i="7"/>
  <c r="B5065" i="106"/>
  <c r="D5065" i="106" s="1"/>
  <c r="F100" i="34"/>
  <c r="B5111" i="106"/>
  <c r="D5111" i="106" s="1"/>
  <c r="K130" i="29"/>
  <c r="B2805" i="106" s="1"/>
  <c r="D2805" i="106" s="1"/>
  <c r="B2797" i="106"/>
  <c r="D2797" i="106" s="1"/>
  <c r="B2824" i="106"/>
  <c r="D2824" i="106" s="1"/>
  <c r="K195" i="29"/>
  <c r="B2839" i="106" s="1"/>
  <c r="D2839" i="106" s="1"/>
  <c r="B7749" i="106"/>
  <c r="D7749" i="106" s="1"/>
  <c r="D44" i="4"/>
  <c r="B6314" i="106"/>
  <c r="D6314" i="106" s="1"/>
  <c r="F90" i="34"/>
  <c r="K221" i="29"/>
  <c r="B1406" i="106"/>
  <c r="D1406" i="106" s="1"/>
  <c r="B3078" i="106"/>
  <c r="D3078" i="106" s="1"/>
  <c r="B6725" i="106"/>
  <c r="D6725" i="106" s="1"/>
  <c r="B6337" i="106"/>
  <c r="D6337" i="106" s="1"/>
  <c r="B6764" i="106"/>
  <c r="D6764" i="106" s="1"/>
  <c r="G13" i="3"/>
  <c r="B180" i="106" s="1"/>
  <c r="D180" i="106" s="1"/>
  <c r="D38" i="36"/>
  <c r="B3422" i="106"/>
  <c r="D3422" i="106" s="1"/>
  <c r="B4331" i="106"/>
  <c r="D4331" i="106" s="1"/>
  <c r="B5615" i="106"/>
  <c r="D5615" i="106" s="1"/>
  <c r="F155" i="5"/>
  <c r="B5618" i="106" s="1"/>
  <c r="D5618" i="106" s="1"/>
  <c r="B7158" i="106"/>
  <c r="D7158" i="106" s="1"/>
  <c r="B7679" i="106"/>
  <c r="D7679" i="106" s="1"/>
  <c r="B432" i="106"/>
  <c r="D432" i="106" s="1"/>
  <c r="B5920" i="106"/>
  <c r="D5920" i="106" s="1"/>
  <c r="B6864" i="106"/>
  <c r="D6864" i="106" s="1"/>
  <c r="C108" i="5"/>
  <c r="B5120" i="106" s="1"/>
  <c r="D5120" i="106" s="1"/>
  <c r="F101" i="34"/>
  <c r="B5113" i="106"/>
  <c r="D5113" i="106" s="1"/>
  <c r="B86" i="106"/>
  <c r="D86" i="106" s="1"/>
  <c r="B6114" i="106"/>
  <c r="D6114" i="106" s="1"/>
  <c r="B7190" i="106"/>
  <c r="D7190" i="106" s="1"/>
  <c r="K327" i="29"/>
  <c r="B7198" i="106" s="1"/>
  <c r="D7198" i="106" s="1"/>
  <c r="B1008" i="106"/>
  <c r="D1008" i="106" s="1"/>
  <c r="B5196" i="106"/>
  <c r="D5196" i="106" s="1"/>
  <c r="B6708" i="106"/>
  <c r="D6708" i="106" s="1"/>
  <c r="J184" i="29"/>
  <c r="J210" i="29" s="1"/>
  <c r="B7072" i="106" s="1"/>
  <c r="D7072" i="106" s="1"/>
  <c r="B7060" i="106"/>
  <c r="D7060" i="106" s="1"/>
  <c r="B7040" i="106"/>
  <c r="D7040" i="106" s="1"/>
  <c r="B4811" i="106"/>
  <c r="D4811" i="106" s="1"/>
  <c r="B6869" i="106"/>
  <c r="D6869" i="106" s="1"/>
  <c r="B5126" i="106"/>
  <c r="D5126" i="106" s="1"/>
  <c r="C122" i="5"/>
  <c r="B5132" i="106" s="1"/>
  <c r="D5132" i="106" s="1"/>
  <c r="J47" i="29"/>
  <c r="B6925" i="106" s="1"/>
  <c r="D6925" i="106" s="1"/>
  <c r="B6919" i="106"/>
  <c r="D6919" i="106" s="1"/>
  <c r="D42" i="29"/>
  <c r="B779" i="106"/>
  <c r="D779" i="106" s="1"/>
  <c r="B6954" i="106"/>
  <c r="D6954" i="106" s="1"/>
  <c r="K18" i="29"/>
  <c r="B1100" i="106" s="1"/>
  <c r="D1100" i="106" s="1"/>
  <c r="B712" i="106"/>
  <c r="D712" i="106" s="1"/>
  <c r="K249" i="29"/>
  <c r="B7084" i="106" s="1"/>
  <c r="D7084" i="106" s="1"/>
  <c r="B7083" i="106"/>
  <c r="D7083" i="106" s="1"/>
  <c r="B7811" i="106"/>
  <c r="D7811" i="106" s="1"/>
  <c r="B975" i="106"/>
  <c r="D975" i="106" s="1"/>
  <c r="B6791" i="106"/>
  <c r="D6791" i="106" s="1"/>
  <c r="B7212" i="106"/>
  <c r="D7212" i="106" s="1"/>
  <c r="K339" i="29"/>
  <c r="B7213" i="106" s="1"/>
  <c r="D7213" i="106" s="1"/>
  <c r="B5072" i="106"/>
  <c r="D5072" i="106" s="1"/>
  <c r="C40" i="5"/>
  <c r="B5087" i="106" s="1"/>
  <c r="D5087" i="106" s="1"/>
  <c r="B4814" i="106"/>
  <c r="D4814" i="106" s="1"/>
  <c r="B5515" i="106"/>
  <c r="D5515" i="106" s="1"/>
  <c r="B5076" i="106"/>
  <c r="D5076" i="106" s="1"/>
  <c r="B5060" i="106"/>
  <c r="D5060" i="106" s="1"/>
  <c r="F116" i="34"/>
  <c r="B983" i="106"/>
  <c r="D983" i="106" s="1"/>
  <c r="B7761" i="106"/>
  <c r="D7761" i="106" s="1"/>
  <c r="F158" i="34"/>
  <c r="B6143" i="106"/>
  <c r="D6143" i="106" s="1"/>
  <c r="B4883" i="106"/>
  <c r="D4883" i="106" s="1"/>
  <c r="B7768" i="106"/>
  <c r="D7768" i="106" s="1"/>
  <c r="D188" i="5"/>
  <c r="B5426" i="106"/>
  <c r="D5426" i="106" s="1"/>
  <c r="B76" i="106"/>
  <c r="D76" i="106" s="1"/>
  <c r="B880" i="106"/>
  <c r="D880" i="106" s="1"/>
  <c r="B2960" i="106"/>
  <c r="D2960" i="106" s="1"/>
  <c r="B6892" i="106"/>
  <c r="D6892" i="106" s="1"/>
  <c r="K28" i="29"/>
  <c r="F47" i="34" s="1"/>
  <c r="B5458" i="106"/>
  <c r="D5458" i="106" s="1"/>
  <c r="F31" i="34"/>
  <c r="D217" i="5"/>
  <c r="B5470" i="106" s="1"/>
  <c r="D5470" i="106" s="1"/>
  <c r="F127" i="29"/>
  <c r="B1243" i="106"/>
  <c r="D1243" i="106" s="1"/>
  <c r="B1270" i="106"/>
  <c r="D1270" i="106" s="1"/>
  <c r="K146" i="29"/>
  <c r="B1285" i="106" s="1"/>
  <c r="D1285" i="106" s="1"/>
  <c r="B5528" i="106"/>
  <c r="D5528" i="106" s="1"/>
  <c r="E122" i="5"/>
  <c r="B7141" i="106"/>
  <c r="D7141" i="106" s="1"/>
  <c r="B6640" i="106"/>
  <c r="D6640" i="106" s="1"/>
  <c r="B6333" i="106"/>
  <c r="D6333" i="106" s="1"/>
  <c r="B7248" i="106"/>
  <c r="D7248" i="106" s="1"/>
  <c r="B7638" i="106"/>
  <c r="B7748" i="106"/>
  <c r="D7748" i="106" s="1"/>
  <c r="I47" i="4"/>
  <c r="I76" i="4" s="1"/>
  <c r="C44" i="4"/>
  <c r="E13" i="3"/>
  <c r="B131" i="106" s="1"/>
  <c r="D131" i="106" s="1"/>
  <c r="B3417" i="106"/>
  <c r="D3417" i="106" s="1"/>
  <c r="D36" i="36"/>
  <c r="B6341" i="106"/>
  <c r="D6341" i="106" s="1"/>
  <c r="B7176" i="106"/>
  <c r="D7176" i="106" s="1"/>
  <c r="B5056" i="106"/>
  <c r="D5056" i="106" s="1"/>
  <c r="F115" i="34"/>
  <c r="K159" i="29"/>
  <c r="B7782" i="106" s="1"/>
  <c r="D7782" i="106" s="1"/>
  <c r="B7781" i="106"/>
  <c r="D7781" i="106" s="1"/>
  <c r="B775" i="106"/>
  <c r="D775" i="106" s="1"/>
  <c r="B951" i="106"/>
  <c r="D951" i="106" s="1"/>
  <c r="B6233" i="106"/>
  <c r="D6233" i="106" s="1"/>
  <c r="B7258" i="106"/>
  <c r="D7258" i="106" s="1"/>
  <c r="B7160" i="106"/>
  <c r="D7160" i="106" s="1"/>
  <c r="B5929" i="106"/>
  <c r="D5929" i="106" s="1"/>
  <c r="B6144" i="106"/>
  <c r="D6144" i="106" s="1"/>
  <c r="B6959" i="106"/>
  <c r="D6959" i="106" s="1"/>
  <c r="B4354" i="106"/>
  <c r="D4354" i="106" s="1"/>
  <c r="B6264" i="106"/>
  <c r="D6264" i="106" s="1"/>
  <c r="B6976" i="106"/>
  <c r="D6976" i="106" s="1"/>
  <c r="B6031" i="106"/>
  <c r="D6031" i="106" s="1"/>
  <c r="C75" i="5"/>
  <c r="B6624" i="106"/>
  <c r="D6624" i="106" s="1"/>
  <c r="B6106" i="106"/>
  <c r="D6106" i="106" s="1"/>
  <c r="B900" i="106"/>
  <c r="D900" i="106" s="1"/>
  <c r="B4" i="7"/>
  <c r="C12" i="5"/>
  <c r="B5066" i="106" s="1"/>
  <c r="D5066" i="106" s="1"/>
  <c r="B5061" i="106"/>
  <c r="D5061" i="106" s="1"/>
  <c r="B198" i="106"/>
  <c r="D198" i="106" s="1"/>
  <c r="B7687" i="106"/>
  <c r="D7687" i="106" s="1"/>
  <c r="B6628" i="106"/>
  <c r="D6628" i="106" s="1"/>
  <c r="F108" i="34"/>
  <c r="B5167" i="106"/>
  <c r="D5167" i="106" s="1"/>
  <c r="B1018" i="106"/>
  <c r="D1018" i="106" s="1"/>
  <c r="H47" i="29"/>
  <c r="B1021" i="106" s="1"/>
  <c r="D1021" i="106" s="1"/>
  <c r="F72" i="29"/>
  <c r="B927" i="106" s="1"/>
  <c r="D927" i="106" s="1"/>
  <c r="B920" i="106"/>
  <c r="D920" i="106" s="1"/>
  <c r="B5498" i="106"/>
  <c r="D5498" i="106" s="1"/>
  <c r="B5346" i="106"/>
  <c r="D5346" i="106" s="1"/>
  <c r="B173" i="106"/>
  <c r="D173" i="106" s="1"/>
  <c r="K164" i="29"/>
  <c r="B1325" i="106" s="1"/>
  <c r="D1325" i="106" s="1"/>
  <c r="B1311" i="106"/>
  <c r="D1311" i="106" s="1"/>
  <c r="B6938" i="106"/>
  <c r="D6938" i="106" s="1"/>
  <c r="B6822" i="106"/>
  <c r="D6822" i="106" s="1"/>
  <c r="B6136" i="106"/>
  <c r="D6136" i="106" s="1"/>
  <c r="B1229" i="106"/>
  <c r="D1229" i="106" s="1"/>
  <c r="K123" i="29"/>
  <c r="B1275" i="106" s="1"/>
  <c r="D1275" i="106" s="1"/>
  <c r="B1220" i="106"/>
  <c r="D1220" i="106" s="1"/>
  <c r="K193" i="29"/>
  <c r="B3012" i="106" s="1"/>
  <c r="D3012" i="106" s="1"/>
  <c r="B2994" i="106"/>
  <c r="D2994" i="106" s="1"/>
  <c r="K280" i="29"/>
  <c r="B1447" i="106"/>
  <c r="D1447" i="106" s="1"/>
  <c r="B6329" i="106"/>
  <c r="D6329" i="106" s="1"/>
  <c r="B1316" i="106"/>
  <c r="D1316" i="106" s="1"/>
  <c r="B5765" i="106"/>
  <c r="D5765" i="106" s="1"/>
  <c r="B6181" i="106"/>
  <c r="D6181" i="106" s="1"/>
  <c r="B3377" i="106"/>
  <c r="D3377" i="106" s="1"/>
  <c r="B6765" i="106"/>
  <c r="D6765" i="106" s="1"/>
  <c r="D303" i="29"/>
  <c r="B1529" i="106" s="1"/>
  <c r="D1529" i="106" s="1"/>
  <c r="B1525" i="106"/>
  <c r="D1525" i="106" s="1"/>
  <c r="B2802" i="106"/>
  <c r="D2802" i="106" s="1"/>
  <c r="B7004" i="106"/>
  <c r="D7004" i="106" s="1"/>
  <c r="K97" i="29"/>
  <c r="B7005" i="106" s="1"/>
  <c r="D7005" i="106" s="1"/>
  <c r="B5529" i="106"/>
  <c r="D5529" i="106" s="1"/>
  <c r="B7139" i="106"/>
  <c r="D7139" i="106" s="1"/>
  <c r="B2806" i="106"/>
  <c r="D2806" i="106" s="1"/>
  <c r="F154" i="34"/>
  <c r="B6809" i="106"/>
  <c r="D6809" i="106" s="1"/>
  <c r="B7674" i="106"/>
  <c r="D7674" i="106" s="1"/>
  <c r="B7167" i="106"/>
  <c r="D7167" i="106" s="1"/>
  <c r="B5511" i="106"/>
  <c r="D5511" i="106" s="1"/>
  <c r="B6346" i="106"/>
  <c r="D6346" i="106" s="1"/>
  <c r="B6406" i="106"/>
  <c r="D6406" i="106" s="1"/>
  <c r="I57" i="29"/>
  <c r="B6948" i="106" s="1"/>
  <c r="D6948" i="106" s="1"/>
  <c r="B6944" i="106"/>
  <c r="D6944" i="106" s="1"/>
  <c r="B7073" i="106"/>
  <c r="D7073" i="106" s="1"/>
  <c r="K216" i="29"/>
  <c r="B6620" i="106"/>
  <c r="D6620" i="106" s="1"/>
  <c r="J252" i="5"/>
  <c r="B5115" i="106"/>
  <c r="D5115" i="106" s="1"/>
  <c r="F102" i="34"/>
  <c r="B4377" i="106"/>
  <c r="D4377" i="106" s="1"/>
  <c r="B5137" i="106"/>
  <c r="D5137" i="106" s="1"/>
  <c r="B1257" i="106"/>
  <c r="D1257" i="106" s="1"/>
  <c r="B5875" i="106"/>
  <c r="D5875" i="106" s="1"/>
  <c r="B6140" i="106"/>
  <c r="D6140" i="106" s="1"/>
  <c r="B6820" i="106"/>
  <c r="D6820" i="106" s="1"/>
  <c r="B1360" i="106"/>
  <c r="D1360" i="106" s="1"/>
  <c r="G184" i="29"/>
  <c r="B653" i="106"/>
  <c r="D653" i="106" s="1"/>
  <c r="B6232" i="106"/>
  <c r="D6232" i="106" s="1"/>
  <c r="I18" i="5"/>
  <c r="B5923" i="106" s="1"/>
  <c r="D5923" i="106" s="1"/>
  <c r="B5919" i="106"/>
  <c r="D5919" i="106" s="1"/>
  <c r="B841" i="106"/>
  <c r="D841" i="106" s="1"/>
  <c r="B6081" i="106"/>
  <c r="D6081" i="106" s="1"/>
  <c r="B6934" i="106"/>
  <c r="D6934" i="106" s="1"/>
  <c r="B6179" i="106"/>
  <c r="D6179" i="106" s="1"/>
  <c r="B6087" i="106"/>
  <c r="D6087" i="106" s="1"/>
  <c r="B890" i="106"/>
  <c r="D890" i="106" s="1"/>
  <c r="K308" i="29"/>
  <c r="B4100" i="106" s="1"/>
  <c r="D4100" i="106" s="1"/>
  <c r="B7110" i="106"/>
  <c r="D7110" i="106" s="1"/>
  <c r="B7036" i="106"/>
  <c r="D7036" i="106" s="1"/>
  <c r="F156" i="34"/>
  <c r="B6825" i="106"/>
  <c r="D6825" i="106" s="1"/>
  <c r="B1645" i="106"/>
  <c r="D1645" i="106" s="1"/>
  <c r="B2832" i="106"/>
  <c r="D2832" i="106" s="1"/>
  <c r="K202" i="29"/>
  <c r="B2842" i="106" s="1"/>
  <c r="D2842" i="106" s="1"/>
  <c r="B3414" i="106"/>
  <c r="D3414" i="106" s="1"/>
  <c r="D35" i="36"/>
  <c r="D13" i="3"/>
  <c r="B109" i="106" s="1"/>
  <c r="D109" i="106" s="1"/>
  <c r="B722" i="106"/>
  <c r="D722" i="106" s="1"/>
  <c r="K37" i="29"/>
  <c r="B1110" i="106" s="1"/>
  <c r="D1110" i="106" s="1"/>
  <c r="K36" i="29"/>
  <c r="B721" i="106"/>
  <c r="D721" i="106" s="1"/>
  <c r="C42" i="29"/>
  <c r="B6307" i="106"/>
  <c r="D6307" i="106" s="1"/>
  <c r="B7783" i="106"/>
  <c r="D7783" i="106" s="1"/>
  <c r="D285" i="29"/>
  <c r="B3722" i="106" s="1"/>
  <c r="D3722" i="106" s="1"/>
  <c r="K282" i="29"/>
  <c r="B1335" i="106"/>
  <c r="D1335" i="106" s="1"/>
  <c r="C184" i="29"/>
  <c r="K182" i="29"/>
  <c r="B4316" i="106"/>
  <c r="D4316" i="106" s="1"/>
  <c r="B872" i="106"/>
  <c r="D872" i="106" s="1"/>
  <c r="B5735" i="106"/>
  <c r="D5735" i="106" s="1"/>
  <c r="J72" i="29"/>
  <c r="B6974" i="106" s="1"/>
  <c r="D6974" i="106" s="1"/>
  <c r="B6964" i="106"/>
  <c r="D6964" i="106" s="1"/>
  <c r="B956" i="106"/>
  <c r="D956" i="106" s="1"/>
  <c r="B1023" i="106"/>
  <c r="D1023" i="106" s="1"/>
  <c r="B6706" i="106"/>
  <c r="D6706" i="106" s="1"/>
  <c r="B6183" i="106"/>
  <c r="D6183" i="106" s="1"/>
  <c r="B2980" i="106"/>
  <c r="D2980" i="106" s="1"/>
  <c r="B2956" i="106"/>
  <c r="D2956" i="106" s="1"/>
  <c r="B1015" i="106"/>
  <c r="D1015" i="106" s="1"/>
  <c r="B962" i="106"/>
  <c r="D962" i="106" s="1"/>
  <c r="B7151" i="106"/>
  <c r="D7151" i="106" s="1"/>
  <c r="F93" i="34"/>
  <c r="B7764" i="106"/>
  <c r="D7764" i="106" s="1"/>
  <c r="B5743" i="106"/>
  <c r="D5743" i="106" s="1"/>
  <c r="B865" i="106"/>
  <c r="D865" i="106" s="1"/>
  <c r="B6801" i="106"/>
  <c r="D6801" i="106" s="1"/>
  <c r="F153" i="34"/>
  <c r="B6646" i="106"/>
  <c r="D6646" i="106" s="1"/>
  <c r="B6749" i="106"/>
  <c r="D6749" i="106" s="1"/>
  <c r="B5013" i="106"/>
  <c r="D5013" i="106" s="1"/>
  <c r="D67" i="5"/>
  <c r="B5342" i="106" s="1"/>
  <c r="D5342" i="106" s="1"/>
  <c r="B5340" i="106"/>
  <c r="D5340" i="106" s="1"/>
  <c r="B7667" i="106"/>
  <c r="D7667" i="106" s="1"/>
  <c r="B3372" i="106"/>
  <c r="D3372" i="106" s="1"/>
  <c r="K85" i="29"/>
  <c r="B6982" i="106" s="1"/>
  <c r="D6982" i="106" s="1"/>
  <c r="H92" i="29"/>
  <c r="K92" i="29" s="1"/>
  <c r="B2089" i="106" s="1"/>
  <c r="D2089" i="106" s="1"/>
  <c r="B6981" i="106"/>
  <c r="D6981" i="106" s="1"/>
  <c r="B921" i="106"/>
  <c r="D921" i="106" s="1"/>
  <c r="B3532" i="106"/>
  <c r="D3532" i="106" s="1"/>
  <c r="B3251" i="106"/>
  <c r="D3251" i="106" s="1"/>
  <c r="B6827" i="106"/>
  <c r="D6827" i="106" s="1"/>
  <c r="B5887" i="106"/>
  <c r="D5887" i="106" s="1"/>
  <c r="H122" i="5"/>
  <c r="B4346" i="106"/>
  <c r="D4346" i="106" s="1"/>
  <c r="B4948" i="106"/>
  <c r="D4948" i="106" s="1"/>
  <c r="B914" i="106"/>
  <c r="D914" i="106" s="1"/>
  <c r="B7684" i="106"/>
  <c r="D7684" i="106" s="1"/>
  <c r="B5347" i="106"/>
  <c r="D5347" i="106" s="1"/>
  <c r="B5133" i="106"/>
  <c r="D5133" i="106" s="1"/>
  <c r="C132" i="5"/>
  <c r="B6163" i="106"/>
  <c r="D6163" i="106" s="1"/>
  <c r="B2957" i="106"/>
  <c r="D2957" i="106" s="1"/>
  <c r="B4228" i="106"/>
  <c r="D4228" i="106" s="1"/>
  <c r="B6120" i="106"/>
  <c r="D6120" i="106" s="1"/>
  <c r="B651" i="106"/>
  <c r="D651" i="106" s="1"/>
  <c r="B3060" i="106"/>
  <c r="D3060" i="106" s="1"/>
  <c r="B1540" i="106"/>
  <c r="D1540" i="106" s="1"/>
  <c r="B5274" i="106"/>
  <c r="D5274" i="106" s="1"/>
  <c r="C217" i="5"/>
  <c r="B5286" i="106" s="1"/>
  <c r="D5286" i="106" s="1"/>
  <c r="B7675" i="106"/>
  <c r="D7675" i="106" s="1"/>
  <c r="B4227" i="106"/>
  <c r="D4227" i="106" s="1"/>
  <c r="B3000" i="106"/>
  <c r="D3000" i="106" s="1"/>
  <c r="B6102" i="106"/>
  <c r="D6102" i="106" s="1"/>
  <c r="B6148" i="106"/>
  <c r="D6148" i="106" s="1"/>
  <c r="B6796" i="106"/>
  <c r="D6796" i="106" s="1"/>
  <c r="B6186" i="106"/>
  <c r="D6186" i="106" s="1"/>
  <c r="G330" i="29"/>
  <c r="B7122" i="106"/>
  <c r="D7122" i="106" s="1"/>
  <c r="B799" i="106"/>
  <c r="D799" i="106" s="1"/>
  <c r="B5395" i="106"/>
  <c r="D5395" i="106" s="1"/>
  <c r="B7264" i="106"/>
  <c r="B6123" i="106"/>
  <c r="D6123" i="106" s="1"/>
  <c r="B7666" i="106"/>
  <c r="D7666" i="106" s="1"/>
  <c r="B743" i="106"/>
  <c r="D743" i="106" s="1"/>
  <c r="K64" i="29"/>
  <c r="K68" i="29"/>
  <c r="B747" i="106"/>
  <c r="D747" i="106" s="1"/>
  <c r="B6805" i="106"/>
  <c r="D6805" i="106" s="1"/>
  <c r="B6105" i="106"/>
  <c r="D6105" i="106" s="1"/>
  <c r="B6762" i="106"/>
  <c r="D6762" i="106" s="1"/>
  <c r="B5099" i="106"/>
  <c r="D5099" i="106" s="1"/>
  <c r="B1030" i="106"/>
  <c r="D1030" i="106" s="1"/>
  <c r="B896" i="106"/>
  <c r="D896" i="106" s="1"/>
  <c r="B4179" i="106"/>
  <c r="D4179" i="106" s="1"/>
  <c r="B1020" i="106"/>
  <c r="D1020" i="106" s="1"/>
  <c r="B4345" i="106"/>
  <c r="D4345" i="106" s="1"/>
  <c r="B5754" i="106"/>
  <c r="D5754" i="106" s="1"/>
  <c r="G145" i="5"/>
  <c r="B5756" i="106" s="1"/>
  <c r="D5756" i="106" s="1"/>
  <c r="B6856" i="106"/>
  <c r="D6856" i="106" s="1"/>
  <c r="B5617" i="106"/>
  <c r="D5617" i="106" s="1"/>
  <c r="B6683" i="106"/>
  <c r="D6683" i="106" s="1"/>
  <c r="B7106" i="106"/>
  <c r="D7106" i="106" s="1"/>
  <c r="H310" i="29"/>
  <c r="B7115" i="106" s="1"/>
  <c r="D7115" i="106" s="1"/>
  <c r="B6991" i="106"/>
  <c r="D6991" i="106" s="1"/>
  <c r="K90" i="29"/>
  <c r="B6992" i="106" s="1"/>
  <c r="D6992" i="106" s="1"/>
  <c r="B6750" i="106"/>
  <c r="D6750" i="106" s="1"/>
  <c r="B6854" i="106"/>
  <c r="D6854" i="106" s="1"/>
  <c r="B6656" i="106"/>
  <c r="D6656" i="106" s="1"/>
  <c r="B3236" i="106"/>
  <c r="D3236" i="106" s="1"/>
  <c r="K145" i="29"/>
  <c r="B2811" i="106" s="1"/>
  <c r="D2811" i="106" s="1"/>
  <c r="B2808" i="106"/>
  <c r="D2808" i="106" s="1"/>
  <c r="B5872" i="106"/>
  <c r="D5872" i="106" s="1"/>
  <c r="B7061" i="106"/>
  <c r="D7061" i="106" s="1"/>
  <c r="B6786" i="106"/>
  <c r="D6786" i="106" s="1"/>
  <c r="E40" i="4"/>
  <c r="B6288" i="106" s="1"/>
  <c r="D6288" i="106" s="1"/>
  <c r="B6248" i="106"/>
  <c r="D6248" i="106" s="1"/>
  <c r="K98" i="29"/>
  <c r="B7007" i="106" s="1"/>
  <c r="D7007" i="106" s="1"/>
  <c r="B7006" i="106"/>
  <c r="D7006" i="106" s="1"/>
  <c r="D108" i="5"/>
  <c r="B5355" i="106" s="1"/>
  <c r="D5355" i="106" s="1"/>
  <c r="B5349" i="106"/>
  <c r="D5349" i="106" s="1"/>
  <c r="B5560" i="106"/>
  <c r="D5560" i="106" s="1"/>
  <c r="B7653" i="106"/>
  <c r="D7653" i="106" s="1"/>
  <c r="B6828" i="106"/>
  <c r="D6828" i="106" s="1"/>
  <c r="B832" i="106"/>
  <c r="D832" i="106" s="1"/>
  <c r="B6758" i="106"/>
  <c r="D6758" i="106" s="1"/>
  <c r="B3369" i="106"/>
  <c r="D3369" i="106" s="1"/>
  <c r="B5336" i="106"/>
  <c r="D5336" i="106" s="1"/>
  <c r="F164" i="34"/>
  <c r="B4418" i="106"/>
  <c r="D4418" i="106" s="1"/>
  <c r="B6256" i="106"/>
  <c r="D6256" i="106" s="1"/>
  <c r="B4391" i="106"/>
  <c r="D4391" i="106" s="1"/>
  <c r="B6929" i="106"/>
  <c r="D6929" i="106" s="1"/>
  <c r="B6886" i="106"/>
  <c r="D6886" i="106" s="1"/>
  <c r="K25" i="29"/>
  <c r="B968" i="106"/>
  <c r="D968" i="106" s="1"/>
  <c r="B5122" i="106"/>
  <c r="D5122" i="106" s="1"/>
  <c r="C114" i="5"/>
  <c r="B5384" i="106"/>
  <c r="D5384" i="106" s="1"/>
  <c r="B6180" i="106"/>
  <c r="D6180" i="106" s="1"/>
  <c r="B108" i="106"/>
  <c r="D108" i="106" s="1"/>
  <c r="K27" i="29"/>
  <c r="B6890" i="106"/>
  <c r="D6890" i="106" s="1"/>
  <c r="B6663" i="106"/>
  <c r="D6663" i="106" s="1"/>
  <c r="B2757" i="106"/>
  <c r="D2757" i="106" s="1"/>
  <c r="D72" i="36"/>
  <c r="B7267" i="106"/>
  <c r="B4327" i="106"/>
  <c r="D4327" i="106" s="1"/>
  <c r="B7131" i="106"/>
  <c r="D7131" i="106" s="1"/>
  <c r="B3056" i="106"/>
  <c r="D3056" i="106" s="1"/>
  <c r="K236" i="29"/>
  <c r="B1479" i="106" s="1"/>
  <c r="D1479" i="106" s="1"/>
  <c r="B1415" i="106"/>
  <c r="D1415" i="106" s="1"/>
  <c r="B6375" i="106"/>
  <c r="D6375" i="106" s="1"/>
  <c r="B6696" i="106"/>
  <c r="D6696" i="106" s="1"/>
  <c r="K79" i="29"/>
  <c r="B2974" i="106" s="1"/>
  <c r="D2974" i="106" s="1"/>
  <c r="B2950" i="106"/>
  <c r="D2950" i="106" s="1"/>
  <c r="B965" i="106"/>
  <c r="D965" i="106" s="1"/>
  <c r="B5341" i="106"/>
  <c r="D5341" i="106" s="1"/>
  <c r="B897" i="106"/>
  <c r="D897" i="106" s="1"/>
  <c r="K99" i="29"/>
  <c r="B7010" i="106" s="1"/>
  <c r="D7010" i="106" s="1"/>
  <c r="E100" i="29"/>
  <c r="B7011" i="106" s="1"/>
  <c r="D7011" i="106" s="1"/>
  <c r="B7008" i="106"/>
  <c r="D7008" i="106" s="1"/>
  <c r="B6739" i="106"/>
  <c r="D6739" i="106" s="1"/>
  <c r="B5563" i="106"/>
  <c r="D5563" i="106" s="1"/>
  <c r="F84" i="34"/>
  <c r="F63" i="5"/>
  <c r="B5579" i="106" s="1"/>
  <c r="D5579" i="106" s="1"/>
  <c r="B5239" i="106"/>
  <c r="D5239" i="106" s="1"/>
  <c r="K87" i="29"/>
  <c r="B6986" i="106" s="1"/>
  <c r="D6986" i="106" s="1"/>
  <c r="B6985" i="106"/>
  <c r="D6985" i="106" s="1"/>
  <c r="H53" i="29"/>
  <c r="B1024" i="106" s="1"/>
  <c r="D1024" i="106" s="1"/>
  <c r="B1022" i="106"/>
  <c r="D1022" i="106" s="1"/>
  <c r="E184" i="29"/>
  <c r="B1351" i="106" s="1"/>
  <c r="D1351" i="106" s="1"/>
  <c r="B1347" i="106"/>
  <c r="D1347" i="106" s="1"/>
  <c r="B4853" i="106"/>
  <c r="D4853" i="106" s="1"/>
  <c r="C330" i="29"/>
  <c r="B7199" i="106" s="1"/>
  <c r="D7199" i="106" s="1"/>
  <c r="B7118" i="106"/>
  <c r="D7118" i="106" s="1"/>
  <c r="K319" i="29"/>
  <c r="B6660" i="106"/>
  <c r="D6660" i="106" s="1"/>
  <c r="B6099" i="106"/>
  <c r="D6099" i="106" s="1"/>
  <c r="B6184" i="106"/>
  <c r="D6184" i="106" s="1"/>
  <c r="B5248" i="106"/>
  <c r="D5248" i="106" s="1"/>
  <c r="K266" i="29"/>
  <c r="B1495" i="106" s="1"/>
  <c r="D1495" i="106" s="1"/>
  <c r="B1431" i="106"/>
  <c r="D1431" i="106" s="1"/>
  <c r="B6806" i="106"/>
  <c r="D6806" i="106" s="1"/>
  <c r="B6826" i="106"/>
  <c r="D6826" i="106" s="1"/>
  <c r="B3370" i="106"/>
  <c r="D3370" i="106" s="1"/>
  <c r="J57" i="29"/>
  <c r="B6949" i="106" s="1"/>
  <c r="D6949" i="106" s="1"/>
  <c r="B6945" i="106"/>
  <c r="D6945" i="106" s="1"/>
  <c r="B4352" i="106"/>
  <c r="D4352" i="106" s="1"/>
  <c r="E252" i="5"/>
  <c r="B6835" i="106" s="1"/>
  <c r="D6835" i="106" s="1"/>
  <c r="B6616" i="106"/>
  <c r="D6616" i="106" s="1"/>
  <c r="B4884" i="106"/>
  <c r="D4884" i="106" s="1"/>
  <c r="B7143" i="106"/>
  <c r="D7143" i="106" s="1"/>
  <c r="B6331" i="106"/>
  <c r="D6331" i="106" s="1"/>
  <c r="B1244" i="106"/>
  <c r="D1244" i="106" s="1"/>
  <c r="B6867" i="106"/>
  <c r="D6867" i="106" s="1"/>
  <c r="B6971" i="106"/>
  <c r="D6971" i="106" s="1"/>
  <c r="B6299" i="106"/>
  <c r="D6299" i="106" s="1"/>
  <c r="B4887" i="106"/>
  <c r="D4887" i="106" s="1"/>
  <c r="C82" i="5"/>
  <c r="B5097" i="106"/>
  <c r="D5097" i="106" s="1"/>
  <c r="B4448" i="106"/>
  <c r="D4448" i="106" s="1"/>
  <c r="B6091" i="106"/>
  <c r="D6091" i="106" s="1"/>
  <c r="B7668" i="106"/>
  <c r="D7668" i="106" s="1"/>
  <c r="B7166" i="106"/>
  <c r="D7166" i="106" s="1"/>
  <c r="B5695" i="106"/>
  <c r="D5695" i="106" s="1"/>
  <c r="B5353" i="106"/>
  <c r="D5353" i="106" s="1"/>
  <c r="B922" i="106"/>
  <c r="D922" i="106" s="1"/>
  <c r="B6093" i="106"/>
  <c r="D6093" i="106" s="1"/>
  <c r="B7197" i="106"/>
  <c r="D7197" i="106" s="1"/>
  <c r="B6913" i="106"/>
  <c r="D6913" i="106" s="1"/>
  <c r="G18" i="5"/>
  <c r="B5730" i="106" s="1"/>
  <c r="D5730" i="106" s="1"/>
  <c r="B5726" i="106"/>
  <c r="D5726" i="106" s="1"/>
  <c r="B1534" i="106"/>
  <c r="D1534" i="106" s="1"/>
  <c r="B6359" i="106"/>
  <c r="D6359" i="106" s="1"/>
  <c r="B6110" i="106"/>
  <c r="D6110" i="106" s="1"/>
  <c r="B3492" i="106"/>
  <c r="D3492" i="106" s="1"/>
  <c r="B6718" i="106"/>
  <c r="D6718" i="106" s="1"/>
  <c r="B7253" i="106"/>
  <c r="D7253" i="106" s="1"/>
  <c r="B6249" i="106"/>
  <c r="D6249" i="106" s="1"/>
  <c r="B6763" i="106"/>
  <c r="D6763" i="106" s="1"/>
  <c r="B6151" i="106"/>
  <c r="D6151" i="106" s="1"/>
  <c r="K95" i="29"/>
  <c r="B7001" i="106" s="1"/>
  <c r="D7001" i="106" s="1"/>
  <c r="B7000" i="106"/>
  <c r="D7000" i="106" s="1"/>
  <c r="K274" i="29"/>
  <c r="B1503" i="106" s="1"/>
  <c r="D1503" i="106" s="1"/>
  <c r="B1439" i="106"/>
  <c r="D1439" i="106" s="1"/>
  <c r="B6354" i="106"/>
  <c r="D6354" i="106" s="1"/>
  <c r="B7706" i="106"/>
  <c r="D7706" i="106" s="1"/>
  <c r="B4419" i="106"/>
  <c r="D4419" i="106" s="1"/>
  <c r="B6149" i="106"/>
  <c r="D6149" i="106" s="1"/>
  <c r="B7152" i="106"/>
  <c r="D7152" i="106" s="1"/>
  <c r="B5153" i="106"/>
  <c r="D5153" i="106" s="1"/>
  <c r="B7636" i="106"/>
  <c r="B6831" i="106"/>
  <c r="D6831" i="106" s="1"/>
  <c r="B6908" i="106"/>
  <c r="D6908" i="106" s="1"/>
  <c r="E67" i="5"/>
  <c r="B5521" i="106" s="1"/>
  <c r="D5521" i="106" s="1"/>
  <c r="B5519" i="106"/>
  <c r="D5519" i="106" s="1"/>
  <c r="B1363" i="106"/>
  <c r="D1363" i="106" s="1"/>
  <c r="G67" i="5"/>
  <c r="B5733" i="106" s="1"/>
  <c r="D5733" i="106" s="1"/>
  <c r="B5731" i="106"/>
  <c r="D5731" i="106" s="1"/>
  <c r="B7155" i="106"/>
  <c r="D7155" i="106" s="1"/>
  <c r="F88" i="34"/>
  <c r="B5570" i="106"/>
  <c r="D5570" i="106" s="1"/>
  <c r="B1013" i="106"/>
  <c r="D1013" i="106" s="1"/>
  <c r="B6804" i="106"/>
  <c r="D6804" i="106" s="1"/>
  <c r="B6243" i="106"/>
  <c r="D6243" i="106" s="1"/>
  <c r="E38" i="4"/>
  <c r="B6286" i="106" s="1"/>
  <c r="D6286" i="106" s="1"/>
  <c r="B1371" i="106"/>
  <c r="D1371" i="106" s="1"/>
  <c r="H204" i="29"/>
  <c r="K199" i="29"/>
  <c r="B1383" i="106" s="1"/>
  <c r="D1383" i="106" s="1"/>
  <c r="B4408" i="106"/>
  <c r="D4408" i="106" s="1"/>
  <c r="B5734" i="106"/>
  <c r="D5734" i="106" s="1"/>
  <c r="G108" i="5"/>
  <c r="B5737" i="106" s="1"/>
  <c r="D5737" i="106" s="1"/>
  <c r="B7049" i="106"/>
  <c r="D7049" i="106" s="1"/>
  <c r="K148" i="29"/>
  <c r="B7050" i="106" s="1"/>
  <c r="D7050" i="106" s="1"/>
  <c r="K126" i="29"/>
  <c r="B1277" i="106" s="1"/>
  <c r="D1277" i="106" s="1"/>
  <c r="B1254" i="106"/>
  <c r="D1254" i="106" s="1"/>
  <c r="B7102" i="106"/>
  <c r="D7102" i="106" s="1"/>
  <c r="B6983" i="106"/>
  <c r="D6983" i="106" s="1"/>
  <c r="K86" i="29"/>
  <c r="B6984" i="106" s="1"/>
  <c r="D6984" i="106" s="1"/>
  <c r="B6326" i="106"/>
  <c r="D6326" i="106" s="1"/>
  <c r="B6735" i="106"/>
  <c r="D6735" i="106" s="1"/>
  <c r="B2719" i="106"/>
  <c r="D2719" i="106" s="1"/>
  <c r="B1002" i="106"/>
  <c r="D1002" i="106" s="1"/>
  <c r="B5517" i="106"/>
  <c r="D5517" i="106" s="1"/>
  <c r="B6648" i="106"/>
  <c r="D6648" i="106" s="1"/>
  <c r="B1031" i="106"/>
  <c r="D1031" i="106" s="1"/>
  <c r="B6709" i="106"/>
  <c r="D6709" i="106" s="1"/>
  <c r="E175" i="5"/>
  <c r="B4372" i="106" s="1"/>
  <c r="D4372" i="106" s="1"/>
  <c r="B4364" i="106"/>
  <c r="D4364" i="106" s="1"/>
  <c r="F136" i="34"/>
  <c r="B6642" i="106"/>
  <c r="D6642" i="106" s="1"/>
  <c r="B835" i="106"/>
  <c r="D835" i="106" s="1"/>
  <c r="B5568" i="106"/>
  <c r="D5568" i="106" s="1"/>
  <c r="F20" i="34"/>
  <c r="B1227" i="106"/>
  <c r="D1227" i="106" s="1"/>
  <c r="D127" i="29"/>
  <c r="B4334" i="106"/>
  <c r="D4334" i="106" s="1"/>
  <c r="B5393" i="106"/>
  <c r="D5393" i="106" s="1"/>
  <c r="K11" i="29"/>
  <c r="B7257" i="106"/>
  <c r="D7257" i="106" s="1"/>
  <c r="B7677" i="106"/>
  <c r="D7677" i="106" s="1"/>
  <c r="B7149" i="106"/>
  <c r="D7149" i="106" s="1"/>
  <c r="F13" i="3"/>
  <c r="B157" i="106" s="1"/>
  <c r="D157" i="106" s="1"/>
  <c r="D37" i="36"/>
  <c r="B3419" i="106"/>
  <c r="D3419" i="106" s="1"/>
  <c r="B6247" i="106"/>
  <c r="D6247" i="106" s="1"/>
  <c r="B770" i="106"/>
  <c r="D770" i="106" s="1"/>
  <c r="B7672" i="106"/>
  <c r="D7672" i="106" s="1"/>
  <c r="B7701" i="106"/>
  <c r="D7701" i="106" s="1"/>
  <c r="B1659" i="106"/>
  <c r="D1659" i="106" s="1"/>
  <c r="B7039" i="106"/>
  <c r="D7039" i="106" s="1"/>
  <c r="B5164" i="106"/>
  <c r="D5164" i="106" s="1"/>
  <c r="B6872" i="106"/>
  <c r="D6872" i="106" s="1"/>
  <c r="B6691" i="106"/>
  <c r="D6691" i="106" s="1"/>
  <c r="B7026" i="106"/>
  <c r="D7026" i="106" s="1"/>
  <c r="B6330" i="106"/>
  <c r="D6330" i="106" s="1"/>
  <c r="B3058" i="106"/>
  <c r="D3058" i="106" s="1"/>
  <c r="B6952" i="106"/>
  <c r="D6952" i="106" s="1"/>
  <c r="B7009" i="106"/>
  <c r="D7009" i="106" s="1"/>
  <c r="B7731" i="106"/>
  <c r="D7731" i="106" s="1"/>
  <c r="B7035" i="106"/>
  <c r="D7035" i="106" s="1"/>
  <c r="B4192" i="106"/>
  <c r="D4192" i="106" s="1"/>
  <c r="B1261" i="106"/>
  <c r="D1261" i="106" s="1"/>
  <c r="K10" i="29"/>
  <c r="B3062" i="106" s="1"/>
  <c r="D3062" i="106" s="1"/>
  <c r="B3055" i="106"/>
  <c r="D3055" i="106" s="1"/>
  <c r="B7637" i="106"/>
  <c r="B1012" i="106"/>
  <c r="D1012" i="106" s="1"/>
  <c r="B6340" i="106"/>
  <c r="D6340" i="106" s="1"/>
  <c r="I33" i="29"/>
  <c r="B6902" i="106" s="1"/>
  <c r="D6902" i="106" s="1"/>
  <c r="B6844" i="106"/>
  <c r="D6844" i="106" s="1"/>
  <c r="B7702" i="106"/>
  <c r="D7702" i="106" s="1"/>
  <c r="B6821" i="106"/>
  <c r="D6821" i="106" s="1"/>
  <c r="B6884" i="106"/>
  <c r="D6884" i="106" s="1"/>
  <c r="K24" i="29"/>
  <c r="F43" i="34" s="1"/>
  <c r="B6139" i="106"/>
  <c r="D6139" i="106" s="1"/>
  <c r="I34" i="3"/>
  <c r="B2910" i="106" s="1"/>
  <c r="D2910" i="106" s="1"/>
  <c r="B6086" i="106"/>
  <c r="D6086" i="106" s="1"/>
  <c r="B6782" i="106"/>
  <c r="D6782" i="106" s="1"/>
  <c r="B2953" i="106"/>
  <c r="D2953" i="106" s="1"/>
  <c r="K82" i="29"/>
  <c r="B2977" i="106" s="1"/>
  <c r="D2977" i="106" s="1"/>
  <c r="B6115" i="106"/>
  <c r="D6115" i="106" s="1"/>
  <c r="K322" i="29"/>
  <c r="B7153" i="106" s="1"/>
  <c r="D7153" i="106" s="1"/>
  <c r="B7145" i="106"/>
  <c r="D7145" i="106" s="1"/>
  <c r="B5110" i="106"/>
  <c r="D5110" i="106" s="1"/>
  <c r="F99" i="34"/>
  <c r="B7698" i="106"/>
  <c r="D7698" i="106" s="1"/>
  <c r="B6645" i="106"/>
  <c r="D6645" i="106" s="1"/>
  <c r="B893" i="106"/>
  <c r="D893" i="106" s="1"/>
  <c r="H100" i="29"/>
  <c r="B7012" i="106" s="1"/>
  <c r="D7012" i="106" s="1"/>
  <c r="B6996" i="106"/>
  <c r="D6996" i="106" s="1"/>
  <c r="K93" i="29"/>
  <c r="B4864" i="106"/>
  <c r="D4864" i="106" s="1"/>
  <c r="B5755" i="106"/>
  <c r="D5755" i="106" s="1"/>
  <c r="K338" i="29"/>
  <c r="B7211" i="106" s="1"/>
  <c r="D7211" i="106" s="1"/>
  <c r="B7210" i="106"/>
  <c r="D7210" i="106" s="1"/>
  <c r="B5525" i="106"/>
  <c r="D5525" i="106" s="1"/>
  <c r="B1014" i="106"/>
  <c r="D1014" i="106" s="1"/>
  <c r="B7178" i="106"/>
  <c r="D7178" i="106" s="1"/>
  <c r="D57" i="29"/>
  <c r="B795" i="106" s="1"/>
  <c r="D795" i="106" s="1"/>
  <c r="B793" i="106"/>
  <c r="D793" i="106" s="1"/>
  <c r="B4855" i="106"/>
  <c r="D4855" i="106" s="1"/>
  <c r="B4329" i="106"/>
  <c r="D4329" i="106" s="1"/>
  <c r="F120" i="34"/>
  <c r="B6614" i="106"/>
  <c r="D6614" i="106" s="1"/>
  <c r="C252" i="5"/>
  <c r="B6833" i="106" s="1"/>
  <c r="D6833" i="106" s="1"/>
  <c r="K94" i="29"/>
  <c r="B6999" i="106" s="1"/>
  <c r="D6999" i="106" s="1"/>
  <c r="B6998" i="106"/>
  <c r="D6998" i="106" s="1"/>
  <c r="B5883" i="106"/>
  <c r="D5883" i="106" s="1"/>
  <c r="B1369" i="106"/>
  <c r="D1369" i="106" s="1"/>
  <c r="B4210" i="106"/>
  <c r="D4210" i="106" s="1"/>
  <c r="K206" i="29"/>
  <c r="B5331" i="106"/>
  <c r="D5331" i="106" s="1"/>
  <c r="B5692" i="106"/>
  <c r="D5692" i="106" s="1"/>
  <c r="B4852" i="106"/>
  <c r="D4852" i="106" s="1"/>
  <c r="F170" i="34"/>
  <c r="B1016" i="106"/>
  <c r="D1016" i="106" s="1"/>
  <c r="B6639" i="106"/>
  <c r="D6639" i="106" s="1"/>
  <c r="K288" i="29"/>
  <c r="H293" i="29"/>
  <c r="B1449" i="106"/>
  <c r="D1449" i="106" s="1"/>
  <c r="B846" i="106"/>
  <c r="D846" i="106" s="1"/>
  <c r="B156" i="106"/>
  <c r="D156" i="106" s="1"/>
  <c r="B6404" i="106"/>
  <c r="D6404" i="106" s="1"/>
  <c r="B834" i="106"/>
  <c r="D834" i="106" s="1"/>
  <c r="B5853" i="106"/>
  <c r="D5853" i="106" s="1"/>
  <c r="K301" i="29"/>
  <c r="K303" i="29" s="1"/>
  <c r="B1519" i="106"/>
  <c r="D1519" i="106" s="1"/>
  <c r="C303" i="29"/>
  <c r="B6095" i="106"/>
  <c r="D6095" i="106" s="1"/>
  <c r="B1445" i="106"/>
  <c r="D1445" i="106" s="1"/>
  <c r="K278" i="29"/>
  <c r="B1509" i="106" s="1"/>
  <c r="D1509" i="106" s="1"/>
  <c r="B6661" i="106"/>
  <c r="D6661" i="106" s="1"/>
  <c r="E137" i="29"/>
  <c r="K133" i="29"/>
  <c r="B7776" i="106" s="1"/>
  <c r="D7776" i="106" s="1"/>
  <c r="B7774" i="106"/>
  <c r="D7774" i="106" s="1"/>
  <c r="B5581" i="106"/>
  <c r="D5581" i="106" s="1"/>
  <c r="B6643" i="106"/>
  <c r="D6643" i="106" s="1"/>
  <c r="B906" i="106"/>
  <c r="D906" i="106" s="1"/>
  <c r="F53" i="29"/>
  <c r="B908" i="106" s="1"/>
  <c r="D908" i="106" s="1"/>
  <c r="B6321" i="106"/>
  <c r="D6321" i="106" s="1"/>
  <c r="K136" i="29"/>
  <c r="B2988" i="106" s="1"/>
  <c r="D2988" i="106" s="1"/>
  <c r="B4201" i="106"/>
  <c r="D4201" i="106" s="1"/>
  <c r="B7662" i="106"/>
  <c r="D7662" i="106" s="1"/>
  <c r="D175" i="5"/>
  <c r="B5423" i="106" s="1"/>
  <c r="D5423" i="106" s="1"/>
  <c r="B5422" i="106"/>
  <c r="D5422" i="106" s="1"/>
  <c r="J53" i="29"/>
  <c r="B6943" i="106" s="1"/>
  <c r="D6943" i="106" s="1"/>
  <c r="B6927" i="106"/>
  <c r="D6927" i="106" s="1"/>
  <c r="B6772" i="106"/>
  <c r="D6772" i="106" s="1"/>
  <c r="B6830" i="106"/>
  <c r="D6830" i="106" s="1"/>
  <c r="B4338" i="106"/>
  <c r="D4338" i="106" s="1"/>
  <c r="B4420" i="106"/>
  <c r="D4420" i="106" s="1"/>
  <c r="K106" i="29"/>
  <c r="B1147" i="106" s="1"/>
  <c r="D1147" i="106" s="1"/>
  <c r="B1049" i="106"/>
  <c r="D1049" i="106" s="1"/>
  <c r="B6781" i="106"/>
  <c r="D6781" i="106" s="1"/>
  <c r="B6309" i="106"/>
  <c r="D6309" i="106" s="1"/>
  <c r="B5024" i="106"/>
  <c r="D5024" i="106" s="1"/>
  <c r="F76" i="4"/>
  <c r="B3254" i="106" s="1"/>
  <c r="D3254" i="106" s="1"/>
  <c r="B6164" i="106"/>
  <c r="D6164" i="106" s="1"/>
  <c r="B6953" i="106"/>
  <c r="D6953" i="106" s="1"/>
  <c r="B6293" i="106"/>
  <c r="D6293" i="106" s="1"/>
  <c r="B6741" i="106"/>
  <c r="D6741" i="106" s="1"/>
  <c r="B930" i="106"/>
  <c r="D930" i="106" s="1"/>
  <c r="B4315" i="106"/>
  <c r="D4315" i="106" s="1"/>
  <c r="B5068" i="106"/>
  <c r="D5068" i="106" s="1"/>
  <c r="B7261" i="106"/>
  <c r="D7261" i="106" s="1"/>
  <c r="B5463" i="106"/>
  <c r="D5463" i="106" s="1"/>
  <c r="B6766" i="106"/>
  <c r="D6766" i="106" s="1"/>
  <c r="B7164" i="106"/>
  <c r="D7164" i="106" s="1"/>
  <c r="B4918" i="106"/>
  <c r="D4918" i="106" s="1"/>
  <c r="B5224" i="106"/>
  <c r="D5224" i="106" s="1"/>
  <c r="C175" i="5"/>
  <c r="B5225" i="106" s="1"/>
  <c r="D5225" i="106" s="1"/>
  <c r="D141" i="5"/>
  <c r="B5383" i="106" s="1"/>
  <c r="D5383" i="106" s="1"/>
  <c r="B5370" i="106"/>
  <c r="D5370" i="106" s="1"/>
  <c r="B7769" i="106"/>
  <c r="D7769" i="106" s="1"/>
  <c r="B7150" i="106"/>
  <c r="D7150" i="106" s="1"/>
  <c r="K32" i="29"/>
  <c r="B6900" i="106"/>
  <c r="D6900" i="106" s="1"/>
  <c r="B842" i="106"/>
  <c r="D842" i="106" s="1"/>
  <c r="K320" i="29"/>
  <c r="B7135" i="106" s="1"/>
  <c r="D7135" i="106" s="1"/>
  <c r="B7127" i="106"/>
  <c r="D7127" i="106" s="1"/>
  <c r="B954" i="106"/>
  <c r="D954" i="106" s="1"/>
  <c r="B5280" i="106"/>
  <c r="D5280" i="106" s="1"/>
  <c r="F130" i="34"/>
  <c r="I65" i="29"/>
  <c r="B6961" i="106" s="1"/>
  <c r="D6961" i="106" s="1"/>
  <c r="B6950" i="106"/>
  <c r="D6950" i="106" s="1"/>
  <c r="B5275" i="106"/>
  <c r="D5275" i="106" s="1"/>
  <c r="B7069" i="106"/>
  <c r="D7069" i="106" s="1"/>
  <c r="K207" i="29"/>
  <c r="B7070" i="106" s="1"/>
  <c r="D7070" i="106" s="1"/>
  <c r="B3373" i="106"/>
  <c r="D3373" i="106" s="1"/>
  <c r="B6823" i="106"/>
  <c r="D6823" i="106" s="1"/>
  <c r="B2801" i="106"/>
  <c r="D2801" i="106" s="1"/>
  <c r="B6695" i="106"/>
  <c r="D6695" i="106" s="1"/>
  <c r="B5604" i="106"/>
  <c r="D5604" i="106" s="1"/>
  <c r="B5315" i="106"/>
  <c r="D5315" i="106" s="1"/>
  <c r="F162" i="34"/>
  <c r="B6923" i="106"/>
  <c r="D6923" i="106" s="1"/>
  <c r="F330" i="29"/>
  <c r="F342" i="29" s="1"/>
  <c r="B7219" i="106" s="1"/>
  <c r="D7219" i="106" s="1"/>
  <c r="B7121" i="106"/>
  <c r="D7121" i="106" s="1"/>
  <c r="H168" i="29"/>
  <c r="B1310" i="106"/>
  <c r="D1310" i="106" s="1"/>
  <c r="K163" i="29"/>
  <c r="B5328" i="106"/>
  <c r="D5328" i="106" s="1"/>
  <c r="B5" i="7"/>
  <c r="D12" i="5"/>
  <c r="B3057" i="106"/>
  <c r="D3057" i="106" s="1"/>
  <c r="B166" i="106"/>
  <c r="D166" i="106" s="1"/>
  <c r="B4421" i="106"/>
  <c r="D4421" i="106" s="1"/>
  <c r="B6292" i="106"/>
  <c r="D6292" i="106" s="1"/>
  <c r="B5119" i="106"/>
  <c r="D5119" i="106" s="1"/>
  <c r="B3085" i="106"/>
  <c r="D3085" i="106" s="1"/>
  <c r="B7168" i="106"/>
  <c r="D7168" i="106" s="1"/>
  <c r="B6814" i="106"/>
  <c r="D6814" i="106" s="1"/>
  <c r="B5586" i="106"/>
  <c r="D5586" i="106" s="1"/>
  <c r="B6715" i="106"/>
  <c r="D6715" i="106" s="1"/>
  <c r="B6174" i="106"/>
  <c r="D6174" i="106" s="1"/>
  <c r="B798" i="106"/>
  <c r="D798" i="106" s="1"/>
  <c r="K89" i="29"/>
  <c r="B6990" i="106" s="1"/>
  <c r="D6990" i="106" s="1"/>
  <c r="B6989" i="106"/>
  <c r="D6989" i="106" s="1"/>
  <c r="B5255" i="106"/>
  <c r="D5255" i="106" s="1"/>
  <c r="E65" i="29"/>
  <c r="B861" i="106" s="1"/>
  <c r="D861" i="106" s="1"/>
  <c r="B854" i="106"/>
  <c r="D854" i="106" s="1"/>
  <c r="B6698" i="106"/>
  <c r="D6698" i="106" s="1"/>
  <c r="K325" i="29"/>
  <c r="B7180" i="106" s="1"/>
  <c r="D7180" i="106" s="1"/>
  <c r="B7172" i="106"/>
  <c r="D7172" i="106" s="1"/>
  <c r="B1026" i="106"/>
  <c r="D1026" i="106" s="1"/>
  <c r="B208" i="106"/>
  <c r="D208" i="106" s="1"/>
  <c r="B1350" i="106"/>
  <c r="D1350" i="106" s="1"/>
  <c r="B6096" i="106"/>
  <c r="D6096" i="106" s="1"/>
  <c r="B7669" i="106"/>
  <c r="D7669" i="106" s="1"/>
  <c r="B6239" i="106"/>
  <c r="D6239" i="106" s="1"/>
  <c r="J76" i="4"/>
  <c r="B6261" i="106" s="1"/>
  <c r="D6261" i="106" s="1"/>
  <c r="B910" i="106"/>
  <c r="D910" i="106" s="1"/>
  <c r="B4447" i="106"/>
  <c r="D4447" i="106" s="1"/>
  <c r="B88" i="106"/>
  <c r="D88" i="106" s="1"/>
  <c r="B5175" i="106"/>
  <c r="D5175" i="106" s="1"/>
  <c r="C155" i="5"/>
  <c r="B4369" i="106"/>
  <c r="D4369" i="106" s="1"/>
  <c r="B6241" i="106"/>
  <c r="D6241" i="106" s="1"/>
  <c r="B6166" i="106"/>
  <c r="D6166" i="106" s="1"/>
  <c r="B5601" i="106"/>
  <c r="D5601" i="106" s="1"/>
  <c r="B6757" i="106"/>
  <c r="D6757" i="106" s="1"/>
  <c r="D71" i="36"/>
  <c r="B5012" i="106"/>
  <c r="D5012" i="106" s="1"/>
  <c r="B1041" i="106"/>
  <c r="D1041" i="106" s="1"/>
  <c r="B6303" i="106"/>
  <c r="D6303" i="106" s="1"/>
  <c r="B6638" i="106"/>
  <c r="D6638" i="106" s="1"/>
  <c r="B6178" i="106"/>
  <c r="D6178" i="106" s="1"/>
  <c r="B1269" i="106"/>
  <c r="D1269" i="106" s="1"/>
  <c r="K143" i="29"/>
  <c r="B1284" i="106" s="1"/>
  <c r="D1284" i="106" s="1"/>
  <c r="B4190" i="106"/>
  <c r="D4190" i="106" s="1"/>
  <c r="K226" i="29"/>
  <c r="B7080" i="106" s="1"/>
  <c r="D7080" i="106" s="1"/>
  <c r="B7079" i="106"/>
  <c r="D7079" i="106" s="1"/>
  <c r="K272" i="29"/>
  <c r="D277" i="29"/>
  <c r="B1444" i="106" s="1"/>
  <c r="D1444" i="106" s="1"/>
  <c r="B1437" i="106"/>
  <c r="D1437" i="106" s="1"/>
  <c r="B6909" i="106"/>
  <c r="D6909" i="106" s="1"/>
  <c r="B5343" i="106"/>
  <c r="D5343" i="106" s="1"/>
  <c r="D82" i="5"/>
  <c r="B5348" i="106" s="1"/>
  <c r="D5348" i="106" s="1"/>
  <c r="B6748" i="106"/>
  <c r="D6748" i="106" s="1"/>
  <c r="B4771" i="106"/>
  <c r="D4771" i="106" s="1"/>
  <c r="B2720" i="106"/>
  <c r="D2720" i="106" s="1"/>
  <c r="B949" i="106"/>
  <c r="D949" i="106" s="1"/>
  <c r="B784" i="106"/>
  <c r="D784" i="106" s="1"/>
  <c r="K13" i="29"/>
  <c r="B1105" i="106" s="1"/>
  <c r="D1105" i="106" s="1"/>
  <c r="B717" i="106"/>
  <c r="D717" i="106" s="1"/>
  <c r="D155" i="5"/>
  <c r="B5394" i="106" s="1"/>
  <c r="D5394" i="106" s="1"/>
  <c r="B5391" i="106"/>
  <c r="D5391" i="106" s="1"/>
  <c r="B6860" i="106"/>
  <c r="D6860" i="106" s="1"/>
  <c r="B4876" i="106"/>
  <c r="D4876" i="106" s="1"/>
  <c r="B6697" i="106"/>
  <c r="D6697" i="106" s="1"/>
  <c r="B6126" i="106"/>
  <c r="D6126" i="106" s="1"/>
  <c r="D34" i="3"/>
  <c r="B122" i="106" s="1"/>
  <c r="D122" i="106" s="1"/>
  <c r="B5114" i="106"/>
  <c r="D5114" i="106" s="1"/>
  <c r="B3388" i="106"/>
  <c r="D3388" i="106" s="1"/>
  <c r="K217" i="29"/>
  <c r="B3391" i="106" s="1"/>
  <c r="D3391" i="106" s="1"/>
  <c r="B6325" i="106"/>
  <c r="D6325" i="106" s="1"/>
  <c r="B5691" i="106"/>
  <c r="D5691" i="106" s="1"/>
  <c r="F217" i="5"/>
  <c r="B5703" i="106" s="1"/>
  <c r="D5703" i="106" s="1"/>
  <c r="B6729" i="106"/>
  <c r="D6729" i="106" s="1"/>
  <c r="F145" i="34"/>
  <c r="B6335" i="106"/>
  <c r="D6335" i="106" s="1"/>
  <c r="F92" i="34"/>
  <c r="B5575" i="106"/>
  <c r="D5575" i="106" s="1"/>
  <c r="B6970" i="106"/>
  <c r="D6970" i="106" s="1"/>
  <c r="B1032" i="106"/>
  <c r="D1032" i="106" s="1"/>
  <c r="B6300" i="106"/>
  <c r="D6300" i="106" s="1"/>
  <c r="B5375" i="106"/>
  <c r="D5375" i="106" s="1"/>
  <c r="I127" i="29"/>
  <c r="B7024" i="106"/>
  <c r="D7024" i="106" s="1"/>
  <c r="B6726" i="106"/>
  <c r="D6726" i="106" s="1"/>
  <c r="G127" i="29"/>
  <c r="B1251" i="106"/>
  <c r="D1251" i="106" s="1"/>
  <c r="B6915" i="106"/>
  <c r="D6915" i="106" s="1"/>
  <c r="F18" i="5"/>
  <c r="B5562" i="106" s="1"/>
  <c r="D5562" i="106" s="1"/>
  <c r="B5558" i="106"/>
  <c r="D5558" i="106" s="1"/>
  <c r="B6972" i="106"/>
  <c r="D6972" i="106" s="1"/>
  <c r="B787" i="106"/>
  <c r="D787" i="106" s="1"/>
  <c r="D68" i="36"/>
  <c r="B323" i="106"/>
  <c r="D323" i="106" s="1"/>
  <c r="B5591" i="106"/>
  <c r="D5591" i="106" s="1"/>
  <c r="B6088" i="106"/>
  <c r="D6088" i="106" s="1"/>
  <c r="B5103" i="106"/>
  <c r="D5103" i="106" s="1"/>
  <c r="F96" i="34"/>
  <c r="C93" i="5"/>
  <c r="B5112" i="106" s="1"/>
  <c r="D5112" i="106" s="1"/>
  <c r="B620" i="106"/>
  <c r="D620" i="106" s="1"/>
  <c r="B7660" i="106"/>
  <c r="D7660" i="106" s="1"/>
  <c r="B4343" i="106"/>
  <c r="D4343" i="106" s="1"/>
  <c r="B134" i="106"/>
  <c r="D134" i="106" s="1"/>
  <c r="B746" i="106"/>
  <c r="D746" i="106" s="1"/>
  <c r="K67" i="29"/>
  <c r="C72" i="29"/>
  <c r="B753" i="106" s="1"/>
  <c r="D753" i="106" s="1"/>
  <c r="B7185" i="106"/>
  <c r="D7185" i="106" s="1"/>
  <c r="B806" i="106"/>
  <c r="D806" i="106" s="1"/>
  <c r="B7045" i="106"/>
  <c r="D7045" i="106" s="1"/>
  <c r="B4916" i="106"/>
  <c r="D4916" i="106" s="1"/>
  <c r="B2952" i="106"/>
  <c r="D2952" i="106" s="1"/>
  <c r="K81" i="29"/>
  <c r="B2976" i="106" s="1"/>
  <c r="D2976" i="106" s="1"/>
  <c r="B7169" i="106"/>
  <c r="D7169" i="106" s="1"/>
  <c r="B6160" i="106"/>
  <c r="D6160" i="106" s="1"/>
  <c r="B7157" i="106"/>
  <c r="D7157" i="106" s="1"/>
  <c r="B6253" i="106"/>
  <c r="D6253" i="106" s="1"/>
  <c r="B6111" i="106"/>
  <c r="D6111" i="106" s="1"/>
  <c r="B5362" i="106"/>
  <c r="D5362" i="106" s="1"/>
  <c r="B5569" i="106"/>
  <c r="D5569" i="106" s="1"/>
  <c r="F21" i="34"/>
  <c r="B2798" i="106"/>
  <c r="D2798" i="106" s="1"/>
  <c r="B7186" i="106"/>
  <c r="D7186" i="106" s="1"/>
  <c r="B5073" i="106"/>
  <c r="D5073" i="106" s="1"/>
  <c r="K246" i="29"/>
  <c r="B1487" i="106" s="1"/>
  <c r="D1487" i="106" s="1"/>
  <c r="B1423" i="106"/>
  <c r="D1423" i="106" s="1"/>
  <c r="H127" i="29"/>
  <c r="B1260" i="106"/>
  <c r="D1260" i="106" s="1"/>
  <c r="B5822" i="106"/>
  <c r="D5822" i="106" s="1"/>
  <c r="B5565" i="106"/>
  <c r="D5565" i="106" s="1"/>
  <c r="F85" i="34"/>
  <c r="B3531" i="106"/>
  <c r="D3531" i="106" s="1"/>
  <c r="B732" i="106"/>
  <c r="D732" i="106" s="1"/>
  <c r="C53" i="29"/>
  <c r="B734" i="106" s="1"/>
  <c r="D734" i="106" s="1"/>
  <c r="K49" i="29"/>
  <c r="B6637" i="106"/>
  <c r="D6637" i="106" s="1"/>
  <c r="B5142" i="106"/>
  <c r="D5142" i="106" s="1"/>
  <c r="B6847" i="106"/>
  <c r="D6847" i="106" s="1"/>
  <c r="B980" i="106"/>
  <c r="D980" i="106" s="1"/>
  <c r="B6332" i="106"/>
  <c r="D6332" i="106" s="1"/>
  <c r="B5555" i="106"/>
  <c r="D5555" i="106" s="1"/>
  <c r="K107" i="29"/>
  <c r="B2795" i="106" s="1"/>
  <c r="D2795" i="106" s="1"/>
  <c r="B2791" i="106"/>
  <c r="D2791" i="106" s="1"/>
  <c r="B3366" i="106"/>
  <c r="D3366" i="106" s="1"/>
  <c r="K8" i="29"/>
  <c r="B3380" i="106" s="1"/>
  <c r="D3380" i="106" s="1"/>
  <c r="B7043" i="106"/>
  <c r="D7043" i="106" s="1"/>
  <c r="B6358" i="106"/>
  <c r="D6358" i="106" s="1"/>
  <c r="B7032" i="106"/>
  <c r="D7032" i="106" s="1"/>
  <c r="B1432" i="106"/>
  <c r="D1432" i="106" s="1"/>
  <c r="K267" i="29"/>
  <c r="B1496" i="106" s="1"/>
  <c r="D1496" i="106" s="1"/>
  <c r="B4314" i="106"/>
  <c r="D4314" i="106" s="1"/>
  <c r="F252" i="5"/>
  <c r="B6836" i="106" s="1"/>
  <c r="D6836" i="106" s="1"/>
  <c r="B6617" i="106"/>
  <c r="D6617" i="106" s="1"/>
  <c r="B7140" i="106"/>
  <c r="D7140" i="106" s="1"/>
  <c r="B5567" i="106"/>
  <c r="D5567" i="106" s="1"/>
  <c r="F19" i="34"/>
  <c r="B6259" i="106"/>
  <c r="D6259" i="106" s="1"/>
  <c r="B7750" i="106"/>
  <c r="D7750" i="106" s="1"/>
  <c r="B6295" i="106"/>
  <c r="D6295" i="106" s="1"/>
  <c r="D181" i="5"/>
  <c r="B5425" i="106" s="1"/>
  <c r="D5425" i="106" s="1"/>
  <c r="B5424" i="106"/>
  <c r="D5424" i="106" s="1"/>
  <c r="B6946" i="106"/>
  <c r="D6946" i="106" s="1"/>
  <c r="F24" i="34"/>
  <c r="B5574" i="106"/>
  <c r="D5574" i="106" s="1"/>
  <c r="B2794" i="106"/>
  <c r="D2794" i="106" s="1"/>
  <c r="B5514" i="106"/>
  <c r="D5514" i="106" s="1"/>
  <c r="E18" i="5"/>
  <c r="B5518" i="106" s="1"/>
  <c r="D5518" i="106" s="1"/>
  <c r="B839" i="106"/>
  <c r="D839" i="106" s="1"/>
  <c r="B7133" i="106"/>
  <c r="D7133" i="106" s="1"/>
  <c r="B5572" i="106"/>
  <c r="D5572" i="106" s="1"/>
  <c r="F89" i="34"/>
  <c r="B6389" i="106"/>
  <c r="D6389" i="106" s="1"/>
  <c r="B6244" i="106"/>
  <c r="D6244" i="106" s="1"/>
  <c r="B6975" i="106"/>
  <c r="D6975" i="106" s="1"/>
  <c r="B971" i="106"/>
  <c r="D971" i="106" s="1"/>
  <c r="B6677" i="106"/>
  <c r="D6677" i="106" s="1"/>
  <c r="B1037" i="106"/>
  <c r="D1037" i="106" s="1"/>
  <c r="B2723" i="106"/>
  <c r="D2723" i="106" s="1"/>
  <c r="B4340" i="106"/>
  <c r="D4340" i="106" s="1"/>
  <c r="F131" i="34"/>
  <c r="D238" i="29"/>
  <c r="K232" i="29"/>
  <c r="B1411" i="106"/>
  <c r="D1411" i="106" s="1"/>
  <c r="H41" i="4"/>
  <c r="B6289" i="106" s="1"/>
  <c r="D6289" i="106" s="1"/>
  <c r="B6250" i="106"/>
  <c r="D6250" i="106" s="1"/>
  <c r="B5117" i="106"/>
  <c r="D5117" i="106" s="1"/>
  <c r="B4180" i="106"/>
  <c r="D4180" i="106" s="1"/>
  <c r="B6761" i="106"/>
  <c r="D6761" i="106" s="1"/>
  <c r="F148" i="34"/>
  <c r="B5279" i="106"/>
  <c r="D5279" i="106" s="1"/>
  <c r="F129" i="34"/>
  <c r="B783" i="106"/>
  <c r="D783" i="106" s="1"/>
  <c r="B4875" i="106"/>
  <c r="D4875" i="106" s="1"/>
  <c r="B1237" i="106"/>
  <c r="D1237" i="106" s="1"/>
  <c r="F65" i="29"/>
  <c r="B919" i="106" s="1"/>
  <c r="D919" i="106" s="1"/>
  <c r="B912" i="106"/>
  <c r="D912" i="106" s="1"/>
  <c r="B6169" i="106"/>
  <c r="D6169" i="106" s="1"/>
  <c r="B1354" i="106"/>
  <c r="D1354" i="106" s="1"/>
  <c r="F184" i="29"/>
  <c r="B5152" i="106"/>
  <c r="D5152" i="106" s="1"/>
  <c r="B6702" i="106"/>
  <c r="D6702" i="106" s="1"/>
  <c r="B6391" i="106"/>
  <c r="D6391" i="106" s="1"/>
  <c r="B6392" i="106"/>
  <c r="D6392" i="106" s="1"/>
  <c r="B6911" i="106"/>
  <c r="D6911" i="106" s="1"/>
  <c r="B4393" i="106"/>
  <c r="D4393" i="106" s="1"/>
  <c r="B7814" i="106"/>
  <c r="D7814" i="106" s="1"/>
  <c r="B3721" i="106"/>
  <c r="D3721" i="106" s="1"/>
  <c r="K283" i="29"/>
  <c r="B3723" i="106" s="1"/>
  <c r="D3723" i="106" s="1"/>
  <c r="B5374" i="106"/>
  <c r="D5374" i="106" s="1"/>
  <c r="F122" i="34"/>
  <c r="B5230" i="106"/>
  <c r="D5230" i="106" s="1"/>
  <c r="C181" i="5"/>
  <c r="B4382" i="106"/>
  <c r="D4382" i="106" s="1"/>
  <c r="B6395" i="106"/>
  <c r="D6395" i="106" s="1"/>
  <c r="B5358" i="106"/>
  <c r="D5358" i="106" s="1"/>
  <c r="B6738" i="106"/>
  <c r="D6738" i="106" s="1"/>
  <c r="D184" i="29"/>
  <c r="D210" i="29" s="1"/>
  <c r="B1346" i="106" s="1"/>
  <c r="D1346" i="106" s="1"/>
  <c r="B1341" i="106"/>
  <c r="D1341" i="106" s="1"/>
  <c r="B1224" i="106"/>
  <c r="D1224" i="106" s="1"/>
  <c r="K128" i="29"/>
  <c r="B1280" i="106" s="1"/>
  <c r="D1280" i="106" s="1"/>
  <c r="B7265" i="106"/>
  <c r="B5092" i="106"/>
  <c r="D5092" i="106" s="1"/>
  <c r="B4359" i="106"/>
  <c r="D4359" i="106" s="1"/>
  <c r="B6101" i="106"/>
  <c r="D6101" i="106" s="1"/>
  <c r="B6818" i="106"/>
  <c r="D6818" i="106" s="1"/>
  <c r="B6846" i="106"/>
  <c r="D6846" i="106" s="1"/>
  <c r="B5564" i="106"/>
  <c r="D5564" i="106" s="1"/>
  <c r="F18" i="34"/>
  <c r="B840" i="106"/>
  <c r="D840" i="106" s="1"/>
  <c r="I42" i="29"/>
  <c r="B6904" i="106"/>
  <c r="D6904" i="106" s="1"/>
  <c r="F150" i="34"/>
  <c r="B6777" i="106"/>
  <c r="D6777" i="106" s="1"/>
  <c r="B955" i="106"/>
  <c r="D955" i="106" s="1"/>
  <c r="B751" i="106"/>
  <c r="D751" i="106" s="1"/>
  <c r="K71" i="29"/>
  <c r="B7691" i="106"/>
  <c r="D7691" i="106" s="1"/>
  <c r="B11" i="7"/>
  <c r="D11" i="7" s="1"/>
  <c r="B1768" i="106" s="1"/>
  <c r="D1768" i="106" s="1"/>
  <c r="J12" i="5"/>
  <c r="B6298" i="106"/>
  <c r="D6298" i="106" s="1"/>
  <c r="B4181" i="106"/>
  <c r="D4181" i="106" s="1"/>
  <c r="B4409" i="106"/>
  <c r="D4409" i="106" s="1"/>
  <c r="F32" i="34"/>
  <c r="B5459" i="106"/>
  <c r="D5459" i="106" s="1"/>
  <c r="B5333" i="106"/>
  <c r="D5333" i="106" s="1"/>
  <c r="B6880" i="106"/>
  <c r="D6880" i="106" s="1"/>
  <c r="K22" i="29"/>
  <c r="B6085" i="106"/>
  <c r="D6085" i="106" s="1"/>
  <c r="B5523" i="106"/>
  <c r="D5523" i="106" s="1"/>
  <c r="H34" i="3"/>
  <c r="B211" i="106" s="1"/>
  <c r="D211" i="106" s="1"/>
  <c r="B6130" i="106"/>
  <c r="D6130" i="106" s="1"/>
  <c r="H42" i="29"/>
  <c r="B1011" i="106"/>
  <c r="D1011" i="106" s="1"/>
  <c r="B3083" i="106"/>
  <c r="D3083" i="106" s="1"/>
  <c r="B6669" i="106"/>
  <c r="D6669" i="106" s="1"/>
  <c r="B4328" i="106"/>
  <c r="D4328" i="106" s="1"/>
  <c r="B3376" i="106"/>
  <c r="D3376" i="106" s="1"/>
  <c r="B6103" i="106"/>
  <c r="D6103" i="106" s="1"/>
  <c r="B5606" i="106"/>
  <c r="D5606" i="106" s="1"/>
  <c r="B2954" i="106"/>
  <c r="D2954" i="106" s="1"/>
  <c r="K83" i="29"/>
  <c r="B2978" i="106" s="1"/>
  <c r="D2978" i="106" s="1"/>
  <c r="G57" i="29"/>
  <c r="B969" i="106" s="1"/>
  <c r="D969" i="106" s="1"/>
  <c r="B967" i="106"/>
  <c r="D967" i="106" s="1"/>
  <c r="B1552" i="106"/>
  <c r="D1552" i="106" s="1"/>
  <c r="B3367" i="106"/>
  <c r="D3367" i="106" s="1"/>
  <c r="K19" i="29"/>
  <c r="B3381" i="106" s="1"/>
  <c r="D3381" i="106" s="1"/>
  <c r="B6100" i="106"/>
  <c r="D6100" i="106" s="1"/>
  <c r="B7129" i="106"/>
  <c r="D7129" i="106" s="1"/>
  <c r="F132" i="5"/>
  <c r="B5600" i="106"/>
  <c r="D5600" i="106" s="1"/>
  <c r="B2951" i="106"/>
  <c r="D2951" i="106" s="1"/>
  <c r="K80" i="29"/>
  <c r="B2975" i="106" s="1"/>
  <c r="D2975" i="106" s="1"/>
  <c r="B979" i="106"/>
  <c r="D979" i="106" s="1"/>
  <c r="F42" i="29"/>
  <c r="B895" i="106"/>
  <c r="D895" i="106" s="1"/>
  <c r="B6137" i="106"/>
  <c r="D6137" i="106" s="1"/>
  <c r="G114" i="5"/>
  <c r="B5738" i="106"/>
  <c r="D5738" i="106" s="1"/>
  <c r="B4341" i="106"/>
  <c r="D4341" i="106" s="1"/>
  <c r="B3485" i="106"/>
  <c r="D3485" i="106" s="1"/>
  <c r="B6252" i="106"/>
  <c r="D6252" i="106" s="1"/>
  <c r="B6859" i="106"/>
  <c r="D6859" i="106" s="1"/>
  <c r="B5083" i="106"/>
  <c r="D5083" i="106" s="1"/>
  <c r="B6767" i="106"/>
  <c r="D6767" i="106" s="1"/>
  <c r="B6958" i="106"/>
  <c r="D6958" i="106" s="1"/>
  <c r="F139" i="34"/>
  <c r="B6666" i="106"/>
  <c r="D6666" i="106" s="1"/>
  <c r="B6936" i="106"/>
  <c r="D6936" i="106" s="1"/>
  <c r="B4416" i="106"/>
  <c r="D4416" i="106" s="1"/>
  <c r="B925" i="106"/>
  <c r="D925" i="106" s="1"/>
  <c r="B7134" i="106"/>
  <c r="D7134" i="106" s="1"/>
  <c r="B3161" i="106"/>
  <c r="D3161" i="106" s="1"/>
  <c r="H51" i="4"/>
  <c r="B3170" i="106" s="1"/>
  <c r="D3170" i="106" s="1"/>
  <c r="B6785" i="106"/>
  <c r="D6785" i="106" s="1"/>
  <c r="B3079" i="106"/>
  <c r="D3079" i="106" s="1"/>
  <c r="B7268" i="106"/>
  <c r="K56" i="29"/>
  <c r="B736" i="106"/>
  <c r="D736" i="106" s="1"/>
  <c r="B3371" i="106"/>
  <c r="D3371" i="106" s="1"/>
  <c r="B5885" i="106"/>
  <c r="D5885" i="106" s="1"/>
  <c r="F143" i="34"/>
  <c r="B6712" i="106"/>
  <c r="D6712" i="106" s="1"/>
  <c r="B6937" i="106"/>
  <c r="D6937" i="106" s="1"/>
  <c r="K21" i="29"/>
  <c r="B6878" i="106"/>
  <c r="D6878" i="106" s="1"/>
  <c r="K235" i="29"/>
  <c r="B1478" i="106" s="1"/>
  <c r="D1478" i="106" s="1"/>
  <c r="B1414" i="106"/>
  <c r="D1414" i="106" s="1"/>
  <c r="B3253" i="106"/>
  <c r="D3253" i="106" s="1"/>
  <c r="B5855" i="106"/>
  <c r="D5855" i="106" s="1"/>
  <c r="B5080" i="106"/>
  <c r="D5080" i="106" s="1"/>
  <c r="B5074" i="106"/>
  <c r="D5074" i="106" s="1"/>
  <c r="B6922" i="106"/>
  <c r="D6922" i="106" s="1"/>
  <c r="B7196" i="106"/>
  <c r="D7196" i="106" s="1"/>
  <c r="B6789" i="106"/>
  <c r="D6789" i="106" s="1"/>
  <c r="B5439" i="106"/>
  <c r="D5439" i="106" s="1"/>
  <c r="B6312" i="106"/>
  <c r="D6312" i="106" s="1"/>
  <c r="F87" i="34"/>
  <c r="B5763" i="106"/>
  <c r="D5763" i="106" s="1"/>
  <c r="B1422" i="106"/>
  <c r="D1422" i="106" s="1"/>
  <c r="D257" i="29"/>
  <c r="B1424" i="106" s="1"/>
  <c r="D1424" i="106" s="1"/>
  <c r="K245" i="29"/>
  <c r="K218" i="29"/>
  <c r="B7075" i="106"/>
  <c r="D7075" i="106" s="1"/>
  <c r="B958" i="106"/>
  <c r="D958" i="106" s="1"/>
  <c r="B1265" i="106"/>
  <c r="D1265" i="106" s="1"/>
  <c r="B6175" i="106"/>
  <c r="D6175" i="106" s="1"/>
  <c r="H67" i="5"/>
  <c r="B5881" i="106" s="1"/>
  <c r="D5881" i="106" s="1"/>
  <c r="B5880" i="106"/>
  <c r="D5880" i="106" s="1"/>
  <c r="K190" i="29"/>
  <c r="B3009" i="106" s="1"/>
  <c r="D3009" i="106" s="1"/>
  <c r="B2991" i="106"/>
  <c r="D2991" i="106" s="1"/>
  <c r="B7077" i="106"/>
  <c r="D7077" i="106" s="1"/>
  <c r="K220" i="29"/>
  <c r="B7159" i="106"/>
  <c r="D7159" i="106" s="1"/>
  <c r="B7062" i="106"/>
  <c r="D7062" i="106" s="1"/>
  <c r="B6363" i="106"/>
  <c r="D6363" i="106" s="1"/>
  <c r="F47" i="29"/>
  <c r="B905" i="106" s="1"/>
  <c r="D905" i="106" s="1"/>
  <c r="B902" i="106"/>
  <c r="D902" i="106" s="1"/>
  <c r="B2887" i="106"/>
  <c r="D2887" i="106" s="1"/>
  <c r="B6310" i="106"/>
  <c r="D6310" i="106" s="1"/>
  <c r="B3059" i="106"/>
  <c r="D3059" i="106" s="1"/>
  <c r="B6912" i="106"/>
  <c r="D6912" i="106" s="1"/>
  <c r="D33" i="29"/>
  <c r="B778" i="106" s="1"/>
  <c r="D778" i="106" s="1"/>
  <c r="B763" i="106"/>
  <c r="D763" i="106" s="1"/>
  <c r="B5577" i="106"/>
  <c r="D5577" i="106" s="1"/>
  <c r="F26" i="34"/>
  <c r="B4189" i="106"/>
  <c r="D4189" i="106" s="1"/>
  <c r="F165" i="34"/>
  <c r="B619" i="106"/>
  <c r="D619" i="106" s="1"/>
  <c r="B7704" i="106"/>
  <c r="D7704" i="106" s="1"/>
  <c r="F168" i="34"/>
  <c r="B4358" i="106"/>
  <c r="D4358" i="106" s="1"/>
  <c r="B781" i="106"/>
  <c r="D781" i="106" s="1"/>
  <c r="B6783" i="106"/>
  <c r="D6783" i="106" s="1"/>
  <c r="B6377" i="106"/>
  <c r="D6377" i="106" s="1"/>
  <c r="D12" i="171"/>
  <c r="B5123" i="106"/>
  <c r="D5123" i="106" s="1"/>
  <c r="G33" i="29"/>
  <c r="B952" i="106" s="1"/>
  <c r="D952" i="106" s="1"/>
  <c r="B937" i="106"/>
  <c r="D937" i="106" s="1"/>
  <c r="B1338" i="106"/>
  <c r="D1338" i="106" s="1"/>
  <c r="K183" i="29"/>
  <c r="B1380" i="106" s="1"/>
  <c r="D1380" i="106" s="1"/>
  <c r="B5884" i="106"/>
  <c r="D5884" i="106" s="1"/>
  <c r="B7188" i="106"/>
  <c r="D7188" i="106" s="1"/>
  <c r="B5069" i="106"/>
  <c r="D5069" i="106" s="1"/>
  <c r="B4381" i="106"/>
  <c r="D4381" i="106" s="1"/>
  <c r="B7192" i="106"/>
  <c r="D7192" i="106" s="1"/>
  <c r="B2762" i="106"/>
  <c r="D2762" i="106" s="1"/>
  <c r="F141" i="34"/>
  <c r="B6682" i="106"/>
  <c r="D6682" i="106" s="1"/>
  <c r="B7766" i="106"/>
  <c r="D7766" i="106" s="1"/>
  <c r="C13" i="3"/>
  <c r="B77" i="106" s="1"/>
  <c r="D77" i="106" s="1"/>
  <c r="B3411" i="106"/>
  <c r="D3411" i="106" s="1"/>
  <c r="H24" i="118"/>
  <c r="D34" i="36"/>
  <c r="B6670" i="106"/>
  <c r="D6670" i="106" s="1"/>
  <c r="B6336" i="106"/>
  <c r="D6336" i="106" s="1"/>
  <c r="B6910" i="106"/>
  <c r="D6910" i="106" s="1"/>
  <c r="B7678" i="106"/>
  <c r="D7678" i="106" s="1"/>
  <c r="B6811" i="106"/>
  <c r="D6811" i="106" s="1"/>
  <c r="B6780" i="106"/>
  <c r="D6780" i="106" s="1"/>
  <c r="B6361" i="106"/>
  <c r="D6361" i="106" s="1"/>
  <c r="B6345" i="106"/>
  <c r="D6345" i="106" s="1"/>
  <c r="B7779" i="106"/>
  <c r="D7779" i="106" s="1"/>
  <c r="K158" i="29"/>
  <c r="B7780" i="106" s="1"/>
  <c r="D7780" i="106" s="1"/>
  <c r="B5516" i="106"/>
  <c r="D5516" i="106" s="1"/>
  <c r="B6364" i="106"/>
  <c r="D6364" i="106" s="1"/>
  <c r="J44" i="4"/>
  <c r="J77" i="4" s="1"/>
  <c r="B6262" i="106" s="1"/>
  <c r="D6262" i="106" s="1"/>
  <c r="B7754" i="106"/>
  <c r="D7754" i="106" s="1"/>
  <c r="B145" i="106"/>
  <c r="D145" i="106" s="1"/>
  <c r="B6686" i="106"/>
  <c r="D6686" i="106" s="1"/>
  <c r="B960" i="106"/>
  <c r="D960" i="106" s="1"/>
  <c r="G47" i="29"/>
  <c r="B963" i="106" s="1"/>
  <c r="D963" i="106" s="1"/>
  <c r="B6644" i="106"/>
  <c r="D6644" i="106" s="1"/>
  <c r="K248" i="29"/>
  <c r="B7082" i="106" s="1"/>
  <c r="D7082" i="106" s="1"/>
  <c r="B7081" i="106"/>
  <c r="D7081" i="106" s="1"/>
  <c r="B5590" i="106"/>
  <c r="D5590" i="106" s="1"/>
  <c r="B1019" i="106"/>
  <c r="D1019" i="106" s="1"/>
  <c r="B716" i="106"/>
  <c r="D716" i="106" s="1"/>
  <c r="K12" i="29"/>
  <c r="B6291" i="106"/>
  <c r="D6291" i="106" s="1"/>
  <c r="B4366" i="106"/>
  <c r="D4366" i="106" s="1"/>
  <c r="I175" i="5"/>
  <c r="B4373" i="106" s="1"/>
  <c r="D4373" i="106" s="1"/>
  <c r="B4361" i="106"/>
  <c r="D4361" i="106" s="1"/>
  <c r="B6754" i="106"/>
  <c r="D6754" i="106" s="1"/>
  <c r="B6894" i="106"/>
  <c r="D6894" i="106" s="1"/>
  <c r="K29" i="29"/>
  <c r="B7810" i="106"/>
  <c r="D7810" i="106" s="1"/>
  <c r="K60" i="29"/>
  <c r="B739" i="106"/>
  <c r="D739" i="106" s="1"/>
  <c r="B6324" i="106"/>
  <c r="D6324" i="106" s="1"/>
  <c r="B6162" i="106"/>
  <c r="D6162" i="106" s="1"/>
  <c r="B728" i="106"/>
  <c r="D728" i="106" s="1"/>
  <c r="K44" i="29"/>
  <c r="C47" i="29"/>
  <c r="B731" i="106" s="1"/>
  <c r="D731" i="106" s="1"/>
  <c r="B7260" i="106"/>
  <c r="D7260" i="106" s="1"/>
  <c r="B5432" i="106"/>
  <c r="D5432" i="106" s="1"/>
  <c r="B1245" i="106"/>
  <c r="D1245" i="106" s="1"/>
  <c r="B6955" i="106"/>
  <c r="D6955" i="106" s="1"/>
  <c r="B4874" i="106"/>
  <c r="D4874" i="106" s="1"/>
  <c r="B6367" i="106"/>
  <c r="D6367" i="106" s="1"/>
  <c r="B7156" i="106"/>
  <c r="D7156" i="106" s="1"/>
  <c r="B5082" i="106"/>
  <c r="D5082" i="106" s="1"/>
  <c r="B3484" i="106"/>
  <c r="D3484" i="106" s="1"/>
  <c r="B6795" i="106"/>
  <c r="D6795" i="106" s="1"/>
  <c r="B6129" i="106"/>
  <c r="D6129" i="106" s="1"/>
  <c r="G34" i="3"/>
  <c r="B188" i="106" s="1"/>
  <c r="D188" i="106" s="1"/>
  <c r="B6654" i="106"/>
  <c r="D6654" i="106" s="1"/>
  <c r="B6171" i="106"/>
  <c r="D6171" i="106" s="1"/>
  <c r="G53" i="29"/>
  <c r="B966" i="106" s="1"/>
  <c r="D966" i="106" s="1"/>
  <c r="B964" i="106"/>
  <c r="D964" i="106" s="1"/>
  <c r="B6794" i="106"/>
  <c r="D6794" i="106" s="1"/>
  <c r="B6154" i="106"/>
  <c r="D6154" i="106" s="1"/>
  <c r="B6311" i="106"/>
  <c r="D6311" i="106" s="1"/>
  <c r="B6362" i="106"/>
  <c r="D6362" i="106" s="1"/>
  <c r="B1549" i="106"/>
  <c r="D1549" i="106" s="1"/>
  <c r="H303" i="29"/>
  <c r="B6112" i="106"/>
  <c r="D6112" i="106" s="1"/>
  <c r="B6117" i="106"/>
  <c r="D6117" i="106" s="1"/>
  <c r="B5512" i="106"/>
  <c r="D5512" i="106" s="1"/>
  <c r="B7815" i="106"/>
  <c r="D7815" i="106" s="1"/>
  <c r="B5876" i="106"/>
  <c r="D5876" i="106" s="1"/>
  <c r="G12" i="5"/>
  <c r="B5725" i="106" s="1"/>
  <c r="D5725" i="106" s="1"/>
  <c r="B8" i="7"/>
  <c r="B1748" i="106" s="1"/>
  <c r="D1748" i="106" s="1"/>
  <c r="B5721" i="106"/>
  <c r="D5721" i="106" s="1"/>
  <c r="B5105" i="106"/>
  <c r="D5105" i="106" s="1"/>
  <c r="B6740" i="106"/>
  <c r="D6740" i="106" s="1"/>
  <c r="B6636" i="106"/>
  <c r="D6636" i="106" s="1"/>
  <c r="B6381" i="106"/>
  <c r="D6381" i="106" s="1"/>
  <c r="B6707" i="106"/>
  <c r="D6707" i="106" s="1"/>
  <c r="B4915" i="106"/>
  <c r="D4915" i="106" s="1"/>
  <c r="F117" i="34"/>
  <c r="E127" i="29"/>
  <c r="B1235" i="106"/>
  <c r="D1235" i="106" s="1"/>
  <c r="B5247" i="106"/>
  <c r="D5247" i="106" s="1"/>
  <c r="C204" i="5"/>
  <c r="B6368" i="106"/>
  <c r="D6368" i="106" s="1"/>
  <c r="E169" i="5"/>
  <c r="B5537" i="106" s="1"/>
  <c r="D5537" i="106" s="1"/>
  <c r="B5696" i="106"/>
  <c r="D5696" i="106" s="1"/>
  <c r="B6876" i="106"/>
  <c r="D6876" i="106" s="1"/>
  <c r="K20" i="29"/>
  <c r="K53" i="4"/>
  <c r="B3703" i="106" s="1"/>
  <c r="D3703" i="106" s="1"/>
  <c r="B3699" i="106"/>
  <c r="D3699" i="106" s="1"/>
  <c r="B6365" i="106"/>
  <c r="D6365" i="106" s="1"/>
  <c r="B6165" i="106"/>
  <c r="D6165" i="106" s="1"/>
  <c r="B1252" i="106"/>
  <c r="D1252" i="106" s="1"/>
  <c r="B4886" i="106"/>
  <c r="D4886" i="106" s="1"/>
  <c r="B6407" i="106"/>
  <c r="D6407" i="106" s="1"/>
  <c r="B6731" i="106"/>
  <c r="D6731" i="106" s="1"/>
  <c r="B3483" i="106"/>
  <c r="D3483" i="106" s="1"/>
  <c r="B5602" i="106"/>
  <c r="D5602" i="106" s="1"/>
  <c r="F122" i="5"/>
  <c r="B5593" i="106"/>
  <c r="D5593" i="106" s="1"/>
  <c r="B6724" i="106"/>
  <c r="D6724" i="106" s="1"/>
  <c r="B6109" i="106"/>
  <c r="D6109" i="106" s="1"/>
  <c r="B7680" i="106"/>
  <c r="D7680" i="106" s="1"/>
  <c r="B6635" i="106"/>
  <c r="D6635" i="106" s="1"/>
  <c r="B5659" i="106"/>
  <c r="D5659" i="106" s="1"/>
  <c r="F188" i="5"/>
  <c r="B7670" i="106"/>
  <c r="D7670" i="106" s="1"/>
  <c r="B5722" i="106"/>
  <c r="D5722" i="106" s="1"/>
  <c r="B6855" i="106"/>
  <c r="D6855" i="106" s="1"/>
  <c r="B4336" i="106"/>
  <c r="D4336" i="106" s="1"/>
  <c r="K255" i="29"/>
  <c r="B7096" i="106" s="1"/>
  <c r="D7096" i="106" s="1"/>
  <c r="B7095" i="106"/>
  <c r="D7095" i="106" s="1"/>
  <c r="B2996" i="106"/>
  <c r="D2996" i="106" s="1"/>
  <c r="K138" i="29"/>
  <c r="B2094" i="106" s="1"/>
  <c r="D2094" i="106" s="1"/>
  <c r="B2092" i="106"/>
  <c r="D2092" i="106" s="1"/>
  <c r="B822" i="106"/>
  <c r="D822" i="106" s="1"/>
  <c r="K324" i="29"/>
  <c r="B7171" i="106" s="1"/>
  <c r="D7171" i="106" s="1"/>
  <c r="B7163" i="106"/>
  <c r="D7163" i="106" s="1"/>
  <c r="B6133" i="106"/>
  <c r="D6133" i="106" s="1"/>
  <c r="B4794" i="106"/>
  <c r="D4794" i="106" s="1"/>
  <c r="B916" i="106"/>
  <c r="D916" i="106" s="1"/>
  <c r="B7187" i="106"/>
  <c r="D7187" i="106" s="1"/>
  <c r="B5705" i="106"/>
  <c r="D5705" i="106" s="1"/>
  <c r="H57" i="29"/>
  <c r="B1027" i="106" s="1"/>
  <c r="D1027" i="106" s="1"/>
  <c r="B1025" i="106"/>
  <c r="D1025" i="106" s="1"/>
  <c r="B7165" i="106"/>
  <c r="D7165" i="106" s="1"/>
  <c r="B7174" i="106"/>
  <c r="D7174" i="106" s="1"/>
  <c r="B5464" i="106"/>
  <c r="D5464" i="106" s="1"/>
  <c r="B5496" i="106"/>
  <c r="D5496" i="106" s="1"/>
  <c r="B6405" i="106"/>
  <c r="D6405" i="106" s="1"/>
  <c r="K52" i="4"/>
  <c r="B3702" i="106" s="1"/>
  <c r="D3702" i="106" s="1"/>
  <c r="B3698" i="106"/>
  <c r="D3698" i="106" s="1"/>
  <c r="H252" i="5"/>
  <c r="B6619" i="106"/>
  <c r="D6619" i="106" s="1"/>
  <c r="B4407" i="106"/>
  <c r="D4407" i="106" s="1"/>
  <c r="B6659" i="106"/>
  <c r="D6659" i="106" s="1"/>
  <c r="B7148" i="106"/>
  <c r="D7148" i="106" s="1"/>
  <c r="F28" i="34"/>
  <c r="B6315" i="106"/>
  <c r="D6315" i="106" s="1"/>
  <c r="B5921" i="106"/>
  <c r="D5921" i="106" s="1"/>
  <c r="B5619" i="106"/>
  <c r="D5619" i="106" s="1"/>
  <c r="B7016" i="106"/>
  <c r="D7016" i="106" s="1"/>
  <c r="K111" i="29"/>
  <c r="B7017" i="106" s="1"/>
  <c r="D7017" i="106" s="1"/>
  <c r="B4318" i="106"/>
  <c r="D4318" i="106" s="1"/>
  <c r="D204" i="5"/>
  <c r="B5444" i="106" s="1"/>
  <c r="D5444" i="106" s="1"/>
  <c r="B5431" i="106"/>
  <c r="D5431" i="106" s="1"/>
  <c r="B904" i="106"/>
  <c r="D904" i="106" s="1"/>
  <c r="B807" i="106"/>
  <c r="D807" i="106" s="1"/>
  <c r="B3368" i="106"/>
  <c r="D3368" i="106" s="1"/>
  <c r="B4805" i="106"/>
  <c r="D4805" i="106" s="1"/>
  <c r="B7193" i="106"/>
  <c r="D7193" i="106" s="1"/>
  <c r="B6722" i="106"/>
  <c r="D6722" i="106" s="1"/>
  <c r="B913" i="106"/>
  <c r="D913" i="106" s="1"/>
  <c r="K268" i="29"/>
  <c r="B1497" i="106" s="1"/>
  <c r="D1497" i="106" s="1"/>
  <c r="B1433" i="106"/>
  <c r="D1433" i="106" s="1"/>
  <c r="B7191" i="106"/>
  <c r="D7191" i="106" s="1"/>
  <c r="B898" i="106"/>
  <c r="D898" i="106" s="1"/>
  <c r="F128" i="34"/>
  <c r="B5278" i="106"/>
  <c r="D5278" i="106" s="1"/>
  <c r="B6965" i="106"/>
  <c r="D6965" i="106" s="1"/>
  <c r="B2999" i="106"/>
  <c r="D2999" i="106" s="1"/>
  <c r="B6631" i="106"/>
  <c r="D6631" i="106" s="1"/>
  <c r="B6866" i="106"/>
  <c r="D6866" i="106" s="1"/>
  <c r="B3084" i="106"/>
  <c r="D3084" i="106" s="1"/>
  <c r="B6399" i="106"/>
  <c r="D6399" i="106" s="1"/>
  <c r="B4230" i="106"/>
  <c r="D4230" i="106" s="1"/>
  <c r="G198" i="5"/>
  <c r="B6409" i="106" s="1"/>
  <c r="D6409" i="106" s="1"/>
  <c r="B6402" i="106"/>
  <c r="D6402" i="106" s="1"/>
  <c r="J303" i="29"/>
  <c r="B7100" i="106"/>
  <c r="D7100" i="106" s="1"/>
  <c r="B7259" i="106"/>
  <c r="D7259" i="106" s="1"/>
  <c r="K125" i="29"/>
  <c r="B3488" i="106" s="1"/>
  <c r="D3488" i="106" s="1"/>
  <c r="B3482" i="106"/>
  <c r="D3482" i="106" s="1"/>
  <c r="B6920" i="106"/>
  <c r="D6920" i="106" s="1"/>
  <c r="B5086" i="106"/>
  <c r="D5086" i="106" s="1"/>
  <c r="B3082" i="106"/>
  <c r="D3082" i="106" s="1"/>
  <c r="B6234" i="106"/>
  <c r="D6234" i="106" s="1"/>
  <c r="B5330" i="106"/>
  <c r="D5330" i="106" s="1"/>
  <c r="B4322" i="106"/>
  <c r="D4322" i="106" s="1"/>
  <c r="B7252" i="106"/>
  <c r="D7252" i="106" s="1"/>
  <c r="B5350" i="106"/>
  <c r="D5350" i="106" s="1"/>
  <c r="B6231" i="106"/>
  <c r="D6231" i="106" s="1"/>
  <c r="B6957" i="106"/>
  <c r="D6957" i="106" s="1"/>
  <c r="B4311" i="106"/>
  <c r="D4311" i="106" s="1"/>
  <c r="B1631" i="106"/>
  <c r="D1631" i="106" s="1"/>
  <c r="J169" i="5"/>
  <c r="B6396" i="106" s="1"/>
  <c r="D6396" i="106" s="1"/>
  <c r="B6373" i="106"/>
  <c r="D6373" i="106" s="1"/>
  <c r="B5791" i="106"/>
  <c r="D5791" i="106" s="1"/>
  <c r="B5077" i="106"/>
  <c r="D5077" i="106" s="1"/>
  <c r="B1344" i="106"/>
  <c r="D1344" i="106" s="1"/>
  <c r="B5058" i="106"/>
  <c r="D5058" i="106" s="1"/>
  <c r="B7112" i="106"/>
  <c r="D7112" i="106" s="1"/>
  <c r="K309" i="29"/>
  <c r="B3717" i="106" s="1"/>
  <c r="D3717" i="106" s="1"/>
  <c r="G209" i="5"/>
  <c r="B4414" i="106" s="1"/>
  <c r="D4414" i="106" s="1"/>
  <c r="B5799" i="106"/>
  <c r="D5799" i="106" s="1"/>
  <c r="B184" i="106"/>
  <c r="D184" i="106" s="1"/>
  <c r="B6742" i="106"/>
  <c r="D6742" i="106" s="1"/>
  <c r="B6779" i="106"/>
  <c r="D6779" i="106" s="1"/>
  <c r="B5818" i="106"/>
  <c r="D5818" i="106" s="1"/>
  <c r="B1313" i="106"/>
  <c r="D1313" i="106" s="1"/>
  <c r="K167" i="29"/>
  <c r="B1327" i="106" s="1"/>
  <c r="D1327" i="106" s="1"/>
  <c r="B7" i="7"/>
  <c r="B5553" i="106"/>
  <c r="D5553" i="106" s="1"/>
  <c r="F12" i="5"/>
  <c r="B7246" i="106"/>
  <c r="D7246" i="106" s="1"/>
  <c r="B6674" i="106"/>
  <c r="D6674" i="106" s="1"/>
  <c r="F140" i="34"/>
  <c r="B7700" i="106"/>
  <c r="D7700" i="106" s="1"/>
  <c r="I330" i="29"/>
  <c r="B7124" i="106"/>
  <c r="D7124" i="106" s="1"/>
  <c r="B5742" i="106"/>
  <c r="D5742" i="106" s="1"/>
  <c r="G122" i="5"/>
  <c r="B5748" i="106" s="1"/>
  <c r="D5748" i="106" s="1"/>
  <c r="B7659" i="106"/>
  <c r="D7659" i="106" s="1"/>
  <c r="B7681" i="106"/>
  <c r="D7681" i="106" s="1"/>
  <c r="B1228" i="106"/>
  <c r="D1228" i="106" s="1"/>
  <c r="B6759" i="106"/>
  <c r="D6759" i="106" s="1"/>
  <c r="B6852" i="106"/>
  <c r="D6852" i="106" s="1"/>
  <c r="B852" i="106"/>
  <c r="D852" i="106" s="1"/>
  <c r="B4375" i="106"/>
  <c r="D4375" i="106" s="1"/>
  <c r="B5757" i="106"/>
  <c r="D5757" i="106" s="1"/>
  <c r="B6401" i="106"/>
  <c r="D6401" i="106" s="1"/>
  <c r="C198" i="5"/>
  <c r="B5231" i="106"/>
  <c r="D5231" i="106" s="1"/>
  <c r="J65" i="29"/>
  <c r="B6962" i="106" s="1"/>
  <c r="D6962" i="106" s="1"/>
  <c r="B6951" i="106"/>
  <c r="D6951" i="106" s="1"/>
  <c r="B324" i="106"/>
  <c r="D324" i="106" s="1"/>
  <c r="B6687" i="106"/>
  <c r="D6687" i="106" s="1"/>
  <c r="B5361" i="106"/>
  <c r="D5361" i="106" s="1"/>
  <c r="D122" i="5"/>
  <c r="B5367" i="106" s="1"/>
  <c r="D5367" i="106" s="1"/>
  <c r="B6356" i="106"/>
  <c r="D6356" i="106" s="1"/>
  <c r="B4808" i="106"/>
  <c r="D4808" i="106" s="1"/>
  <c r="B3259" i="106"/>
  <c r="D3259" i="106" s="1"/>
  <c r="G76" i="4"/>
  <c r="B3260" i="106" s="1"/>
  <c r="D3260" i="106" s="1"/>
  <c r="B2813" i="106"/>
  <c r="D2813" i="106" s="1"/>
  <c r="K166" i="29"/>
  <c r="B2819" i="106" s="1"/>
  <c r="D2819" i="106" s="1"/>
  <c r="G141" i="5"/>
  <c r="B5749" i="106"/>
  <c r="D5749" i="106" s="1"/>
  <c r="B4333" i="106"/>
  <c r="D4333" i="106" s="1"/>
  <c r="B7676" i="106"/>
  <c r="D7676" i="106" s="1"/>
  <c r="B6967" i="106"/>
  <c r="D6967" i="106" s="1"/>
  <c r="B1372" i="106"/>
  <c r="D1372" i="106" s="1"/>
  <c r="K200" i="29"/>
  <c r="B1384" i="106" s="1"/>
  <c r="D1384" i="106" s="1"/>
  <c r="B4446" i="106"/>
  <c r="D4446" i="106" s="1"/>
  <c r="B5075" i="106"/>
  <c r="D5075" i="106" s="1"/>
  <c r="B6662" i="106"/>
  <c r="D6662" i="106" s="1"/>
  <c r="B5672" i="106"/>
  <c r="D5672" i="106" s="1"/>
  <c r="B6979" i="106"/>
  <c r="D6979" i="106" s="1"/>
  <c r="B4380" i="106"/>
  <c r="D4380" i="106" s="1"/>
  <c r="B6720" i="106"/>
  <c r="D6720" i="106" s="1"/>
  <c r="F144" i="34"/>
  <c r="B981" i="106"/>
  <c r="D981" i="106" s="1"/>
  <c r="B814" i="106"/>
  <c r="D814" i="106" s="1"/>
  <c r="K289" i="29"/>
  <c r="B1513" i="106" s="1"/>
  <c r="D1513" i="106" s="1"/>
  <c r="B1450" i="106"/>
  <c r="D1450" i="106" s="1"/>
  <c r="B6319" i="106"/>
  <c r="D6319" i="106" s="1"/>
  <c r="J108" i="5"/>
  <c r="B6351" i="106" s="1"/>
  <c r="D6351" i="106" s="1"/>
  <c r="K23" i="29"/>
  <c r="B6882" i="106"/>
  <c r="D6882" i="106" s="1"/>
  <c r="K265" i="29"/>
  <c r="B1494" i="106" s="1"/>
  <c r="D1494" i="106" s="1"/>
  <c r="B1430" i="106"/>
  <c r="D1430" i="106" s="1"/>
  <c r="B5059" i="106"/>
  <c r="D5059" i="106" s="1"/>
  <c r="B4335" i="106"/>
  <c r="D4335" i="106" s="1"/>
  <c r="K31" i="29"/>
  <c r="B6898" i="106"/>
  <c r="D6898" i="106" s="1"/>
  <c r="B1546" i="106"/>
  <c r="D1546" i="106" s="1"/>
  <c r="J13" i="3"/>
  <c r="B6124" i="106" s="1"/>
  <c r="D6124" i="106" s="1"/>
  <c r="B6219" i="106"/>
  <c r="D6219" i="106" s="1"/>
  <c r="B6334" i="106"/>
  <c r="D6334" i="106" s="1"/>
  <c r="G181" i="5"/>
  <c r="B5784" i="106" s="1"/>
  <c r="D5784" i="106" s="1"/>
  <c r="B4810" i="106"/>
  <c r="D4810" i="106" s="1"/>
  <c r="B7665" i="106"/>
  <c r="D7665" i="106" s="1"/>
  <c r="D261" i="29"/>
  <c r="B1427" i="106" s="1"/>
  <c r="D1427" i="106" s="1"/>
  <c r="K259" i="29"/>
  <c r="B1425" i="106"/>
  <c r="D1425" i="106" s="1"/>
  <c r="D65" i="29"/>
  <c r="B803" i="106" s="1"/>
  <c r="D803" i="106" s="1"/>
  <c r="B796" i="106"/>
  <c r="D796" i="106" s="1"/>
  <c r="B1440" i="106"/>
  <c r="D1440" i="106" s="1"/>
  <c r="K275" i="29"/>
  <c r="B1504" i="106" s="1"/>
  <c r="D1504" i="106" s="1"/>
  <c r="B6618" i="106"/>
  <c r="D6618" i="106" s="1"/>
  <c r="G252" i="5"/>
  <c r="B6837" i="106" s="1"/>
  <c r="D6837" i="106" s="1"/>
  <c r="B6907" i="106"/>
  <c r="D6907" i="106" s="1"/>
  <c r="B6775" i="106"/>
  <c r="D6775" i="106" s="1"/>
  <c r="B6716" i="106"/>
  <c r="D6716" i="106" s="1"/>
  <c r="B5732" i="106"/>
  <c r="D5732" i="106" s="1"/>
  <c r="B1416" i="106"/>
  <c r="D1416" i="106" s="1"/>
  <c r="K237" i="29"/>
  <c r="B1480" i="106" s="1"/>
  <c r="D1480" i="106" s="1"/>
  <c r="B6870" i="106"/>
  <c r="D6870" i="106" s="1"/>
  <c r="B915" i="106"/>
  <c r="D915" i="106" s="1"/>
  <c r="F34" i="3"/>
  <c r="B169" i="106" s="1"/>
  <c r="D169" i="106" s="1"/>
  <c r="B6128" i="106"/>
  <c r="D6128" i="106" s="1"/>
  <c r="B6097" i="106"/>
  <c r="D6097" i="106" s="1"/>
  <c r="B5094" i="106"/>
  <c r="D5094" i="106" s="1"/>
  <c r="B7137" i="106"/>
  <c r="D7137" i="106" s="1"/>
  <c r="B6651" i="106"/>
  <c r="D6651" i="106" s="1"/>
  <c r="B6797" i="106"/>
  <c r="D6797" i="106" s="1"/>
  <c r="K61" i="29"/>
  <c r="B740" i="106"/>
  <c r="D740" i="106" s="1"/>
  <c r="B7113" i="106"/>
  <c r="D7113" i="106" s="1"/>
  <c r="F160" i="34"/>
  <c r="B5312" i="106"/>
  <c r="D5312" i="106" s="1"/>
  <c r="B6678" i="106"/>
  <c r="D6678" i="106" s="1"/>
  <c r="B4337" i="106"/>
  <c r="D4337" i="106" s="1"/>
  <c r="B6850" i="106"/>
  <c r="D6850" i="106" s="1"/>
  <c r="G175" i="5"/>
  <c r="B5780" i="106" s="1"/>
  <c r="D5780" i="106" s="1"/>
  <c r="B5779" i="106"/>
  <c r="D5779" i="106" s="1"/>
  <c r="B2772" i="106"/>
  <c r="D2772" i="106" s="1"/>
  <c r="I44" i="4"/>
  <c r="B3317" i="106" s="1"/>
  <c r="D3317" i="106" s="1"/>
  <c r="B6790" i="106"/>
  <c r="D6790" i="106" s="1"/>
  <c r="B5566" i="106"/>
  <c r="D5566" i="106" s="1"/>
  <c r="F86" i="34"/>
  <c r="B1029" i="106"/>
  <c r="D1029" i="106" s="1"/>
  <c r="B7173" i="106"/>
  <c r="D7173" i="106" s="1"/>
  <c r="B6798" i="106"/>
  <c r="D6798" i="106" s="1"/>
  <c r="I53" i="29"/>
  <c r="B6942" i="106" s="1"/>
  <c r="D6942" i="106" s="1"/>
  <c r="B6926" i="106"/>
  <c r="D6926" i="106" s="1"/>
  <c r="B6323" i="106"/>
  <c r="D6323" i="106" s="1"/>
  <c r="B6255" i="106"/>
  <c r="D6255" i="106" s="1"/>
  <c r="B5081" i="106"/>
  <c r="D5081" i="106" s="1"/>
  <c r="D18" i="5"/>
  <c r="B5339" i="106" s="1"/>
  <c r="D5339" i="106" s="1"/>
  <c r="B5335" i="106"/>
  <c r="D5335" i="106" s="1"/>
  <c r="B7777" i="106"/>
  <c r="D7777" i="106" s="1"/>
  <c r="K157" i="29"/>
  <c r="H160" i="29"/>
  <c r="B6980" i="106"/>
  <c r="D6980" i="106" s="1"/>
  <c r="B6705" i="106"/>
  <c r="D6705" i="106" s="1"/>
  <c r="B1429" i="106"/>
  <c r="D1429" i="106" s="1"/>
  <c r="K264" i="29"/>
  <c r="B1493" i="106" s="1"/>
  <c r="D1493" i="106" s="1"/>
  <c r="B6083" i="106"/>
  <c r="D6083" i="106" s="1"/>
  <c r="B6672" i="106"/>
  <c r="D6672" i="106" s="1"/>
  <c r="B6803" i="106"/>
  <c r="D6803" i="106" s="1"/>
  <c r="B7249" i="106"/>
  <c r="D7249" i="106" s="1"/>
  <c r="B5338" i="106"/>
  <c r="D5338" i="106" s="1"/>
  <c r="B7254" i="106"/>
  <c r="D7254" i="106" s="1"/>
  <c r="B2829" i="106"/>
  <c r="D2829" i="106" s="1"/>
  <c r="K73" i="29"/>
  <c r="G38" i="108" s="1"/>
  <c r="B754" i="106"/>
  <c r="D754" i="106" s="1"/>
  <c r="B1248" i="106"/>
  <c r="D1248" i="106" s="1"/>
  <c r="F25" i="34"/>
  <c r="B5576" i="106"/>
  <c r="D5576" i="106" s="1"/>
  <c r="E39" i="4"/>
  <c r="B6287" i="106" s="1"/>
  <c r="D6287" i="106" s="1"/>
  <c r="B6246" i="106"/>
  <c r="D6246" i="106" s="1"/>
  <c r="B6176" i="106"/>
  <c r="D6176" i="106" s="1"/>
  <c r="B859" i="106"/>
  <c r="D859" i="106" s="1"/>
  <c r="B7692" i="106"/>
  <c r="D7692" i="106" s="1"/>
  <c r="K109" i="29"/>
  <c r="B1149" i="106" s="1"/>
  <c r="D1149" i="106" s="1"/>
  <c r="B1051" i="106"/>
  <c r="D1051" i="106" s="1"/>
  <c r="B7256" i="106"/>
  <c r="D7256" i="106" s="1"/>
  <c r="B1357" i="106"/>
  <c r="D1357" i="106" s="1"/>
  <c r="F181" i="5"/>
  <c r="B5658" i="106" s="1"/>
  <c r="D5658" i="106" s="1"/>
  <c r="B4804" i="106"/>
  <c r="D4804" i="106" s="1"/>
  <c r="B6721" i="106"/>
  <c r="D6721" i="106" s="1"/>
  <c r="B7099" i="106"/>
  <c r="D7099" i="106" s="1"/>
  <c r="I303" i="29"/>
  <c r="B1009" i="106"/>
  <c r="D1009" i="106" s="1"/>
  <c r="B845" i="106"/>
  <c r="D845" i="106" s="1"/>
  <c r="B6372" i="106"/>
  <c r="D6372" i="106" s="1"/>
  <c r="I169" i="5"/>
  <c r="E194" i="29"/>
  <c r="B2989" i="106"/>
  <c r="D2989" i="106" s="1"/>
  <c r="K188" i="29"/>
  <c r="B6966" i="106"/>
  <c r="D6966" i="106" s="1"/>
  <c r="K96" i="29"/>
  <c r="B7003" i="106" s="1"/>
  <c r="D7003" i="106" s="1"/>
  <c r="B7002" i="106"/>
  <c r="D7002" i="106" s="1"/>
  <c r="H330" i="29"/>
  <c r="B7123" i="106"/>
  <c r="D7123" i="106" s="1"/>
  <c r="B5134" i="106"/>
  <c r="D5134" i="106" s="1"/>
  <c r="B5310" i="106"/>
  <c r="D5310" i="106" s="1"/>
  <c r="F175" i="5"/>
  <c r="B5654" i="106"/>
  <c r="D5654" i="106" s="1"/>
  <c r="B899" i="106"/>
  <c r="D899" i="106" s="1"/>
  <c r="B6655" i="106"/>
  <c r="D6655" i="106" s="1"/>
  <c r="B2998" i="106"/>
  <c r="D2998" i="106" s="1"/>
  <c r="B6182" i="106"/>
  <c r="D6182" i="106" s="1"/>
  <c r="K307" i="29"/>
  <c r="B4099" i="106" s="1"/>
  <c r="D4099" i="106" s="1"/>
  <c r="B7108" i="106"/>
  <c r="D7108" i="106" s="1"/>
  <c r="K201" i="29"/>
  <c r="B2841" i="106" s="1"/>
  <c r="D2841" i="106" s="1"/>
  <c r="B2831" i="106"/>
  <c r="D2831" i="106" s="1"/>
  <c r="B5790" i="106"/>
  <c r="D5790" i="106" s="1"/>
  <c r="G204" i="5"/>
  <c r="B5803" i="106" s="1"/>
  <c r="D5803" i="106" s="1"/>
  <c r="B5023" i="106"/>
  <c r="D5023" i="106" s="1"/>
  <c r="D76" i="4"/>
  <c r="B3237" i="106" s="1"/>
  <c r="D3237" i="106" s="1"/>
  <c r="B6947" i="106"/>
  <c r="D6947" i="106" s="1"/>
  <c r="B6778" i="106"/>
  <c r="D6778" i="106" s="1"/>
  <c r="B2722" i="106"/>
  <c r="D2722" i="106" s="1"/>
  <c r="B6746" i="106"/>
  <c r="D6746" i="106" s="1"/>
  <c r="B5823" i="106"/>
  <c r="D5823" i="106" s="1"/>
  <c r="K284" i="29"/>
  <c r="B4166" i="106" s="1"/>
  <c r="D4166" i="106" s="1"/>
  <c r="B4165" i="106"/>
  <c r="D4165" i="106" s="1"/>
  <c r="B7664" i="106"/>
  <c r="D7664" i="106" s="1"/>
  <c r="K242" i="29"/>
  <c r="B1484" i="106" s="1"/>
  <c r="D1484" i="106" s="1"/>
  <c r="B1420" i="106"/>
  <c r="D1420" i="106" s="1"/>
  <c r="B4321" i="106"/>
  <c r="D4321" i="106" s="1"/>
  <c r="B867" i="106"/>
  <c r="D867" i="106" s="1"/>
  <c r="K228" i="29"/>
  <c r="B3392" i="106" s="1"/>
  <c r="D3392" i="106" s="1"/>
  <c r="B3389" i="106"/>
  <c r="D3389" i="106" s="1"/>
  <c r="B801" i="106"/>
  <c r="D801" i="106" s="1"/>
  <c r="B1044" i="106"/>
  <c r="D1044" i="106" s="1"/>
  <c r="F23" i="34"/>
  <c r="B5571" i="106"/>
  <c r="D5571" i="106" s="1"/>
  <c r="B6347" i="106"/>
  <c r="D6347" i="106" s="1"/>
  <c r="B5821" i="106"/>
  <c r="D5821" i="106" s="1"/>
  <c r="B501" i="106"/>
  <c r="D501" i="106" s="1"/>
  <c r="B718" i="106"/>
  <c r="D718" i="106" s="1"/>
  <c r="K14" i="29"/>
  <c r="B1106" i="106" s="1"/>
  <c r="D1106" i="106" s="1"/>
  <c r="B6756" i="106"/>
  <c r="D6756" i="106" s="1"/>
  <c r="B117" i="106"/>
  <c r="D117" i="106" s="1"/>
  <c r="B7685" i="106"/>
  <c r="D7685" i="106" s="1"/>
  <c r="D53" i="29"/>
  <c r="B792" i="106" s="1"/>
  <c r="D792" i="106" s="1"/>
  <c r="B790" i="106"/>
  <c r="D790" i="106" s="1"/>
  <c r="B833" i="106"/>
  <c r="D833" i="106" s="1"/>
  <c r="B3530" i="106"/>
  <c r="D3530" i="106" s="1"/>
  <c r="B6734" i="106"/>
  <c r="D6734" i="106" s="1"/>
  <c r="B5085" i="106"/>
  <c r="D5085" i="106" s="1"/>
  <c r="B4313" i="106"/>
  <c r="D4313" i="106" s="1"/>
  <c r="F30" i="34"/>
  <c r="B4865" i="106"/>
  <c r="D4865" i="106" s="1"/>
  <c r="B6921" i="106"/>
  <c r="D6921" i="106" s="1"/>
  <c r="B3257" i="106"/>
  <c r="D3257" i="106" s="1"/>
  <c r="B7775" i="106"/>
  <c r="D7775" i="106" s="1"/>
  <c r="H137" i="29"/>
  <c r="B4801" i="106"/>
  <c r="D4801" i="106" s="1"/>
  <c r="B5524" i="106"/>
  <c r="D5524" i="106" s="1"/>
  <c r="B4806" i="106"/>
  <c r="D4806" i="106" s="1"/>
  <c r="B6236" i="106"/>
  <c r="D6236" i="106" s="1"/>
  <c r="B6935" i="106"/>
  <c r="D6935" i="106" s="1"/>
  <c r="B6679" i="106"/>
  <c r="D6679" i="106" s="1"/>
  <c r="B6157" i="106"/>
  <c r="D6157" i="106" s="1"/>
  <c r="G303" i="29"/>
  <c r="B1543" i="106"/>
  <c r="D1543" i="106" s="1"/>
  <c r="B5494" i="106"/>
  <c r="D5494" i="106" s="1"/>
  <c r="F33" i="34"/>
  <c r="D221" i="5"/>
  <c r="B5488" i="106" s="1"/>
  <c r="D5488" i="106" s="1"/>
  <c r="B5485" i="106"/>
  <c r="D5485" i="106" s="1"/>
  <c r="B5177" i="106"/>
  <c r="D5177" i="106" s="1"/>
  <c r="B1419" i="106"/>
  <c r="D1419" i="106" s="1"/>
  <c r="K241" i="29"/>
  <c r="B1483" i="106" s="1"/>
  <c r="D1483" i="106" s="1"/>
  <c r="B3375" i="106"/>
  <c r="D3375" i="106" s="1"/>
  <c r="B4355" i="106"/>
  <c r="D4355" i="106" s="1"/>
  <c r="B7812" i="106"/>
  <c r="D7812" i="106" s="1"/>
  <c r="B6360" i="106"/>
  <c r="D6360" i="106" s="1"/>
  <c r="B185" i="106"/>
  <c r="D185" i="106" s="1"/>
  <c r="B776" i="106"/>
  <c r="D776" i="106" s="1"/>
  <c r="B6857" i="106"/>
  <c r="D6857" i="106" s="1"/>
  <c r="B6815" i="106"/>
  <c r="D6815" i="106" s="1"/>
  <c r="B864" i="106"/>
  <c r="D864" i="106" s="1"/>
  <c r="B1413" i="106"/>
  <c r="D1413" i="106" s="1"/>
  <c r="K234" i="29"/>
  <c r="B1477" i="106" s="1"/>
  <c r="D1477" i="106" s="1"/>
  <c r="B5462" i="106"/>
  <c r="D5462" i="106" s="1"/>
  <c r="B4945" i="106"/>
  <c r="D4945" i="106" s="1"/>
  <c r="B5922" i="106"/>
  <c r="D5922" i="106" s="1"/>
  <c r="B4797" i="106"/>
  <c r="D4797" i="106" s="1"/>
  <c r="B6802" i="106"/>
  <c r="D6802" i="106" s="1"/>
  <c r="B5580" i="106"/>
  <c r="D5580" i="106" s="1"/>
  <c r="F67" i="5"/>
  <c r="B5582" i="106" s="1"/>
  <c r="D5582" i="106" s="1"/>
  <c r="F161" i="34"/>
  <c r="B4415" i="106"/>
  <c r="D4415" i="106" s="1"/>
  <c r="B7170" i="106"/>
  <c r="D7170" i="106" s="1"/>
  <c r="B6376" i="106"/>
  <c r="D6376" i="106" s="1"/>
  <c r="B3295" i="106"/>
  <c r="D3295" i="106" s="1"/>
  <c r="B6723" i="106"/>
  <c r="D6723" i="106" s="1"/>
  <c r="B857" i="106"/>
  <c r="D857" i="106" s="1"/>
  <c r="B7728" i="106"/>
  <c r="D7728" i="106" s="1"/>
  <c r="B6084" i="106"/>
  <c r="D6084" i="106" s="1"/>
  <c r="B6676" i="106"/>
  <c r="D6676" i="106" s="1"/>
  <c r="B5171" i="106"/>
  <c r="D5171" i="106" s="1"/>
  <c r="B7184" i="106"/>
  <c r="D7184" i="106" s="1"/>
  <c r="B7138" i="106"/>
  <c r="D7138" i="106" s="1"/>
  <c r="B5359" i="106"/>
  <c r="D5359" i="106" s="1"/>
  <c r="B5124" i="106"/>
  <c r="D5124" i="106" s="1"/>
  <c r="B6119" i="106"/>
  <c r="D6119" i="106" s="1"/>
  <c r="B5057" i="106"/>
  <c r="D5057" i="106" s="1"/>
  <c r="B6294" i="106"/>
  <c r="D6294" i="106" s="1"/>
  <c r="K6" i="29"/>
  <c r="B7763" i="106" s="1"/>
  <c r="D7763" i="106" s="1"/>
  <c r="B7762" i="106"/>
  <c r="D7762" i="106" s="1"/>
  <c r="B2959" i="106"/>
  <c r="D2959" i="106" s="1"/>
  <c r="B5556" i="106"/>
  <c r="D5556" i="106" s="1"/>
  <c r="B4360" i="106"/>
  <c r="D4360" i="106" s="1"/>
  <c r="B974" i="106"/>
  <c r="D974" i="106" s="1"/>
  <c r="B950" i="106"/>
  <c r="D950" i="106" s="1"/>
  <c r="B4310" i="106"/>
  <c r="D4310" i="106" s="1"/>
  <c r="B4947" i="106"/>
  <c r="D4947" i="106" s="1"/>
  <c r="B6647" i="106"/>
  <c r="D6647" i="106" s="1"/>
  <c r="B6626" i="106"/>
  <c r="D6626" i="106" s="1"/>
  <c r="F134" i="34"/>
  <c r="C18" i="5"/>
  <c r="B5071" i="106" s="1"/>
  <c r="D5071" i="106" s="1"/>
  <c r="B5067" i="106"/>
  <c r="D5067" i="106" s="1"/>
  <c r="B6138" i="106"/>
  <c r="D6138" i="106" s="1"/>
  <c r="B6888" i="106"/>
  <c r="D6888" i="106" s="1"/>
  <c r="K26" i="29"/>
  <c r="I72" i="29"/>
  <c r="B6973" i="106" s="1"/>
  <c r="D6973" i="106" s="1"/>
  <c r="B6963" i="106"/>
  <c r="D6963" i="106" s="1"/>
  <c r="F155" i="34"/>
  <c r="B6817" i="106"/>
  <c r="D6817" i="106" s="1"/>
  <c r="F147" i="34"/>
  <c r="B6753" i="106"/>
  <c r="D6753" i="106" s="1"/>
  <c r="B5109" i="106"/>
  <c r="D5109" i="106" s="1"/>
  <c r="B7142" i="106"/>
  <c r="D7142" i="106" s="1"/>
  <c r="F146" i="34"/>
  <c r="B6737" i="106"/>
  <c r="D6737" i="106" s="1"/>
  <c r="B6615" i="106"/>
  <c r="D6615" i="106" s="1"/>
  <c r="D252" i="5"/>
  <c r="B6834" i="106" s="1"/>
  <c r="D6834" i="106" s="1"/>
  <c r="B5148" i="106"/>
  <c r="D5148" i="106" s="1"/>
  <c r="C141" i="5"/>
  <c r="B6874" i="106"/>
  <c r="D6874" i="106" s="1"/>
  <c r="B7059" i="106"/>
  <c r="D7059" i="106" s="1"/>
  <c r="I184" i="29"/>
  <c r="C145" i="5"/>
  <c r="B5163" i="106"/>
  <c r="D5163" i="106" s="1"/>
  <c r="B856" i="106"/>
  <c r="D856" i="106" s="1"/>
  <c r="F22" i="34"/>
  <c r="B6313" i="106"/>
  <c r="D6313" i="106" s="1"/>
  <c r="K51" i="29"/>
  <c r="E13" i="145" s="1"/>
  <c r="G13" i="145" s="1"/>
  <c r="B2718" i="106"/>
  <c r="D2718" i="106" s="1"/>
  <c r="F159" i="34"/>
  <c r="B7765" i="106"/>
  <c r="D7765" i="106" s="1"/>
  <c r="B5241" i="106"/>
  <c r="D5241" i="106" s="1"/>
  <c r="B5098" i="106"/>
  <c r="D5098" i="106" s="1"/>
  <c r="B1531" i="106"/>
  <c r="D1531" i="106" s="1"/>
  <c r="E303" i="29"/>
  <c r="B7262" i="106"/>
  <c r="B5664" i="106"/>
  <c r="D5664" i="106" s="1"/>
  <c r="F204" i="5"/>
  <c r="B5677" i="106" s="1"/>
  <c r="D5677" i="106" s="1"/>
  <c r="B5070" i="106"/>
  <c r="D5070" i="106" s="1"/>
  <c r="B1673" i="106"/>
  <c r="D1673" i="106" s="1"/>
  <c r="B5860" i="106"/>
  <c r="D5860" i="106" s="1"/>
  <c r="B2760" i="106"/>
  <c r="D2760" i="106" s="1"/>
  <c r="B5871" i="106"/>
  <c r="D5871" i="106" s="1"/>
  <c r="H12" i="5"/>
  <c r="B9" i="7"/>
  <c r="B3234" i="106"/>
  <c r="D3234" i="106" s="1"/>
  <c r="B6914" i="106"/>
  <c r="D6914" i="106" s="1"/>
  <c r="B7175" i="106"/>
  <c r="D7175" i="106" s="1"/>
  <c r="B909" i="106"/>
  <c r="D909" i="106" s="1"/>
  <c r="F57" i="29"/>
  <c r="B911" i="106" s="1"/>
  <c r="D911" i="106" s="1"/>
  <c r="B7029" i="106"/>
  <c r="D7029" i="106" s="1"/>
  <c r="B788" i="106"/>
  <c r="D788" i="106" s="1"/>
  <c r="B5014" i="106"/>
  <c r="D5014" i="106" s="1"/>
  <c r="B6787" i="106"/>
  <c r="D6787" i="106" s="1"/>
  <c r="F118" i="34"/>
  <c r="B6388" i="106"/>
  <c r="D6388" i="106" s="1"/>
  <c r="B2812" i="106"/>
  <c r="D2812" i="106" s="1"/>
  <c r="K165" i="29"/>
  <c r="B2818" i="106" s="1"/>
  <c r="D2818" i="106" s="1"/>
  <c r="B6118" i="106"/>
  <c r="D6118" i="106" s="1"/>
  <c r="B4796" i="106"/>
  <c r="D4796" i="106" s="1"/>
  <c r="B6747" i="106"/>
  <c r="D6747" i="106" s="1"/>
  <c r="B6134" i="106"/>
  <c r="D6134" i="106" s="1"/>
  <c r="B6344" i="106"/>
  <c r="D6344" i="106" s="1"/>
  <c r="B6304" i="106"/>
  <c r="D6304" i="106" s="1"/>
  <c r="B7688" i="106"/>
  <c r="D7688" i="106" s="1"/>
  <c r="K328" i="29"/>
  <c r="B7696" i="106" s="1"/>
  <c r="D7696" i="106" s="1"/>
  <c r="B6189" i="106"/>
  <c r="D6189" i="106" s="1"/>
  <c r="B6652" i="106"/>
  <c r="D6652" i="106" s="1"/>
  <c r="B3228" i="106"/>
  <c r="D3228" i="106" s="1"/>
  <c r="B6343" i="106"/>
  <c r="D6343" i="106" s="1"/>
  <c r="B500" i="106"/>
  <c r="D500" i="106" s="1"/>
  <c r="B5877" i="106"/>
  <c r="D5877" i="106" s="1"/>
  <c r="B7044" i="106"/>
  <c r="D7044" i="106" s="1"/>
  <c r="B6774" i="106"/>
  <c r="D6774" i="106" s="1"/>
  <c r="B6694" i="106"/>
  <c r="D6694" i="106" s="1"/>
  <c r="B5874" i="106"/>
  <c r="D5874" i="106" s="1"/>
  <c r="H18" i="5"/>
  <c r="B5878" i="106" s="1"/>
  <c r="D5878" i="106" s="1"/>
  <c r="B5584" i="106"/>
  <c r="D5584" i="106" s="1"/>
  <c r="B7250" i="106"/>
  <c r="D7250" i="106" s="1"/>
  <c r="B5665" i="106"/>
  <c r="D5665" i="106" s="1"/>
  <c r="B7194" i="106"/>
  <c r="D7194" i="106" s="1"/>
  <c r="H181" i="5"/>
  <c r="B5908" i="106" s="1"/>
  <c r="D5908" i="106" s="1"/>
  <c r="B5907" i="106"/>
  <c r="D5907" i="106" s="1"/>
  <c r="B4885" i="106"/>
  <c r="D4885" i="106" s="1"/>
  <c r="K252" i="29"/>
  <c r="B7090" i="106" s="1"/>
  <c r="D7090" i="106" s="1"/>
  <c r="B7089" i="106"/>
  <c r="D7089" i="106" s="1"/>
  <c r="B1006" i="106"/>
  <c r="D1006" i="106" s="1"/>
  <c r="B4417" i="106"/>
  <c r="D4417" i="106" s="1"/>
  <c r="B7695" i="106"/>
  <c r="D7695" i="106" s="1"/>
  <c r="C221" i="5"/>
  <c r="B5301" i="106"/>
  <c r="D5301" i="106" s="1"/>
  <c r="B7119" i="106"/>
  <c r="D7119" i="106" s="1"/>
  <c r="D330" i="29"/>
  <c r="G65" i="29"/>
  <c r="B977" i="106" s="1"/>
  <c r="D977" i="106" s="1"/>
  <c r="B970" i="106"/>
  <c r="D970" i="106" s="1"/>
  <c r="K45" i="29"/>
  <c r="B1117" i="106" s="1"/>
  <c r="D1117" i="106" s="1"/>
  <c r="B729" i="106"/>
  <c r="D729" i="106" s="1"/>
  <c r="B6906" i="106"/>
  <c r="D6906" i="106" s="1"/>
  <c r="B7030" i="106"/>
  <c r="D7030" i="106" s="1"/>
  <c r="B6732" i="106"/>
  <c r="D6732" i="106" s="1"/>
  <c r="B7027" i="106"/>
  <c r="D7027" i="106" s="1"/>
  <c r="B5559" i="106"/>
  <c r="D5559" i="106" s="1"/>
  <c r="B774" i="106"/>
  <c r="D774" i="106" s="1"/>
  <c r="C33" i="29"/>
  <c r="B720" i="106" s="1"/>
  <c r="D720" i="106" s="1"/>
  <c r="K5" i="29"/>
  <c r="B705" i="106"/>
  <c r="D705" i="106" s="1"/>
  <c r="B5724" i="106"/>
  <c r="D5724" i="106" s="1"/>
  <c r="B130" i="106"/>
  <c r="D130" i="106" s="1"/>
  <c r="B7091" i="106"/>
  <c r="D7091" i="106" s="1"/>
  <c r="K253" i="29"/>
  <c r="B7092" i="106" s="1"/>
  <c r="D7092" i="106" s="1"/>
  <c r="B5194" i="106"/>
  <c r="D5194" i="106" s="1"/>
  <c r="F114" i="34"/>
  <c r="B6956" i="106"/>
  <c r="D6956" i="106" s="1"/>
  <c r="E53" i="29"/>
  <c r="B850" i="106" s="1"/>
  <c r="D850" i="106" s="1"/>
  <c r="B848" i="106"/>
  <c r="D848" i="106" s="1"/>
  <c r="B5104" i="106"/>
  <c r="D5104" i="106" s="1"/>
  <c r="B7046" i="106"/>
  <c r="D7046" i="106" s="1"/>
  <c r="B126" i="106"/>
  <c r="D126" i="106" s="1"/>
  <c r="K52" i="29"/>
  <c r="B6940" i="106" s="1"/>
  <c r="D6940" i="106" s="1"/>
  <c r="B6932" i="106"/>
  <c r="D6932" i="106" s="1"/>
  <c r="B2769" i="106"/>
  <c r="D2769" i="106" s="1"/>
  <c r="B6717" i="106"/>
  <c r="D6717" i="106" s="1"/>
  <c r="B7132" i="106"/>
  <c r="D7132" i="106" s="1"/>
  <c r="B2880" i="106"/>
  <c r="D2880" i="106" s="1"/>
  <c r="I13" i="3"/>
  <c r="B2888" i="106" s="1"/>
  <c r="D2888" i="106" s="1"/>
  <c r="B6671" i="106"/>
  <c r="D6671" i="106" s="1"/>
  <c r="H110" i="29"/>
  <c r="H112" i="29" s="1"/>
  <c r="B7018" i="106" s="1"/>
  <c r="D7018" i="106" s="1"/>
  <c r="K105" i="29"/>
  <c r="B1048" i="106"/>
  <c r="D1048" i="106" s="1"/>
  <c r="B1240" i="106"/>
  <c r="D1240" i="106" s="1"/>
  <c r="B6167" i="106"/>
  <c r="D6167" i="106" s="1"/>
  <c r="B6185" i="106"/>
  <c r="D6185" i="106" s="1"/>
  <c r="B6305" i="106"/>
  <c r="D6305" i="106" s="1"/>
  <c r="B5101" i="106"/>
  <c r="D5101" i="106" s="1"/>
  <c r="F119" i="34"/>
  <c r="B4317" i="106"/>
  <c r="D4317" i="106" s="1"/>
  <c r="B7085" i="106"/>
  <c r="D7085" i="106" s="1"/>
  <c r="K250" i="29"/>
  <c r="B7086" i="106" s="1"/>
  <c r="D7086" i="106" s="1"/>
  <c r="B1409" i="106"/>
  <c r="D1409" i="106" s="1"/>
  <c r="K224" i="29"/>
  <c r="B5509" i="106"/>
  <c r="D5509" i="106" s="1"/>
  <c r="B6" i="7"/>
  <c r="E12" i="5"/>
  <c r="B948" i="106"/>
  <c r="D948" i="106" s="1"/>
  <c r="J34" i="3"/>
  <c r="B6191" i="106" s="1"/>
  <c r="D6191" i="106" s="1"/>
  <c r="B6131" i="106"/>
  <c r="D6131" i="106" s="1"/>
  <c r="B3533" i="106"/>
  <c r="D3533" i="106" s="1"/>
  <c r="B4917" i="106"/>
  <c r="D4917" i="106" s="1"/>
  <c r="B7120" i="106"/>
  <c r="D7120" i="106" s="1"/>
  <c r="E330" i="29"/>
  <c r="B7201" i="106" s="1"/>
  <c r="D7201" i="106" s="1"/>
  <c r="B6653" i="106"/>
  <c r="D6653" i="106" s="1"/>
  <c r="B6684" i="106"/>
  <c r="D6684" i="106" s="1"/>
  <c r="B6865" i="106"/>
  <c r="D6865" i="106" s="1"/>
  <c r="B2799" i="106"/>
  <c r="D2799" i="106" s="1"/>
  <c r="B6730" i="106"/>
  <c r="D6730" i="106" s="1"/>
  <c r="B6658" i="106"/>
  <c r="D6658" i="106" s="1"/>
  <c r="B5337" i="106"/>
  <c r="D5337" i="106" s="1"/>
  <c r="B1438" i="106"/>
  <c r="D1438" i="106" s="1"/>
  <c r="K273" i="29"/>
  <c r="B1502" i="106" s="1"/>
  <c r="D1502" i="106" s="1"/>
  <c r="F109" i="34"/>
  <c r="B4351" i="106"/>
  <c r="D4351" i="106" s="1"/>
  <c r="G155" i="5"/>
  <c r="B4357" i="106" s="1"/>
  <c r="D4357" i="106" s="1"/>
  <c r="B6380" i="106"/>
  <c r="D6380" i="106" s="1"/>
  <c r="B4877" i="106"/>
  <c r="D4877" i="106" s="1"/>
  <c r="K192" i="29"/>
  <c r="B3011" i="106" s="1"/>
  <c r="D3011" i="106" s="1"/>
  <c r="B2993" i="106"/>
  <c r="D2993" i="106" s="1"/>
  <c r="B6699" i="106"/>
  <c r="D6699" i="106" s="1"/>
  <c r="B6240" i="106"/>
  <c r="D6240" i="106" s="1"/>
  <c r="H19" i="118"/>
  <c r="H14" i="118"/>
  <c r="E37" i="4"/>
  <c r="B6285" i="106" s="1"/>
  <c r="D6285" i="106" s="1"/>
  <c r="B2981" i="106"/>
  <c r="D2981" i="106" s="1"/>
  <c r="B6145" i="106"/>
  <c r="D6145" i="106" s="1"/>
  <c r="F97" i="34"/>
  <c r="B5106" i="106"/>
  <c r="D5106" i="106" s="1"/>
  <c r="B5118" i="106"/>
  <c r="D5118" i="106" s="1"/>
  <c r="F104" i="34"/>
  <c r="E33" i="29"/>
  <c r="B836" i="106" s="1"/>
  <c r="D836" i="106" s="1"/>
  <c r="B821" i="106"/>
  <c r="D821" i="106" s="1"/>
  <c r="K70" i="29"/>
  <c r="B749" i="106"/>
  <c r="D749" i="106" s="1"/>
  <c r="K189" i="29"/>
  <c r="B3008" i="106" s="1"/>
  <c r="D3008" i="106" s="1"/>
  <c r="B2990" i="106"/>
  <c r="D2990" i="106" s="1"/>
  <c r="B6622" i="106"/>
  <c r="D6622" i="106" s="1"/>
  <c r="F133" i="34"/>
  <c r="F142" i="34"/>
  <c r="B6690" i="106"/>
  <c r="D6690" i="106" s="1"/>
  <c r="B6668" i="106"/>
  <c r="D6668" i="106" s="1"/>
  <c r="B4944" i="106"/>
  <c r="D4944" i="106" s="1"/>
  <c r="F27" i="34"/>
  <c r="B5578" i="106"/>
  <c r="D5578" i="106" s="1"/>
  <c r="B6868" i="106"/>
  <c r="D6868" i="106" s="1"/>
  <c r="B618" i="106"/>
  <c r="D618" i="106" s="1"/>
  <c r="B3080" i="106"/>
  <c r="D3080" i="106" s="1"/>
  <c r="B1537" i="106"/>
  <c r="D1537" i="106" s="1"/>
  <c r="F303" i="29"/>
  <c r="B4353" i="106"/>
  <c r="D4353" i="106" s="1"/>
  <c r="B4339" i="106"/>
  <c r="D4339" i="106" s="1"/>
  <c r="B6260" i="106"/>
  <c r="D6260" i="106" s="1"/>
  <c r="B6094" i="106"/>
  <c r="D6094" i="106" s="1"/>
  <c r="B6339" i="106"/>
  <c r="D6339" i="106" s="1"/>
  <c r="B988" i="106"/>
  <c r="D988" i="106" s="1"/>
  <c r="B4370" i="106"/>
  <c r="D4370" i="106" s="1"/>
  <c r="K260" i="29"/>
  <c r="B1490" i="106" s="1"/>
  <c r="D1490" i="106" s="1"/>
  <c r="B1426" i="106"/>
  <c r="D1426" i="106" s="1"/>
  <c r="B5729" i="106"/>
  <c r="D5729" i="106" s="1"/>
  <c r="B6813" i="106"/>
  <c r="D6813" i="106" s="1"/>
  <c r="B1253" i="106"/>
  <c r="D1253" i="106" s="1"/>
  <c r="F152" i="34"/>
  <c r="B6793" i="106"/>
  <c r="D6793" i="106" s="1"/>
  <c r="B6127" i="106"/>
  <c r="D6127" i="106" s="1"/>
  <c r="E34" i="3"/>
  <c r="B139" i="106" s="1"/>
  <c r="D139" i="106" s="1"/>
  <c r="B5095" i="106"/>
  <c r="D5095" i="106" s="1"/>
  <c r="B6242" i="106"/>
  <c r="D6242" i="106" s="1"/>
  <c r="B5888" i="106"/>
  <c r="D5888" i="106" s="1"/>
  <c r="B6408" i="106"/>
  <c r="D6408" i="106" s="1"/>
  <c r="B152" i="106"/>
  <c r="D152" i="106" s="1"/>
  <c r="B4365" i="106"/>
  <c r="D4365" i="106" s="1"/>
  <c r="H175" i="5"/>
  <c r="B5858" i="106"/>
  <c r="D5858" i="106" s="1"/>
  <c r="B6693" i="106"/>
  <c r="D6693" i="106" s="1"/>
  <c r="B6378" i="106"/>
  <c r="D6378" i="106" s="1"/>
  <c r="B6113" i="106"/>
  <c r="D6113" i="106" s="1"/>
  <c r="B7028" i="106"/>
  <c r="D7028" i="106" s="1"/>
  <c r="K223" i="29"/>
  <c r="B1472" i="106" s="1"/>
  <c r="D1472" i="106" s="1"/>
  <c r="B1408" i="106"/>
  <c r="D1408" i="106" s="1"/>
  <c r="B6807" i="106"/>
  <c r="D6807" i="106" s="1"/>
  <c r="G44" i="4"/>
  <c r="G77" i="4" s="1"/>
  <c r="B3261" i="106" s="1"/>
  <c r="D3261" i="106" s="1"/>
  <c r="B7752" i="106"/>
  <c r="D7752" i="106" s="1"/>
  <c r="B3490" i="106"/>
  <c r="D3490" i="106" s="1"/>
  <c r="B891" i="106"/>
  <c r="D891" i="106" s="1"/>
  <c r="B7177" i="106"/>
  <c r="D7177" i="106" s="1"/>
  <c r="B5317" i="106"/>
  <c r="D5317" i="106" s="1"/>
  <c r="F163" i="34"/>
  <c r="B4795" i="106"/>
  <c r="D4795" i="106" s="1"/>
  <c r="F108" i="5"/>
  <c r="B5587" i="106" s="1"/>
  <c r="D5587" i="106" s="1"/>
  <c r="B5583" i="106"/>
  <c r="D5583" i="106" s="1"/>
  <c r="K144" i="29"/>
  <c r="B2810" i="106" s="1"/>
  <c r="D2810" i="106" s="1"/>
  <c r="B2807" i="106"/>
  <c r="D2807" i="106" s="1"/>
  <c r="C209" i="5"/>
  <c r="B5256" i="106"/>
  <c r="D5256" i="106" s="1"/>
  <c r="G217" i="5"/>
  <c r="B5829" i="106" s="1"/>
  <c r="D5829" i="106" s="1"/>
  <c r="B5817" i="106"/>
  <c r="D5817" i="106" s="1"/>
  <c r="B7656" i="106"/>
  <c r="D7656" i="106" s="1"/>
  <c r="B7652" i="106"/>
  <c r="D7652" i="106" s="1"/>
  <c r="B805" i="106"/>
  <c r="D805" i="106" s="1"/>
  <c r="B7751" i="106"/>
  <c r="D7751" i="106" s="1"/>
  <c r="F44" i="4"/>
  <c r="B5916" i="106"/>
  <c r="D5916" i="106" s="1"/>
  <c r="I12" i="5"/>
  <c r="B10" i="7"/>
  <c r="D10" i="7" s="1"/>
  <c r="B1765" i="106" s="1"/>
  <c r="D1765" i="106" s="1"/>
  <c r="B5187" i="106"/>
  <c r="D5187" i="106" s="1"/>
  <c r="F113" i="34"/>
  <c r="K15" i="29"/>
  <c r="B719" i="106"/>
  <c r="D719" i="106" s="1"/>
  <c r="B6082" i="106"/>
  <c r="D6082" i="106" s="1"/>
  <c r="K171" i="29"/>
  <c r="B1330" i="106" s="1"/>
  <c r="D1330" i="106" s="1"/>
  <c r="B1307" i="106"/>
  <c r="D1307" i="106" s="1"/>
  <c r="E172" i="29"/>
  <c r="E174" i="29" s="1"/>
  <c r="B1309" i="106" s="1"/>
  <c r="D1309" i="106" s="1"/>
  <c r="B652" i="106"/>
  <c r="D652" i="106" s="1"/>
  <c r="B6773" i="106"/>
  <c r="D6773" i="106" s="1"/>
  <c r="K17" i="29"/>
  <c r="B6871" i="106" s="1"/>
  <c r="D6871" i="106" s="1"/>
  <c r="B7263" i="106"/>
  <c r="B7161" i="106"/>
  <c r="D7161" i="106" s="1"/>
  <c r="B7181" i="106"/>
  <c r="D7181" i="106" s="1"/>
  <c r="K326" i="29"/>
  <c r="B7189" i="106" s="1"/>
  <c r="D7189" i="106" s="1"/>
  <c r="B6308" i="106"/>
  <c r="D6308" i="106" s="1"/>
  <c r="B4813" i="106"/>
  <c r="D4813" i="106" s="1"/>
  <c r="K215" i="29"/>
  <c r="B3387" i="106"/>
  <c r="D3387" i="106" s="1"/>
  <c r="D229" i="29"/>
  <c r="B1410" i="106" s="1"/>
  <c r="D1410" i="106" s="1"/>
  <c r="B7671" i="106"/>
  <c r="D7671" i="106" s="1"/>
  <c r="B995" i="106"/>
  <c r="D995" i="106" s="1"/>
  <c r="H33" i="29"/>
  <c r="B1010" i="106" s="1"/>
  <c r="D1010" i="106" s="1"/>
  <c r="B6170" i="106"/>
  <c r="D6170" i="106" s="1"/>
  <c r="B5736" i="106"/>
  <c r="D5736" i="106" s="1"/>
  <c r="B7266" i="106"/>
  <c r="B5063" i="106"/>
  <c r="D5063" i="106" s="1"/>
  <c r="B14" i="7"/>
  <c r="B1754" i="106" s="1"/>
  <c r="D1754" i="106" s="1"/>
  <c r="B4882" i="106"/>
  <c r="D4882" i="106" s="1"/>
  <c r="B5243" i="106"/>
  <c r="D5243" i="106" s="1"/>
  <c r="B7147" i="106"/>
  <c r="D7147" i="106" s="1"/>
  <c r="B2997" i="106"/>
  <c r="D2997" i="106" s="1"/>
  <c r="B5697" i="106"/>
  <c r="D5697" i="106" s="1"/>
  <c r="F135" i="34"/>
  <c r="B6634" i="106"/>
  <c r="D6634" i="106" s="1"/>
  <c r="B7154" i="106"/>
  <c r="D7154" i="106" s="1"/>
  <c r="K323" i="29"/>
  <c r="B7162" i="106" s="1"/>
  <c r="D7162" i="106" s="1"/>
  <c r="B5344" i="106"/>
  <c r="D5344" i="106" s="1"/>
  <c r="B7067" i="106"/>
  <c r="D7067" i="106" s="1"/>
  <c r="K205" i="29"/>
  <c r="B7068" i="106" s="1"/>
  <c r="D7068" i="106" s="1"/>
  <c r="B953" i="106"/>
  <c r="D953" i="106" s="1"/>
  <c r="G42" i="29"/>
  <c r="B65" i="106"/>
  <c r="D65" i="106" s="1"/>
  <c r="B794" i="106"/>
  <c r="D794" i="106" s="1"/>
  <c r="B5116" i="106"/>
  <c r="D5116" i="106" s="1"/>
  <c r="B6403" i="106"/>
  <c r="D6403" i="106" s="1"/>
  <c r="B849" i="106"/>
  <c r="D849" i="106" s="1"/>
  <c r="B870" i="106"/>
  <c r="D870" i="106" s="1"/>
  <c r="B7130" i="106"/>
  <c r="D7130" i="106" s="1"/>
  <c r="B5368" i="106"/>
  <c r="D5368" i="106" s="1"/>
  <c r="D132" i="5"/>
  <c r="B6161" i="106"/>
  <c r="D6161" i="106" s="1"/>
  <c r="B5246" i="106"/>
  <c r="D5246" i="106" s="1"/>
  <c r="B3252" i="106"/>
  <c r="D3252" i="106" s="1"/>
  <c r="B4363" i="106"/>
  <c r="D4363" i="106" s="1"/>
  <c r="I170" i="5"/>
  <c r="B7778" i="106"/>
  <c r="D7778" i="106" s="1"/>
  <c r="F71" i="34"/>
  <c r="B1473" i="106"/>
  <c r="D1473" i="106" s="1"/>
  <c r="F39" i="34"/>
  <c r="B6877" i="106"/>
  <c r="D6877" i="106" s="1"/>
  <c r="B1139" i="106"/>
  <c r="D1139" i="106" s="1"/>
  <c r="D37" i="108"/>
  <c r="F37" i="108"/>
  <c r="I267" i="5"/>
  <c r="D5" i="7"/>
  <c r="B1761" i="106" s="1"/>
  <c r="D1761" i="106" s="1"/>
  <c r="B1745" i="106"/>
  <c r="D1745" i="106" s="1"/>
  <c r="F51" i="34"/>
  <c r="B6901" i="106"/>
  <c r="D6901" i="106" s="1"/>
  <c r="B1523" i="106"/>
  <c r="D1523" i="106" s="1"/>
  <c r="C312" i="29"/>
  <c r="B1524" i="106" s="1"/>
  <c r="D1524" i="106" s="1"/>
  <c r="E266" i="5"/>
  <c r="B1109" i="106"/>
  <c r="D1109" i="106" s="1"/>
  <c r="B4103" i="106"/>
  <c r="D4103" i="106" s="1"/>
  <c r="D18" i="7"/>
  <c r="B4105" i="106" s="1"/>
  <c r="D4105" i="106" s="1"/>
  <c r="H208" i="29"/>
  <c r="B1375" i="106" s="1"/>
  <c r="D1375" i="106" s="1"/>
  <c r="B4156" i="106"/>
  <c r="D4156" i="106" s="1"/>
  <c r="B5147" i="106"/>
  <c r="D5147" i="106" s="1"/>
  <c r="H44" i="4"/>
  <c r="B843" i="106"/>
  <c r="D843" i="106" s="1"/>
  <c r="B4398" i="106"/>
  <c r="D4398" i="106" s="1"/>
  <c r="F5" i="4"/>
  <c r="B3408" i="106" s="1"/>
  <c r="D3408" i="106" s="1"/>
  <c r="B5592" i="106"/>
  <c r="D5592" i="106" s="1"/>
  <c r="D17" i="7"/>
  <c r="B4104" i="106" s="1"/>
  <c r="D4104" i="106" s="1"/>
  <c r="B4102" i="106"/>
  <c r="D4102" i="106" s="1"/>
  <c r="B1756" i="106"/>
  <c r="D1756" i="106" s="1"/>
  <c r="D15" i="7"/>
  <c r="B1772" i="106" s="1"/>
  <c r="D1772" i="106" s="1"/>
  <c r="B1547" i="106"/>
  <c r="D1547" i="106" s="1"/>
  <c r="G312" i="29"/>
  <c r="B1548" i="106" s="1"/>
  <c r="D1548" i="106" s="1"/>
  <c r="D342" i="29"/>
  <c r="B7217" i="106" s="1"/>
  <c r="D7217" i="106" s="1"/>
  <c r="B7200" i="106"/>
  <c r="D7200" i="106" s="1"/>
  <c r="B3258" i="106"/>
  <c r="D3258" i="106" s="1"/>
  <c r="H342" i="29"/>
  <c r="B7221" i="106" s="1"/>
  <c r="D7221" i="106" s="1"/>
  <c r="B7204" i="106"/>
  <c r="D7204" i="106" s="1"/>
  <c r="B1489" i="106"/>
  <c r="D1489" i="106" s="1"/>
  <c r="K261" i="29"/>
  <c r="B1491" i="106" s="1"/>
  <c r="D1491" i="106" s="1"/>
  <c r="B1324" i="106"/>
  <c r="D1324" i="106" s="1"/>
  <c r="B5125" i="106"/>
  <c r="D5125" i="106" s="1"/>
  <c r="C5" i="4"/>
  <c r="B3405" i="106" s="1"/>
  <c r="D3405" i="106" s="1"/>
  <c r="B1744" i="106"/>
  <c r="D1744" i="106" s="1"/>
  <c r="D4" i="7"/>
  <c r="F15" i="145"/>
  <c r="B3725" i="106"/>
  <c r="D3725" i="106" s="1"/>
  <c r="D13" i="7"/>
  <c r="B3726" i="106" s="1"/>
  <c r="D3726" i="106" s="1"/>
  <c r="B2973" i="106"/>
  <c r="D2973" i="106" s="1"/>
  <c r="B5360" i="106"/>
  <c r="D5360" i="106" s="1"/>
  <c r="D5" i="4"/>
  <c r="B3406" i="106" s="1"/>
  <c r="D3406" i="106" s="1"/>
  <c r="B959" i="106"/>
  <c r="D959" i="106" s="1"/>
  <c r="B5918" i="106"/>
  <c r="D5918" i="106" s="1"/>
  <c r="B5873" i="106"/>
  <c r="D5873" i="106" s="1"/>
  <c r="B7103" i="106"/>
  <c r="D7103" i="106" s="1"/>
  <c r="I312" i="29"/>
  <c r="B7116" i="106" s="1"/>
  <c r="D7116" i="106" s="1"/>
  <c r="B5741" i="106"/>
  <c r="D5741" i="106" s="1"/>
  <c r="G5" i="4"/>
  <c r="B3409" i="106" s="1"/>
  <c r="D3409" i="106" s="1"/>
  <c r="G33" i="108"/>
  <c r="B1017" i="106"/>
  <c r="D1017" i="106" s="1"/>
  <c r="B1116" i="106"/>
  <c r="D1116" i="106" s="1"/>
  <c r="K47" i="29"/>
  <c r="B6895" i="106"/>
  <c r="D6895" i="106" s="1"/>
  <c r="F48" i="34"/>
  <c r="F95" i="34"/>
  <c r="B5102" i="106"/>
  <c r="D5102" i="106" s="1"/>
  <c r="B7784" i="106"/>
  <c r="D7784" i="106" s="1"/>
  <c r="K285" i="29"/>
  <c r="B6897" i="106"/>
  <c r="D6897" i="106" s="1"/>
  <c r="F49" i="34"/>
  <c r="F34" i="34"/>
  <c r="B1121" i="106"/>
  <c r="D1121" i="106" s="1"/>
  <c r="E12" i="145"/>
  <c r="B1283" i="106"/>
  <c r="D1283" i="106" s="1"/>
  <c r="B5304" i="106"/>
  <c r="D5304" i="106" s="1"/>
  <c r="B7205" i="106"/>
  <c r="D7205" i="106" s="1"/>
  <c r="I342" i="29"/>
  <c r="B7222" i="106" s="1"/>
  <c r="D7222" i="106" s="1"/>
  <c r="B2823" i="106"/>
  <c r="D2823" i="106" s="1"/>
  <c r="E196" i="29"/>
  <c r="B7104" i="106"/>
  <c r="D7104" i="106" s="1"/>
  <c r="J312" i="29"/>
  <c r="B7117" i="106" s="1"/>
  <c r="D7117" i="106" s="1"/>
  <c r="B1142" i="106"/>
  <c r="D1142" i="106" s="1"/>
  <c r="K76" i="4"/>
  <c r="G129" i="29"/>
  <c r="B1256" i="106"/>
  <c r="D1256" i="106" s="1"/>
  <c r="I129" i="29"/>
  <c r="B7033" i="106"/>
  <c r="D7033" i="106" s="1"/>
  <c r="E14" i="145"/>
  <c r="G14" i="145" s="1"/>
  <c r="B1124" i="106"/>
  <c r="D1124" i="106" s="1"/>
  <c r="B1239" i="106"/>
  <c r="D1239" i="106" s="1"/>
  <c r="E129" i="29"/>
  <c r="B1314" i="106"/>
  <c r="D1314" i="106" s="1"/>
  <c r="H172" i="29"/>
  <c r="B1417" i="106"/>
  <c r="D1417" i="106" s="1"/>
  <c r="B1339" i="106"/>
  <c r="D1339" i="106" s="1"/>
  <c r="C210" i="29"/>
  <c r="B1340" i="106" s="1"/>
  <c r="D1340" i="106" s="1"/>
  <c r="H295" i="29"/>
  <c r="B1454" i="106" s="1"/>
  <c r="D1454" i="106" s="1"/>
  <c r="B1452" i="106"/>
  <c r="D1452" i="106" s="1"/>
  <c r="B1470" i="106"/>
  <c r="D1470" i="106" s="1"/>
  <c r="F70" i="34"/>
  <c r="G210" i="29"/>
  <c r="B1364" i="106"/>
  <c r="D1364" i="106" s="1"/>
  <c r="D14" i="4"/>
  <c r="B2570" i="106" s="1"/>
  <c r="D2570" i="106" s="1"/>
  <c r="F56" i="34"/>
  <c r="E16" i="145"/>
  <c r="G16" i="145" s="1"/>
  <c r="B1131" i="106"/>
  <c r="D1131" i="106" s="1"/>
  <c r="B3229" i="106"/>
  <c r="D3229" i="106" s="1"/>
  <c r="C77" i="4"/>
  <c r="B3232" i="106" s="1"/>
  <c r="D3232" i="106" s="1"/>
  <c r="E170" i="5"/>
  <c r="B5534" i="106"/>
  <c r="D5534" i="106" s="1"/>
  <c r="B6893" i="106"/>
  <c r="D6893" i="106" s="1"/>
  <c r="B7209" i="106"/>
  <c r="D7209" i="106" s="1"/>
  <c r="K340" i="29"/>
  <c r="H149" i="29"/>
  <c r="H76" i="4"/>
  <c r="B3298" i="106" s="1"/>
  <c r="D3298" i="106" s="1"/>
  <c r="B3567" i="106"/>
  <c r="D3567" i="106" s="1"/>
  <c r="K41" i="3"/>
  <c r="A7263" i="106"/>
  <c r="D7262" i="106"/>
  <c r="B1752" i="106" l="1"/>
  <c r="D1752" i="106" s="1"/>
  <c r="D8" i="7"/>
  <c r="B1764" i="106" s="1"/>
  <c r="D1764" i="106" s="1"/>
  <c r="F124" i="34"/>
  <c r="B1749" i="106"/>
  <c r="D1749" i="106" s="1"/>
  <c r="K72" i="29"/>
  <c r="B1141" i="106" s="1"/>
  <c r="D1141" i="106" s="1"/>
  <c r="E342" i="29"/>
  <c r="B7218" i="106" s="1"/>
  <c r="D7218" i="106" s="1"/>
  <c r="C342" i="29"/>
  <c r="B7216" i="106" s="1"/>
  <c r="D7216" i="106" s="1"/>
  <c r="B7202" i="106"/>
  <c r="D7202" i="106" s="1"/>
  <c r="B1555" i="106"/>
  <c r="D1555" i="106" s="1"/>
  <c r="D312" i="29"/>
  <c r="B1530" i="106" s="1"/>
  <c r="D1530" i="106" s="1"/>
  <c r="D279" i="29"/>
  <c r="K204" i="29"/>
  <c r="K208" i="29" s="1"/>
  <c r="B1345" i="106"/>
  <c r="D1345" i="106" s="1"/>
  <c r="B7064" i="106"/>
  <c r="D7064" i="106" s="1"/>
  <c r="B1308" i="106"/>
  <c r="D1308" i="106" s="1"/>
  <c r="K168" i="29"/>
  <c r="K160" i="29"/>
  <c r="E15" i="4" s="1"/>
  <c r="B2633" i="106" s="1"/>
  <c r="D2633" i="106" s="1"/>
  <c r="K147" i="29"/>
  <c r="K137" i="29"/>
  <c r="K127" i="29"/>
  <c r="K129" i="29" s="1"/>
  <c r="B1053" i="106"/>
  <c r="D1053" i="106" s="1"/>
  <c r="B6995" i="106"/>
  <c r="D6995" i="106" s="1"/>
  <c r="K84" i="29"/>
  <c r="E38" i="108"/>
  <c r="E33" i="108"/>
  <c r="G30" i="108"/>
  <c r="E29" i="108"/>
  <c r="B1130" i="106"/>
  <c r="D1130" i="106" s="1"/>
  <c r="G29" i="108"/>
  <c r="K57" i="29"/>
  <c r="G74" i="29"/>
  <c r="G114" i="29" s="1"/>
  <c r="B2724" i="106"/>
  <c r="D2724" i="106" s="1"/>
  <c r="E74" i="29"/>
  <c r="B871" i="106" s="1"/>
  <c r="D871" i="106" s="1"/>
  <c r="H74" i="29"/>
  <c r="B1045" i="106" s="1"/>
  <c r="D1045" i="106" s="1"/>
  <c r="K42" i="29"/>
  <c r="B6885" i="106"/>
  <c r="D6885" i="106" s="1"/>
  <c r="F157" i="34"/>
  <c r="F132" i="34"/>
  <c r="F125" i="34"/>
  <c r="G266" i="5"/>
  <c r="B5863" i="106" s="1"/>
  <c r="D5863" i="106" s="1"/>
  <c r="C266" i="5"/>
  <c r="C267" i="5" s="1"/>
  <c r="H109" i="5"/>
  <c r="G109" i="5"/>
  <c r="I109" i="5"/>
  <c r="I4" i="4" s="1"/>
  <c r="D14" i="7"/>
  <c r="B1770" i="106" s="1"/>
  <c r="D1770" i="106" s="1"/>
  <c r="C109" i="5"/>
  <c r="B5121" i="106" s="1"/>
  <c r="D5121" i="106" s="1"/>
  <c r="F77" i="4"/>
  <c r="B3255" i="106" s="1"/>
  <c r="D3255" i="106" s="1"/>
  <c r="B6238" i="106"/>
  <c r="D6238" i="106" s="1"/>
  <c r="B2105" i="106"/>
  <c r="D2105" i="106" s="1"/>
  <c r="E44" i="4"/>
  <c r="B3274" i="106" s="1"/>
  <c r="D3274" i="106" s="1"/>
  <c r="B4950" i="106"/>
  <c r="D4950" i="106" s="1"/>
  <c r="B5513" i="106"/>
  <c r="D5513" i="106" s="1"/>
  <c r="E109" i="5"/>
  <c r="E312" i="29"/>
  <c r="B1536" i="106" s="1"/>
  <c r="D1536" i="106" s="1"/>
  <c r="B1535" i="106"/>
  <c r="D1535" i="106" s="1"/>
  <c r="F107" i="34"/>
  <c r="B5165" i="106"/>
  <c r="D5165" i="106" s="1"/>
  <c r="B5161" i="106"/>
  <c r="D5161" i="106" s="1"/>
  <c r="F106" i="34"/>
  <c r="B6899" i="106"/>
  <c r="D6899" i="106" s="1"/>
  <c r="F50" i="34"/>
  <c r="B5599" i="106"/>
  <c r="D5599" i="106" s="1"/>
  <c r="B5260" i="106"/>
  <c r="D5260" i="106" s="1"/>
  <c r="F126" i="34"/>
  <c r="F37" i="34"/>
  <c r="B1104" i="106"/>
  <c r="D1104" i="106" s="1"/>
  <c r="B7076" i="106"/>
  <c r="D7076" i="106" s="1"/>
  <c r="F68" i="34"/>
  <c r="F74" i="29"/>
  <c r="B901" i="106"/>
  <c r="D901" i="106" s="1"/>
  <c r="B6916" i="106"/>
  <c r="D6916" i="106" s="1"/>
  <c r="I74" i="29"/>
  <c r="B1475" i="106"/>
  <c r="D1475" i="106" s="1"/>
  <c r="K238" i="29"/>
  <c r="E17" i="145"/>
  <c r="G17" i="145" s="1"/>
  <c r="B1134" i="106"/>
  <c r="D1134" i="106" s="1"/>
  <c r="B1512" i="106"/>
  <c r="D1512" i="106" s="1"/>
  <c r="K293" i="29"/>
  <c r="F44" i="34"/>
  <c r="B6887" i="106"/>
  <c r="D6887" i="106" s="1"/>
  <c r="G34" i="108"/>
  <c r="E34" i="108"/>
  <c r="B1135" i="106"/>
  <c r="D1135" i="106" s="1"/>
  <c r="B727" i="106"/>
  <c r="D727" i="106" s="1"/>
  <c r="C74" i="29"/>
  <c r="B6839" i="106"/>
  <c r="D6839" i="106" s="1"/>
  <c r="J266" i="5"/>
  <c r="B1511" i="106"/>
  <c r="D1511" i="106" s="1"/>
  <c r="G14" i="4"/>
  <c r="B2609" i="106" s="1"/>
  <c r="D2609" i="106" s="1"/>
  <c r="F72" i="34"/>
  <c r="F129" i="29"/>
  <c r="B1247" i="106"/>
  <c r="D1247" i="106" s="1"/>
  <c r="B6917" i="106"/>
  <c r="D6917" i="106" s="1"/>
  <c r="J74" i="29"/>
  <c r="B6978" i="106" s="1"/>
  <c r="D6978" i="106" s="1"/>
  <c r="B2789" i="106"/>
  <c r="D2789" i="106" s="1"/>
  <c r="E102" i="29"/>
  <c r="B1492" i="106"/>
  <c r="D1492" i="106" s="1"/>
  <c r="K270" i="29"/>
  <c r="B1500" i="106" s="1"/>
  <c r="D1500" i="106" s="1"/>
  <c r="B5369" i="106"/>
  <c r="D5369" i="106" s="1"/>
  <c r="D169" i="5"/>
  <c r="F38" i="34"/>
  <c r="B1107" i="106"/>
  <c r="D1107" i="106" s="1"/>
  <c r="D6" i="7"/>
  <c r="B1762" i="106" s="1"/>
  <c r="D1762" i="106" s="1"/>
  <c r="B1746" i="106"/>
  <c r="D1746" i="106" s="1"/>
  <c r="B7063" i="106"/>
  <c r="D7063" i="106" s="1"/>
  <c r="I210" i="29"/>
  <c r="B1747" i="106"/>
  <c r="D1747" i="106" s="1"/>
  <c r="D7" i="7"/>
  <c r="B1763" i="106" s="1"/>
  <c r="D1763" i="106" s="1"/>
  <c r="B4397" i="106"/>
  <c r="D4397" i="106" s="1"/>
  <c r="F266" i="5"/>
  <c r="B5713" i="106" s="1"/>
  <c r="D5713" i="106" s="1"/>
  <c r="B1486" i="106"/>
  <c r="D1486" i="106" s="1"/>
  <c r="K257" i="29"/>
  <c r="B1488" i="106" s="1"/>
  <c r="D1488" i="106" s="1"/>
  <c r="B5614" i="106"/>
  <c r="D5614" i="106" s="1"/>
  <c r="F169" i="5"/>
  <c r="B5644" i="106" s="1"/>
  <c r="D5644" i="106" s="1"/>
  <c r="B1501" i="106"/>
  <c r="D1501" i="106" s="1"/>
  <c r="K277" i="29"/>
  <c r="B1508" i="106" s="1"/>
  <c r="D1508" i="106" s="1"/>
  <c r="E139" i="29"/>
  <c r="B4203" i="106" s="1"/>
  <c r="D4203" i="106" s="1"/>
  <c r="B4202" i="106"/>
  <c r="D4202" i="106" s="1"/>
  <c r="B6891" i="106"/>
  <c r="D6891" i="106" s="1"/>
  <c r="F46" i="34"/>
  <c r="F31" i="108"/>
  <c r="D31" i="108"/>
  <c r="G342" i="29"/>
  <c r="B7220" i="106" s="1"/>
  <c r="D7220" i="106" s="1"/>
  <c r="B7203" i="106"/>
  <c r="D7203" i="106" s="1"/>
  <c r="B5893" i="106"/>
  <c r="D5893" i="106" s="1"/>
  <c r="H170" i="5"/>
  <c r="B1377" i="106"/>
  <c r="D1377" i="106" s="1"/>
  <c r="K184" i="29"/>
  <c r="B19" i="7"/>
  <c r="B1759" i="106" s="1"/>
  <c r="D1759" i="106" s="1"/>
  <c r="B5096" i="106"/>
  <c r="D5096" i="106" s="1"/>
  <c r="F94" i="34"/>
  <c r="B7786" i="106"/>
  <c r="D7786" i="106" s="1"/>
  <c r="K334" i="29"/>
  <c r="B6903" i="106"/>
  <c r="D6903" i="106" s="1"/>
  <c r="B6853" i="106"/>
  <c r="D6853" i="106" s="1"/>
  <c r="F35" i="34"/>
  <c r="F26" i="108"/>
  <c r="K65" i="29"/>
  <c r="B1133" i="106" s="1"/>
  <c r="D1133" i="106" s="1"/>
  <c r="D26" i="108"/>
  <c r="B1126" i="106"/>
  <c r="D1126" i="106" s="1"/>
  <c r="E15" i="145"/>
  <c r="G15" i="145" s="1"/>
  <c r="B6357" i="106"/>
  <c r="D6357" i="106" s="1"/>
  <c r="J170" i="5"/>
  <c r="J342" i="29"/>
  <c r="B7223" i="106" s="1"/>
  <c r="D7223" i="106" s="1"/>
  <c r="B7206" i="106"/>
  <c r="D7206" i="106" s="1"/>
  <c r="F105" i="34"/>
  <c r="K229" i="29"/>
  <c r="B3390" i="106"/>
  <c r="D3390" i="106" s="1"/>
  <c r="B1093" i="106"/>
  <c r="D1093" i="106" s="1"/>
  <c r="K33" i="29"/>
  <c r="B1751" i="106"/>
  <c r="D1751" i="106" s="1"/>
  <c r="D9" i="7"/>
  <c r="B1767" i="106" s="1"/>
  <c r="D1767" i="106" s="1"/>
  <c r="B6889" i="106"/>
  <c r="D6889" i="106" s="1"/>
  <c r="F45" i="34"/>
  <c r="F42" i="34"/>
  <c r="B6883" i="106"/>
  <c r="D6883" i="106" s="1"/>
  <c r="B6838" i="106"/>
  <c r="D6838" i="106" s="1"/>
  <c r="H266" i="5"/>
  <c r="B4441" i="106" s="1"/>
  <c r="D4441" i="106" s="1"/>
  <c r="B7078" i="106"/>
  <c r="D7078" i="106" s="1"/>
  <c r="F69" i="34"/>
  <c r="B6879" i="106"/>
  <c r="D6879" i="106" s="1"/>
  <c r="F40" i="34"/>
  <c r="B5232" i="106"/>
  <c r="D5232" i="106" s="1"/>
  <c r="F123" i="34"/>
  <c r="B5178" i="106"/>
  <c r="D5178" i="106" s="1"/>
  <c r="F111" i="34"/>
  <c r="B5334" i="106"/>
  <c r="D5334" i="106" s="1"/>
  <c r="D109" i="5"/>
  <c r="B1231" i="106"/>
  <c r="D1231" i="106" s="1"/>
  <c r="D129" i="29"/>
  <c r="B7126" i="106"/>
  <c r="D7126" i="106" s="1"/>
  <c r="K330" i="29"/>
  <c r="C169" i="5"/>
  <c r="B7074" i="106"/>
  <c r="D7074" i="106" s="1"/>
  <c r="F67" i="34"/>
  <c r="D266" i="5"/>
  <c r="B4396" i="106"/>
  <c r="D4396" i="106" s="1"/>
  <c r="B3235" i="106"/>
  <c r="D3235" i="106" s="1"/>
  <c r="D77" i="4"/>
  <c r="B3238" i="106" s="1"/>
  <c r="D3238" i="106" s="1"/>
  <c r="B7107" i="106"/>
  <c r="D7107" i="106" s="1"/>
  <c r="K310" i="29"/>
  <c r="B1223" i="106"/>
  <c r="D1223" i="106" s="1"/>
  <c r="C129" i="29"/>
  <c r="B2081" i="106"/>
  <c r="D2081" i="106" s="1"/>
  <c r="H102" i="29"/>
  <c r="B1047" i="106" s="1"/>
  <c r="D1047" i="106" s="1"/>
  <c r="B1144" i="106"/>
  <c r="D1144" i="106" s="1"/>
  <c r="C14" i="4"/>
  <c r="B2558" i="106" s="1"/>
  <c r="D2558" i="106" s="1"/>
  <c r="G39" i="108"/>
  <c r="E39" i="108"/>
  <c r="F52" i="34"/>
  <c r="B7034" i="106"/>
  <c r="D7034" i="106" s="1"/>
  <c r="J129" i="29"/>
  <c r="B1482" i="106"/>
  <c r="D1482" i="106" s="1"/>
  <c r="K243" i="29"/>
  <c r="B1485" i="106" s="1"/>
  <c r="D1485" i="106" s="1"/>
  <c r="B4411" i="106"/>
  <c r="D4411" i="106" s="1"/>
  <c r="F127" i="34"/>
  <c r="F312" i="29"/>
  <c r="B1542" i="106" s="1"/>
  <c r="D1542" i="106" s="1"/>
  <c r="B1541" i="106"/>
  <c r="D1541" i="106" s="1"/>
  <c r="F36" i="108"/>
  <c r="B1137" i="106"/>
  <c r="D1137" i="106" s="1"/>
  <c r="D36" i="108"/>
  <c r="B1146" i="106"/>
  <c r="D1146" i="106" s="1"/>
  <c r="K110" i="29"/>
  <c r="H139" i="29"/>
  <c r="B1267" i="106" s="1"/>
  <c r="D1267" i="106" s="1"/>
  <c r="B2091" i="106"/>
  <c r="D2091" i="106" s="1"/>
  <c r="B5655" i="106"/>
  <c r="D5655" i="106" s="1"/>
  <c r="B3007" i="106"/>
  <c r="D3007" i="106" s="1"/>
  <c r="K194" i="29"/>
  <c r="F28" i="108"/>
  <c r="B1128" i="106"/>
  <c r="D1128" i="106" s="1"/>
  <c r="E28" i="108"/>
  <c r="B5752" i="106"/>
  <c r="D5752" i="106" s="1"/>
  <c r="G169" i="5"/>
  <c r="B5557" i="106"/>
  <c r="D5557" i="106" s="1"/>
  <c r="F109" i="5"/>
  <c r="H312" i="29"/>
  <c r="B1554" i="106" s="1"/>
  <c r="D1554" i="106" s="1"/>
  <c r="B1553" i="106"/>
  <c r="D1553" i="106" s="1"/>
  <c r="B1127" i="106"/>
  <c r="D1127" i="106" s="1"/>
  <c r="F27" i="108"/>
  <c r="D27" i="108"/>
  <c r="F41" i="34"/>
  <c r="B6881" i="106"/>
  <c r="D6881" i="106" s="1"/>
  <c r="J109" i="5"/>
  <c r="B6301" i="106"/>
  <c r="D6301" i="106" s="1"/>
  <c r="F210" i="29"/>
  <c r="B1359" i="106" s="1"/>
  <c r="D1359" i="106" s="1"/>
  <c r="B1358" i="106"/>
  <c r="D1358" i="106" s="1"/>
  <c r="K53" i="29"/>
  <c r="B1120" i="106"/>
  <c r="D1120" i="106" s="1"/>
  <c r="H129" i="29"/>
  <c r="B1266" i="106" s="1"/>
  <c r="D1266" i="106" s="1"/>
  <c r="B1264" i="106"/>
  <c r="D1264" i="106" s="1"/>
  <c r="B4211" i="106"/>
  <c r="D4211" i="106" s="1"/>
  <c r="F64" i="34"/>
  <c r="B6997" i="106"/>
  <c r="D6997" i="106" s="1"/>
  <c r="K100" i="29"/>
  <c r="B7013" i="106" s="1"/>
  <c r="D7013" i="106" s="1"/>
  <c r="F36" i="34"/>
  <c r="B6858" i="106"/>
  <c r="D6858" i="106" s="1"/>
  <c r="B785" i="106"/>
  <c r="D785" i="106" s="1"/>
  <c r="D74" i="29"/>
  <c r="B1274" i="106"/>
  <c r="D1274" i="106" s="1"/>
  <c r="E26" i="108"/>
  <c r="G26" i="108"/>
  <c r="B3446" i="106"/>
  <c r="D3446" i="106" s="1"/>
  <c r="D16" i="7"/>
  <c r="B3447" i="106" s="1"/>
  <c r="D3447" i="106" s="1"/>
  <c r="B2828" i="106"/>
  <c r="D2828" i="106" s="1"/>
  <c r="H196" i="29"/>
  <c r="E35" i="108"/>
  <c r="G35" i="108"/>
  <c r="B1136" i="106"/>
  <c r="D1136" i="106" s="1"/>
  <c r="B1272" i="106"/>
  <c r="D1272" i="106" s="1"/>
  <c r="D295" i="29"/>
  <c r="B1448" i="106" s="1"/>
  <c r="D1448" i="106" s="1"/>
  <c r="B1446" i="106"/>
  <c r="D1446" i="106" s="1"/>
  <c r="B1317" i="106"/>
  <c r="D1317" i="106" s="1"/>
  <c r="H174" i="29"/>
  <c r="B1318" i="106" s="1"/>
  <c r="D1318" i="106" s="1"/>
  <c r="G4" i="4"/>
  <c r="B2603" i="106" s="1"/>
  <c r="D2603" i="106" s="1"/>
  <c r="B6024" i="106"/>
  <c r="D6024" i="106" s="1"/>
  <c r="G151" i="29"/>
  <c r="B1258" i="106"/>
  <c r="D1258" i="106" s="1"/>
  <c r="E210" i="29"/>
  <c r="B1353" i="106" s="1"/>
  <c r="D1353" i="106" s="1"/>
  <c r="B1352" i="106"/>
  <c r="D1352" i="106" s="1"/>
  <c r="E19" i="145"/>
  <c r="G12" i="145"/>
  <c r="B987" i="106"/>
  <c r="D987" i="106" s="1"/>
  <c r="B3296" i="106"/>
  <c r="D3296" i="106" s="1"/>
  <c r="H77" i="4"/>
  <c r="B3299" i="106" s="1"/>
  <c r="D3299" i="106" s="1"/>
  <c r="B7747" i="106"/>
  <c r="D7747" i="106" s="1"/>
  <c r="E267" i="5"/>
  <c r="K139" i="29"/>
  <c r="B2093" i="106"/>
  <c r="D2093" i="106" s="1"/>
  <c r="B1241" i="106"/>
  <c r="D1241" i="106" s="1"/>
  <c r="B3586" i="106"/>
  <c r="D3586" i="106" s="1"/>
  <c r="K77" i="4"/>
  <c r="H4" i="4"/>
  <c r="B2655" i="106" s="1"/>
  <c r="D2655" i="106" s="1"/>
  <c r="B6025" i="106"/>
  <c r="D6025" i="106" s="1"/>
  <c r="B2088" i="106"/>
  <c r="D2088" i="106" s="1"/>
  <c r="K102" i="29"/>
  <c r="B1279" i="106"/>
  <c r="D1279" i="106" s="1"/>
  <c r="K172" i="29"/>
  <c r="B1328" i="106"/>
  <c r="D1328" i="106" s="1"/>
  <c r="I7" i="4"/>
  <c r="B4444" i="106" s="1"/>
  <c r="D4444" i="106" s="1"/>
  <c r="B4435" i="106"/>
  <c r="D4435" i="106" s="1"/>
  <c r="J16" i="4"/>
  <c r="B6226" i="106" s="1"/>
  <c r="D6226" i="106" s="1"/>
  <c r="B7215" i="106"/>
  <c r="D7215" i="106" s="1"/>
  <c r="B4157" i="106"/>
  <c r="D4157" i="106" s="1"/>
  <c r="E24" i="108"/>
  <c r="B1125" i="106"/>
  <c r="D1125" i="106" s="1"/>
  <c r="G24" i="108"/>
  <c r="B7037" i="106"/>
  <c r="D7037" i="106" s="1"/>
  <c r="I151" i="29"/>
  <c r="K149" i="29"/>
  <c r="B7048" i="106"/>
  <c r="D7048" i="106" s="1"/>
  <c r="F19" i="145"/>
  <c r="E6" i="4"/>
  <c r="B2631" i="106" s="1"/>
  <c r="D2631" i="106" s="1"/>
  <c r="B5544" i="106"/>
  <c r="D5544" i="106" s="1"/>
  <c r="B1365" i="106"/>
  <c r="D1365" i="106" s="1"/>
  <c r="F65" i="34"/>
  <c r="H13" i="4"/>
  <c r="B1559" i="106"/>
  <c r="D1559" i="106" s="1"/>
  <c r="B3724" i="106"/>
  <c r="D3724" i="106" s="1"/>
  <c r="F73" i="34"/>
  <c r="G15" i="4"/>
  <c r="B6032" i="106" s="1"/>
  <c r="D6032" i="106" s="1"/>
  <c r="E22" i="108"/>
  <c r="G22" i="108"/>
  <c r="B1119" i="106"/>
  <c r="D1119" i="106" s="1"/>
  <c r="B1760" i="106"/>
  <c r="D1760" i="106" s="1"/>
  <c r="E77" i="4"/>
  <c r="B3277" i="106" s="1"/>
  <c r="D3277" i="106" s="1"/>
  <c r="B3318" i="106"/>
  <c r="D3318" i="106" s="1"/>
  <c r="I77" i="4"/>
  <c r="B3319" i="106" s="1"/>
  <c r="D3319" i="106" s="1"/>
  <c r="E21" i="108"/>
  <c r="B1115" i="106"/>
  <c r="D1115" i="106" s="1"/>
  <c r="G21" i="108"/>
  <c r="I6" i="4"/>
  <c r="B5011" i="106" s="1"/>
  <c r="D5011" i="106" s="1"/>
  <c r="B4216" i="106"/>
  <c r="D4216" i="106" s="1"/>
  <c r="B3568" i="106"/>
  <c r="D3568" i="106" s="1"/>
  <c r="D52" i="36"/>
  <c r="A7264" i="106"/>
  <c r="D7263" i="106"/>
  <c r="D19" i="7" l="1"/>
  <c r="B1775" i="106" s="1"/>
  <c r="D1775" i="106" s="1"/>
  <c r="H151" i="29"/>
  <c r="B1273" i="106" s="1"/>
  <c r="D1273" i="106" s="1"/>
  <c r="B6026" i="106"/>
  <c r="D6026" i="106" s="1"/>
  <c r="F60" i="34"/>
  <c r="E151" i="29"/>
  <c r="B1242" i="106" s="1"/>
  <c r="D1242" i="106" s="1"/>
  <c r="H114" i="29"/>
  <c r="B1054" i="106" s="1"/>
  <c r="D1054" i="106" s="1"/>
  <c r="B5320" i="106"/>
  <c r="D5320" i="106" s="1"/>
  <c r="G267" i="5"/>
  <c r="B5869" i="106" s="1"/>
  <c r="D5869" i="106" s="1"/>
  <c r="F267" i="5"/>
  <c r="B5719" i="106" s="1"/>
  <c r="D5719" i="106" s="1"/>
  <c r="I268" i="5"/>
  <c r="B5946" i="106" s="1"/>
  <c r="D5946" i="106" s="1"/>
  <c r="C4" i="4"/>
  <c r="B2551" i="106" s="1"/>
  <c r="D2551" i="106" s="1"/>
  <c r="F174" i="34"/>
  <c r="K196" i="29"/>
  <c r="B2837" i="106"/>
  <c r="D2837" i="106" s="1"/>
  <c r="H15" i="4"/>
  <c r="B2660" i="106" s="1"/>
  <c r="D2660" i="106" s="1"/>
  <c r="B2102" i="106"/>
  <c r="D2102" i="106" s="1"/>
  <c r="C170" i="5"/>
  <c r="B5214" i="106"/>
  <c r="D5214" i="106" s="1"/>
  <c r="F41" i="108"/>
  <c r="G43" i="108" s="1"/>
  <c r="H6" i="4"/>
  <c r="B5906" i="106"/>
  <c r="D5906" i="106" s="1"/>
  <c r="F66" i="34"/>
  <c r="B7071" i="106"/>
  <c r="D7071" i="106" s="1"/>
  <c r="B1249" i="106"/>
  <c r="D1249" i="106" s="1"/>
  <c r="F151" i="29"/>
  <c r="B1250" i="106" s="1"/>
  <c r="D1250" i="106" s="1"/>
  <c r="B7041" i="106"/>
  <c r="D7041" i="106" s="1"/>
  <c r="J267" i="5"/>
  <c r="G23" i="108"/>
  <c r="E23" i="108"/>
  <c r="K74" i="29"/>
  <c r="B1122" i="106"/>
  <c r="D1122" i="106" s="1"/>
  <c r="J4" i="4"/>
  <c r="B6220" i="106" s="1"/>
  <c r="D6220" i="106" s="1"/>
  <c r="B6352" i="106"/>
  <c r="D6352" i="106" s="1"/>
  <c r="F4" i="4"/>
  <c r="B5588" i="106"/>
  <c r="D5588" i="106" s="1"/>
  <c r="B7038" i="106"/>
  <c r="D7038" i="106" s="1"/>
  <c r="J151" i="29"/>
  <c r="B7052" i="106" s="1"/>
  <c r="D7052" i="106" s="1"/>
  <c r="B5501" i="106"/>
  <c r="D5501" i="106" s="1"/>
  <c r="D267" i="5"/>
  <c r="B7207" i="106"/>
  <c r="D7207" i="106" s="1"/>
  <c r="K342" i="29"/>
  <c r="J13" i="4"/>
  <c r="D4" i="4"/>
  <c r="B5356" i="106"/>
  <c r="D5356" i="106" s="1"/>
  <c r="J15" i="4"/>
  <c r="B7796" i="106" s="1"/>
  <c r="D7796" i="106" s="1"/>
  <c r="B7790" i="106"/>
  <c r="D7790" i="106" s="1"/>
  <c r="F74" i="34"/>
  <c r="G16" i="4"/>
  <c r="B2611" i="106" s="1"/>
  <c r="D2611" i="106" s="1"/>
  <c r="B1515" i="106"/>
  <c r="D1515" i="106" s="1"/>
  <c r="B1481" i="106"/>
  <c r="D1481" i="106" s="1"/>
  <c r="K279" i="29"/>
  <c r="F170" i="5"/>
  <c r="H267" i="5"/>
  <c r="D114" i="29"/>
  <c r="B815" i="106" s="1"/>
  <c r="D815" i="106" s="1"/>
  <c r="B813" i="106"/>
  <c r="D813" i="106" s="1"/>
  <c r="K112" i="29"/>
  <c r="B1151" i="106"/>
  <c r="D1151" i="106" s="1"/>
  <c r="B1225" i="106"/>
  <c r="D1225" i="106" s="1"/>
  <c r="C151" i="29"/>
  <c r="B1226" i="106" s="1"/>
  <c r="D1226" i="106" s="1"/>
  <c r="B1474" i="106"/>
  <c r="D1474" i="106" s="1"/>
  <c r="G12" i="4"/>
  <c r="B6397" i="106"/>
  <c r="D6397" i="106" s="1"/>
  <c r="J6" i="4"/>
  <c r="B6221" i="106" s="1"/>
  <c r="D6221" i="106" s="1"/>
  <c r="D41" i="108"/>
  <c r="E43" i="108" s="1"/>
  <c r="F13" i="4"/>
  <c r="B2596" i="106" s="1"/>
  <c r="D2596" i="106" s="1"/>
  <c r="B1381" i="106"/>
  <c r="D1381" i="106" s="1"/>
  <c r="B5412" i="106"/>
  <c r="D5412" i="106" s="1"/>
  <c r="D170" i="5"/>
  <c r="B755" i="106"/>
  <c r="D755" i="106" s="1"/>
  <c r="C114" i="29"/>
  <c r="B757" i="106" s="1"/>
  <c r="D757" i="106" s="1"/>
  <c r="B929" i="106"/>
  <c r="D929" i="106" s="1"/>
  <c r="F114" i="29"/>
  <c r="B931" i="106" s="1"/>
  <c r="D931" i="106" s="1"/>
  <c r="B2830" i="106"/>
  <c r="D2830" i="106" s="1"/>
  <c r="H210" i="29"/>
  <c r="B1376" i="106" s="1"/>
  <c r="D1376" i="106" s="1"/>
  <c r="G170" i="5"/>
  <c r="B5770" i="106"/>
  <c r="D5770" i="106" s="1"/>
  <c r="B1233" i="106"/>
  <c r="D1233" i="106" s="1"/>
  <c r="D151" i="29"/>
  <c r="B1234" i="106" s="1"/>
  <c r="D1234" i="106" s="1"/>
  <c r="B1108" i="106"/>
  <c r="D1108" i="106" s="1"/>
  <c r="E19" i="108"/>
  <c r="G19" i="108"/>
  <c r="G41" i="108" s="1"/>
  <c r="G44" i="108" s="1"/>
  <c r="C12" i="4"/>
  <c r="B2556" i="106" s="1"/>
  <c r="D2556" i="106" s="1"/>
  <c r="J114" i="29"/>
  <c r="B7021" i="106" s="1"/>
  <c r="D7021" i="106" s="1"/>
  <c r="B2790" i="106"/>
  <c r="D2790" i="106" s="1"/>
  <c r="E114" i="29"/>
  <c r="B873" i="106" s="1"/>
  <c r="D873" i="106" s="1"/>
  <c r="I114" i="29"/>
  <c r="F17" i="11" s="1"/>
  <c r="B6977" i="106"/>
  <c r="D6977" i="106" s="1"/>
  <c r="E4" i="4"/>
  <c r="B2630" i="106" s="1"/>
  <c r="D2630" i="106" s="1"/>
  <c r="B5527" i="106"/>
  <c r="D5527" i="106" s="1"/>
  <c r="K312" i="29"/>
  <c r="B1560" i="106" s="1"/>
  <c r="D1560" i="106" s="1"/>
  <c r="B2659" i="106"/>
  <c r="D2659" i="106" s="1"/>
  <c r="K210" i="29"/>
  <c r="B1387" i="106"/>
  <c r="D1387" i="106" s="1"/>
  <c r="F16" i="4"/>
  <c r="B2599" i="106" s="1"/>
  <c r="D2599" i="106" s="1"/>
  <c r="E16" i="4"/>
  <c r="B1331" i="106"/>
  <c r="D1331" i="106" s="1"/>
  <c r="K174" i="29"/>
  <c r="B989" i="106"/>
  <c r="D989" i="106" s="1"/>
  <c r="F54" i="34"/>
  <c r="D16" i="4"/>
  <c r="B2572" i="106" s="1"/>
  <c r="D2572" i="106" s="1"/>
  <c r="B1287" i="106"/>
  <c r="D1287" i="106" s="1"/>
  <c r="K78" i="4"/>
  <c r="B3587" i="106"/>
  <c r="D3587" i="106" s="1"/>
  <c r="B1282" i="106"/>
  <c r="D1282" i="106" s="1"/>
  <c r="D15" i="4"/>
  <c r="B2571" i="106" s="1"/>
  <c r="D2571" i="106" s="1"/>
  <c r="F57" i="34"/>
  <c r="I8" i="4"/>
  <c r="B3225" i="106"/>
  <c r="D3225" i="106" s="1"/>
  <c r="B7051" i="106"/>
  <c r="D7051" i="106" s="1"/>
  <c r="F59" i="34"/>
  <c r="D13" i="4"/>
  <c r="B1281" i="106"/>
  <c r="D1281" i="106" s="1"/>
  <c r="K151" i="29"/>
  <c r="B5326" i="106"/>
  <c r="D5326" i="106" s="1"/>
  <c r="C7" i="4"/>
  <c r="E7" i="4"/>
  <c r="B4434" i="106"/>
  <c r="D4434" i="106" s="1"/>
  <c r="E268" i="5"/>
  <c r="G19" i="145"/>
  <c r="J20" i="145" s="1"/>
  <c r="F53" i="34"/>
  <c r="C15" i="4"/>
  <c r="B2559" i="106" s="1"/>
  <c r="D2559" i="106" s="1"/>
  <c r="B1145" i="106"/>
  <c r="D1145" i="106" s="1"/>
  <c r="F58" i="34"/>
  <c r="B1259" i="106"/>
  <c r="D1259" i="106" s="1"/>
  <c r="A7265" i="106"/>
  <c r="D7264" i="106"/>
  <c r="G7" i="4" l="1"/>
  <c r="B2605" i="106" s="1"/>
  <c r="D2605" i="106" s="1"/>
  <c r="H17" i="4"/>
  <c r="K114" i="29"/>
  <c r="G45" i="108"/>
  <c r="E41" i="108"/>
  <c r="E44" i="108" s="1"/>
  <c r="E45" i="108" s="1"/>
  <c r="G268" i="5"/>
  <c r="B5870" i="106" s="1"/>
  <c r="D5870" i="106" s="1"/>
  <c r="F7" i="4"/>
  <c r="B2594" i="106" s="1"/>
  <c r="D2594" i="106" s="1"/>
  <c r="F268" i="5"/>
  <c r="B5720" i="106" s="1"/>
  <c r="D5720" i="106" s="1"/>
  <c r="D268" i="5"/>
  <c r="B5508" i="106" s="1"/>
  <c r="D5508" i="106" s="1"/>
  <c r="F55" i="34"/>
  <c r="B7020" i="106"/>
  <c r="D7020" i="106" s="1"/>
  <c r="H7" i="4"/>
  <c r="B2657" i="106" s="1"/>
  <c r="D2657" i="106" s="1"/>
  <c r="B5914" i="106"/>
  <c r="D5914" i="106" s="1"/>
  <c r="B7042" i="106"/>
  <c r="D7042" i="106" s="1"/>
  <c r="J17" i="4"/>
  <c r="J7" i="4"/>
  <c r="J268" i="5"/>
  <c r="B7054" i="106"/>
  <c r="D7054" i="106" s="1"/>
  <c r="H268" i="5"/>
  <c r="B5653" i="106"/>
  <c r="D5653" i="106" s="1"/>
  <c r="F6" i="4"/>
  <c r="B2593" i="106" s="1"/>
  <c r="D2593" i="106" s="1"/>
  <c r="F13" i="34"/>
  <c r="B7224" i="106"/>
  <c r="D7224" i="106" s="1"/>
  <c r="B2591" i="106"/>
  <c r="D2591" i="106" s="1"/>
  <c r="B1143" i="106"/>
  <c r="D1143" i="106" s="1"/>
  <c r="C13" i="4"/>
  <c r="B2557" i="106" s="1"/>
  <c r="D2557" i="106" s="1"/>
  <c r="B2607" i="106"/>
  <c r="D2607" i="106" s="1"/>
  <c r="K295" i="29"/>
  <c r="G13" i="4"/>
  <c r="B2608" i="106" s="1"/>
  <c r="D2608" i="106" s="1"/>
  <c r="B1510" i="106"/>
  <c r="D1510" i="106" s="1"/>
  <c r="B5778" i="106"/>
  <c r="D5778" i="106" s="1"/>
  <c r="G6" i="4"/>
  <c r="D6" i="4"/>
  <c r="B2566" i="106" s="1"/>
  <c r="D2566" i="106" s="1"/>
  <c r="B5421" i="106"/>
  <c r="D5421" i="106" s="1"/>
  <c r="B7019" i="106"/>
  <c r="D7019" i="106" s="1"/>
  <c r="C16" i="4"/>
  <c r="B2560" i="106" s="1"/>
  <c r="D2560" i="106" s="1"/>
  <c r="B2564" i="106"/>
  <c r="D2564" i="106" s="1"/>
  <c r="B5507" i="106"/>
  <c r="D5507" i="106" s="1"/>
  <c r="D7" i="4"/>
  <c r="B2567" i="106" s="1"/>
  <c r="D2567" i="106" s="1"/>
  <c r="B2656" i="106"/>
  <c r="D2656" i="106" s="1"/>
  <c r="C6" i="4"/>
  <c r="B5223" i="106"/>
  <c r="D5223" i="106" s="1"/>
  <c r="C268" i="5"/>
  <c r="B5327" i="106" s="1"/>
  <c r="D5327" i="106" s="1"/>
  <c r="B1382" i="106"/>
  <c r="D1382" i="106" s="1"/>
  <c r="F15" i="4"/>
  <c r="F63" i="34"/>
  <c r="F8" i="34"/>
  <c r="B1152" i="106"/>
  <c r="D1152" i="106" s="1"/>
  <c r="B4443" i="106"/>
  <c r="D4443" i="106" s="1"/>
  <c r="E8" i="4"/>
  <c r="F10" i="34"/>
  <c r="B1332" i="106"/>
  <c r="D1332" i="106" s="1"/>
  <c r="B2554" i="106"/>
  <c r="D2554" i="106" s="1"/>
  <c r="D17" i="4"/>
  <c r="B2569" i="106"/>
  <c r="D2569" i="106" s="1"/>
  <c r="B1388" i="106"/>
  <c r="D1388" i="106" s="1"/>
  <c r="F11" i="34"/>
  <c r="K175" i="29"/>
  <c r="B1333" i="106" s="1"/>
  <c r="D1333" i="106" s="1"/>
  <c r="B5552" i="106"/>
  <c r="D5552" i="106" s="1"/>
  <c r="B7624" i="106"/>
  <c r="I17" i="11"/>
  <c r="I10" i="4"/>
  <c r="B4128" i="106" s="1"/>
  <c r="D4128" i="106" s="1"/>
  <c r="I20" i="4"/>
  <c r="B3226" i="106"/>
  <c r="D3226" i="106" s="1"/>
  <c r="E8" i="146"/>
  <c r="E10" i="146" s="1"/>
  <c r="B2634" i="106"/>
  <c r="D2634" i="106" s="1"/>
  <c r="E17" i="4"/>
  <c r="H19" i="4"/>
  <c r="B4141" i="106" s="1"/>
  <c r="D4141" i="106" s="1"/>
  <c r="B2661" i="106"/>
  <c r="D2661" i="106" s="1"/>
  <c r="F9" i="34"/>
  <c r="B1288" i="106"/>
  <c r="D1288" i="106" s="1"/>
  <c r="B3588" i="106"/>
  <c r="D3588" i="106" s="1"/>
  <c r="K81" i="4"/>
  <c r="A7266" i="106"/>
  <c r="D7265" i="106"/>
  <c r="K296" i="29" l="1"/>
  <c r="B1518" i="106" s="1"/>
  <c r="D1518" i="106" s="1"/>
  <c r="F76" i="34"/>
  <c r="C17" i="4"/>
  <c r="B2561" i="106" s="1"/>
  <c r="D2561" i="106" s="1"/>
  <c r="K152" i="29"/>
  <c r="B1289" i="106" s="1"/>
  <c r="D1289" i="106" s="1"/>
  <c r="K211" i="29"/>
  <c r="B1389" i="106" s="1"/>
  <c r="D1389" i="106" s="1"/>
  <c r="D10" i="171"/>
  <c r="D19" i="171" s="1"/>
  <c r="D32" i="171" s="1"/>
  <c r="D49" i="171" s="1"/>
  <c r="F8" i="4"/>
  <c r="D8" i="146" s="1"/>
  <c r="H8" i="4"/>
  <c r="H10" i="4" s="1"/>
  <c r="B4127" i="106" s="1"/>
  <c r="D4127" i="106" s="1"/>
  <c r="B9" i="146"/>
  <c r="C19" i="4"/>
  <c r="B4136" i="106" s="1"/>
  <c r="D4136" i="106" s="1"/>
  <c r="D8" i="4"/>
  <c r="D20" i="4" s="1"/>
  <c r="K115" i="29"/>
  <c r="B1153" i="106" s="1"/>
  <c r="D1153" i="106" s="1"/>
  <c r="G17" i="4"/>
  <c r="K343" i="29"/>
  <c r="B7225" i="106" s="1"/>
  <c r="D7225" i="106" s="1"/>
  <c r="B7055" i="106"/>
  <c r="D7055" i="106" s="1"/>
  <c r="B6222" i="106"/>
  <c r="D6222" i="106" s="1"/>
  <c r="J8" i="4"/>
  <c r="G8" i="4"/>
  <c r="B2604" i="106"/>
  <c r="D2604" i="106" s="1"/>
  <c r="B5915" i="106"/>
  <c r="D5915" i="106" s="1"/>
  <c r="K313" i="29"/>
  <c r="B1561" i="106" s="1"/>
  <c r="D1561" i="106" s="1"/>
  <c r="B6227" i="106"/>
  <c r="D6227" i="106" s="1"/>
  <c r="J19" i="4"/>
  <c r="B6229" i="106" s="1"/>
  <c r="D6229" i="106" s="1"/>
  <c r="B2598" i="106"/>
  <c r="D2598" i="106" s="1"/>
  <c r="F17" i="4"/>
  <c r="B2553" i="106"/>
  <c r="D2553" i="106" s="1"/>
  <c r="C8" i="4"/>
  <c r="B1517" i="106"/>
  <c r="D1517" i="106" s="1"/>
  <c r="F12" i="34"/>
  <c r="F14" i="34" s="1"/>
  <c r="E10" i="4"/>
  <c r="B4124" i="106" s="1"/>
  <c r="D4124" i="106" s="1"/>
  <c r="E20" i="4"/>
  <c r="B2632" i="106"/>
  <c r="D2632" i="106" s="1"/>
  <c r="K82" i="4"/>
  <c r="B3591" i="106"/>
  <c r="D3591" i="106" s="1"/>
  <c r="D65" i="36"/>
  <c r="I18" i="11"/>
  <c r="B7625" i="106"/>
  <c r="B2573" i="106"/>
  <c r="D2573" i="106" s="1"/>
  <c r="C9" i="146"/>
  <c r="D19" i="4"/>
  <c r="B4137" i="106" s="1"/>
  <c r="D4137" i="106" s="1"/>
  <c r="B2635" i="106"/>
  <c r="D2635" i="106" s="1"/>
  <c r="E19" i="4"/>
  <c r="B4138" i="106" s="1"/>
  <c r="D4138" i="106" s="1"/>
  <c r="B3227" i="106"/>
  <c r="D3227" i="106" s="1"/>
  <c r="I78" i="4"/>
  <c r="A7267" i="106"/>
  <c r="D7266" i="106"/>
  <c r="F77" i="34" l="1"/>
  <c r="B2595" i="106"/>
  <c r="D2595" i="106" s="1"/>
  <c r="F10" i="4"/>
  <c r="B4125" i="106" s="1"/>
  <c r="D4125" i="106" s="1"/>
  <c r="H20" i="4"/>
  <c r="B2662" i="106" s="1"/>
  <c r="D2662" i="106" s="1"/>
  <c r="B2658" i="106"/>
  <c r="D2658" i="106" s="1"/>
  <c r="F20" i="4"/>
  <c r="D9" i="146"/>
  <c r="D10" i="146" s="1"/>
  <c r="F19" i="4"/>
  <c r="B4139" i="106" s="1"/>
  <c r="D4139" i="106" s="1"/>
  <c r="B2600" i="106"/>
  <c r="D2600" i="106" s="1"/>
  <c r="G10" i="4"/>
  <c r="B4126" i="106" s="1"/>
  <c r="D4126" i="106" s="1"/>
  <c r="G20" i="4"/>
  <c r="B2606" i="106"/>
  <c r="D2606" i="106" s="1"/>
  <c r="B2612" i="106"/>
  <c r="D2612" i="106" s="1"/>
  <c r="G19" i="4"/>
  <c r="B4140" i="106" s="1"/>
  <c r="D4140" i="106" s="1"/>
  <c r="B6223" i="106"/>
  <c r="D6223" i="106" s="1"/>
  <c r="J10" i="4"/>
  <c r="B6225" i="106" s="1"/>
  <c r="D6225" i="106" s="1"/>
  <c r="J20" i="4"/>
  <c r="F16" i="37"/>
  <c r="D10" i="4"/>
  <c r="B4123" i="106" s="1"/>
  <c r="D4123" i="106" s="1"/>
  <c r="C8" i="146"/>
  <c r="C10" i="146" s="1"/>
  <c r="B2568" i="106"/>
  <c r="D2568" i="106" s="1"/>
  <c r="H13" i="118"/>
  <c r="D16" i="37"/>
  <c r="B2555" i="106"/>
  <c r="D2555" i="106" s="1"/>
  <c r="H18" i="118"/>
  <c r="C20" i="4"/>
  <c r="C10" i="4"/>
  <c r="B4122" i="106" s="1"/>
  <c r="D4122" i="106" s="1"/>
  <c r="B8" i="146"/>
  <c r="H17" i="118"/>
  <c r="B3320" i="106"/>
  <c r="D3320" i="106" s="1"/>
  <c r="I81" i="4"/>
  <c r="B2574" i="106"/>
  <c r="D2574" i="106" s="1"/>
  <c r="D78" i="4"/>
  <c r="B6275" i="106"/>
  <c r="D6275" i="106" s="1"/>
  <c r="K83" i="4"/>
  <c r="B6284" i="106" s="1"/>
  <c r="D6284" i="106" s="1"/>
  <c r="F176" i="34"/>
  <c r="B7631" i="106"/>
  <c r="B2636" i="106"/>
  <c r="D2636" i="106" s="1"/>
  <c r="E78" i="4"/>
  <c r="F9" i="146"/>
  <c r="F79" i="34"/>
  <c r="F175" i="34"/>
  <c r="A7268" i="106"/>
  <c r="D7267" i="106"/>
  <c r="H78" i="4" l="1"/>
  <c r="B3300" i="106" s="1"/>
  <c r="D3300" i="106" s="1"/>
  <c r="H16" i="37"/>
  <c r="K17" i="118"/>
  <c r="H25" i="118"/>
  <c r="K24" i="118" s="1"/>
  <c r="O23" i="118" s="1"/>
  <c r="O25" i="118" s="1"/>
  <c r="B2562" i="106"/>
  <c r="D2562" i="106" s="1"/>
  <c r="C78" i="4"/>
  <c r="F8" i="146"/>
  <c r="F10" i="146" s="1"/>
  <c r="B10" i="146"/>
  <c r="J78" i="4"/>
  <c r="B6230" i="106"/>
  <c r="D6230" i="106" s="1"/>
  <c r="G78" i="4"/>
  <c r="B2613" i="106"/>
  <c r="D2613" i="106" s="1"/>
  <c r="F78" i="4"/>
  <c r="B2601" i="106"/>
  <c r="D2601" i="106" s="1"/>
  <c r="D81" i="4"/>
  <c r="B3239" i="106"/>
  <c r="D3239" i="106" s="1"/>
  <c r="B3278" i="106"/>
  <c r="D3278" i="106" s="1"/>
  <c r="E81" i="4"/>
  <c r="B3323" i="106"/>
  <c r="D3323" i="106" s="1"/>
  <c r="E11" i="146"/>
  <c r="I82" i="4"/>
  <c r="F177" i="34"/>
  <c r="F179" i="34" s="1"/>
  <c r="A7269" i="106"/>
  <c r="D7268" i="106"/>
  <c r="H81" i="4" l="1"/>
  <c r="H82" i="4" s="1"/>
  <c r="F81" i="4"/>
  <c r="B3256" i="106"/>
  <c r="D3256" i="106" s="1"/>
  <c r="B3262" i="106"/>
  <c r="D3262" i="106" s="1"/>
  <c r="G81" i="4"/>
  <c r="B3233" i="106"/>
  <c r="D3233" i="106" s="1"/>
  <c r="C81" i="4"/>
  <c r="J81" i="4"/>
  <c r="B6263" i="106"/>
  <c r="D6263" i="106" s="1"/>
  <c r="B1700" i="106"/>
  <c r="D1700" i="106" s="1"/>
  <c r="O16" i="118"/>
  <c r="K20" i="118"/>
  <c r="J20" i="118"/>
  <c r="B6273" i="106"/>
  <c r="D6273" i="106" s="1"/>
  <c r="I83" i="4"/>
  <c r="B6282" i="106" s="1"/>
  <c r="D6282" i="106" s="1"/>
  <c r="E82" i="4"/>
  <c r="B1658" i="106"/>
  <c r="D1658" i="106" s="1"/>
  <c r="B2912" i="106"/>
  <c r="D2912" i="106" s="1"/>
  <c r="D63" i="36"/>
  <c r="I41" i="3"/>
  <c r="D82" i="4"/>
  <c r="C11" i="146"/>
  <c r="B1644" i="106"/>
  <c r="D1644" i="106" s="1"/>
  <c r="A7270" i="106"/>
  <c r="D7269" i="106"/>
  <c r="O17" i="118" l="1"/>
  <c r="O20" i="118" s="1"/>
  <c r="B1686" i="106"/>
  <c r="D1686" i="106" s="1"/>
  <c r="G82" i="4"/>
  <c r="B6266" i="106"/>
  <c r="D6266" i="106" s="1"/>
  <c r="J82" i="4"/>
  <c r="C82" i="4"/>
  <c r="H12" i="118"/>
  <c r="K12" i="118" s="1"/>
  <c r="O11" i="118" s="1"/>
  <c r="O13" i="118" s="1"/>
  <c r="B1630" i="106"/>
  <c r="D1630" i="106" s="1"/>
  <c r="J16" i="37"/>
  <c r="B4269" i="106" s="1"/>
  <c r="D4269" i="106" s="1"/>
  <c r="B11" i="146"/>
  <c r="H83" i="4"/>
  <c r="B6281" i="106" s="1"/>
  <c r="D6281" i="106" s="1"/>
  <c r="B6272" i="106"/>
  <c r="D6272" i="106" s="1"/>
  <c r="B212" i="106"/>
  <c r="D212" i="106" s="1"/>
  <c r="D62" i="36"/>
  <c r="H41" i="3"/>
  <c r="D11" i="146"/>
  <c r="F82" i="4"/>
  <c r="B1672" i="106"/>
  <c r="D1672" i="106" s="1"/>
  <c r="B6269" i="106"/>
  <c r="D6269" i="106" s="1"/>
  <c r="E83" i="4"/>
  <c r="B6278" i="106" s="1"/>
  <c r="D6278" i="106" s="1"/>
  <c r="D83" i="4"/>
  <c r="B6277" i="106" s="1"/>
  <c r="D6277" i="106" s="1"/>
  <c r="B6268" i="106"/>
  <c r="D6268" i="106" s="1"/>
  <c r="D58" i="36"/>
  <c r="B123" i="106"/>
  <c r="D123" i="106" s="1"/>
  <c r="D41" i="3"/>
  <c r="D50" i="36"/>
  <c r="B2913" i="106"/>
  <c r="D2913" i="106" s="1"/>
  <c r="B140" i="106"/>
  <c r="D140" i="106" s="1"/>
  <c r="E41" i="3"/>
  <c r="N21" i="3"/>
  <c r="D59" i="36"/>
  <c r="D76" i="36"/>
  <c r="A7271" i="106"/>
  <c r="D7270" i="106"/>
  <c r="O35" i="118" l="1"/>
  <c r="O37" i="118" s="1"/>
  <c r="F11" i="146"/>
  <c r="C12" i="146" s="1"/>
  <c r="C83" i="4"/>
  <c r="B6276" i="106" s="1"/>
  <c r="D6276" i="106" s="1"/>
  <c r="B6267" i="106"/>
  <c r="D6267" i="106" s="1"/>
  <c r="B189" i="106"/>
  <c r="D189" i="106" s="1"/>
  <c r="D61" i="36"/>
  <c r="G41" i="3"/>
  <c r="D49" i="36"/>
  <c r="B213" i="106"/>
  <c r="D213" i="106" s="1"/>
  <c r="D57" i="36"/>
  <c r="C41" i="3"/>
  <c r="B92" i="106"/>
  <c r="D92" i="106" s="1"/>
  <c r="B6215" i="106"/>
  <c r="D6215" i="106" s="1"/>
  <c r="D64" i="36"/>
  <c r="J41" i="3"/>
  <c r="G83" i="4"/>
  <c r="B6280" i="106" s="1"/>
  <c r="D6280" i="106" s="1"/>
  <c r="B6271" i="106"/>
  <c r="D6271" i="106" s="1"/>
  <c r="B170" i="106"/>
  <c r="D170" i="106" s="1"/>
  <c r="D60" i="36"/>
  <c r="F41" i="3"/>
  <c r="F83" i="4"/>
  <c r="B6279" i="106" s="1"/>
  <c r="D6279" i="106" s="1"/>
  <c r="B6270" i="106"/>
  <c r="D6270" i="106" s="1"/>
  <c r="J83" i="4"/>
  <c r="B6283" i="106" s="1"/>
  <c r="D6283" i="106" s="1"/>
  <c r="B6274" i="106"/>
  <c r="D6274" i="106" s="1"/>
  <c r="B124" i="106"/>
  <c r="D124" i="106" s="1"/>
  <c r="D45" i="36"/>
  <c r="N23" i="3"/>
  <c r="B282" i="106"/>
  <c r="D282" i="106" s="1"/>
  <c r="D46" i="36"/>
  <c r="B141" i="106"/>
  <c r="D141" i="106" s="1"/>
  <c r="A7272" i="106"/>
  <c r="D7271" i="106"/>
  <c r="D29" i="36" l="1"/>
  <c r="J24" i="24" s="1"/>
  <c r="D47" i="36"/>
  <c r="B171" i="106"/>
  <c r="D171" i="106" s="1"/>
  <c r="D51" i="36"/>
  <c r="B6216" i="106"/>
  <c r="D6216" i="106" s="1"/>
  <c r="B93" i="106"/>
  <c r="D93" i="106" s="1"/>
  <c r="D44" i="36"/>
  <c r="B190" i="106"/>
  <c r="D190" i="106" s="1"/>
  <c r="D48" i="36"/>
  <c r="B284" i="106"/>
  <c r="D284" i="106" s="1"/>
  <c r="D55" i="36"/>
  <c r="A7273" i="106"/>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tc={4C113903-8B57-4845-AE97-F089D9FD58DF}</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E37" authorId="1" shapeId="0" xr:uid="{4C113903-8B57-4845-AE97-F089D9FD58DF}">
      <text>
        <r>
          <rPr>
            <sz val="10"/>
            <rFont val="Arial"/>
          </rPr>
          <t>[Threaded comment]
Your version of Excel allows you to read this threaded comment; however, any edits to it will get removed if the file is opened in a newer version of Excel. Learn more: https://go.microsoft.com/fwlink/?linkid=870924
Comment:
    added $1 that was in 200 object</t>
        </r>
      </text>
    </comment>
    <comment ref="A170" authorId="2"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2"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3"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<sst xmlns="http://schemas.openxmlformats.org/spreadsheetml/2006/main" count="5405" uniqueCount="2246">
  <si>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</si>
  <si>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</si>
  <si>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</si>
  <si>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</si>
  <si>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</si>
  <si>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</si>
  <si>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</si>
  <si>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</si>
  <si>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</si>
  <si>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</si>
  <si>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</si>
  <si>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</si>
  <si>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</si>
  <si>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</si>
  <si>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</si>
  <si>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</si>
  <si>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</si>
  <si>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</si>
  <si>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</si>
  <si>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</si>
  <si>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</si>
  <si>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</si>
  <si>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</si>
  <si>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</si>
  <si>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</si>
  <si>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</si>
  <si>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</si>
  <si>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</si>
  <si>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</si>
  <si>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</si>
  <si>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</si>
  <si>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</si>
  <si>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</si>
  <si>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</si>
  <si>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</si>
  <si>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</si>
  <si>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</si>
  <si>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</si>
  <si>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</si>
  <si>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</si>
  <si>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</si>
  <si>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</si>
  <si>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</si>
  <si>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</si>
  <si>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</si>
  <si>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</si>
  <si>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</si>
  <si>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</si>
  <si>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</si>
  <si>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</si>
  <si>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</si>
  <si>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</si>
  <si>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</si>
  <si>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</si>
  <si>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</si>
  <si>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</si>
  <si>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</si>
  <si>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</si>
  <si>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</si>
  <si>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</si>
  <si>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</si>
  <si>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</si>
  <si>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</si>
  <si>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</si>
  <si>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</si>
  <si>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</si>
  <si>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</si>
  <si>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</si>
  <si>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</si>
  <si>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</si>
  <si>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</si>
  <si>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</si>
  <si>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</si>
  <si>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</si>
  <si>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</si>
  <si>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</si>
  <si>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</si>
  <si>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</si>
  <si>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</si>
  <si>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</si>
  <si>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</si>
  <si>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</si>
  <si>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</si>
  <si>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</si>
  <si>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</si>
  <si>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</si>
  <si>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</si>
  <si>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</si>
  <si>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</si>
  <si>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</si>
  <si>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</si>
  <si>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</si>
  <si>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</si>
  <si>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</si>
  <si>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</si>
  <si>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</si>
  <si>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</si>
  <si>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</si>
  <si>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</si>
  <si>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</si>
  <si>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</si>
  <si>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</si>
  <si>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</si>
  <si>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</si>
  <si>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</si>
  <si>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</si>
  <si>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</si>
  <si>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</si>
  <si>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</si>
  <si>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</si>
  <si>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</si>
  <si>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</si>
  <si>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</si>
  <si>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</si>
  <si>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</si>
  <si>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</si>
  <si>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</si>
  <si>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</si>
  <si>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</si>
  <si>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</si>
  <si>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</si>
  <si>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</si>
  <si>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</si>
  <si>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</si>
  <si>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</si>
  <si>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</si>
  <si>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</si>
  <si>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</si>
  <si>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</si>
  <si>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</si>
  <si>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</si>
  <si>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</si>
  <si>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</si>
  <si>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</si>
  <si>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</si>
  <si>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</si>
  <si>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</si>
  <si>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</si>
  <si>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</si>
  <si>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</si>
  <si>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</si>
  <si>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</si>
  <si>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</si>
  <si>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</si>
  <si>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</si>
  <si>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</si>
  <si>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</si>
  <si>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</si>
  <si>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</si>
  <si>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</si>
  <si>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</si>
  <si>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</si>
  <si>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</si>
  <si>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</si>
  <si>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</si>
  <si>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</si>
  <si>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</si>
  <si>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</si>
  <si>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</si>
  <si>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</si>
  <si>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</si>
  <si>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</si>
  <si>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</si>
  <si>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</si>
  <si>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</si>
  <si>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</si>
  <si>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</si>
  <si>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</si>
  <si>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</si>
  <si>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</si>
  <si>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</si>
  <si>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</si>
  <si>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</si>
  <si>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</si>
  <si>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</si>
  <si>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</si>
  <si>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</si>
  <si>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</si>
  <si>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</si>
  <si>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</si>
  <si>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</si>
  <si>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</si>
  <si>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</si>
  <si>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</si>
  <si>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</si>
  <si>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</si>
  <si>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</si>
  <si>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</si>
  <si>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</si>
  <si>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</si>
  <si>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</si>
  <si>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</si>
  <si>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</si>
  <si>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</si>
  <si>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</si>
  <si>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</si>
  <si>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</si>
  <si>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</si>
  <si>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</si>
  <si>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</si>
  <si>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</si>
  <si>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</si>
  <si>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</si>
  <si>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</si>
  <si>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</si>
  <si>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</si>
  <si>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</si>
  <si>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</si>
  <si>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</si>
  <si>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</si>
  <si>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</si>
  <si>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</si>
  <si>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</si>
  <si>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</si>
  <si>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</si>
  <si>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</si>
  <si>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</si>
  <si>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</si>
  <si>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</si>
  <si>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</si>
  <si>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</si>
  <si>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</si>
  <si>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</si>
  <si>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</si>
  <si>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</si>
  <si>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</si>
  <si>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</si>
  <si>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</si>
  <si>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</si>
  <si>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</si>
  <si>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</si>
  <si>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</si>
  <si>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</si>
  <si>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</si>
  <si>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</si>
  <si>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</si>
  <si>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</si>
  <si>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</si>
  <si>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</si>
  <si>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</si>
  <si>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</si>
  <si>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</si>
  <si>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</si>
  <si>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</si>
  <si>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</si>
  <si>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</si>
  <si>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</si>
  <si>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</si>
  <si>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</si>
  <si>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</si>
  <si>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</si>
  <si>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</si>
  <si>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</si>
  <si>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</si>
  <si>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</si>
  <si>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</si>
  <si>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</si>
  <si>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</si>
  <si>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</si>
  <si>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</si>
  <si>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</si>
  <si>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</si>
  <si>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</si>
  <si>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</si>
  <si>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</si>
  <si>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</si>
  <si>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</si>
  <si>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</si>
  <si>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</si>
  <si>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</si>
  <si>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</si>
  <si>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</si>
  <si>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</si>
  <si>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</si>
  <si>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</si>
  <si>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</si>
  <si>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</si>
  <si>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</si>
  <si>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</si>
  <si>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</si>
  <si>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</si>
  <si>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</si>
  <si>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</si>
  <si>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</si>
  <si>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</si>
  <si>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</si>
  <si>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</si>
  <si>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</si>
  <si>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</si>
  <si>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</si>
  <si>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</si>
  <si>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</si>
  <si>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</si>
  <si>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</si>
  <si>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</si>
  <si>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</si>
  <si>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</si>
  <si>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</si>
  <si>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</si>
  <si>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</si>
  <si>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</si>
  <si>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</si>
  <si>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</si>
  <si>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</si>
  <si>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</si>
  <si>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</si>
  <si>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</si>
  <si>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</si>
  <si>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</si>
  <si>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</si>
  <si>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</si>
  <si>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</si>
  <si>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</si>
  <si>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</si>
  <si>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</si>
  <si>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</si>
  <si>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</si>
  <si>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</si>
  <si>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</si>
  <si>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</si>
  <si>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</si>
  <si>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</si>
  <si>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</si>
  <si>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</si>
  <si>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</si>
  <si>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</si>
  <si>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</si>
  <si>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</si>
  <si>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</si>
  <si>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</si>
  <si>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</si>
  <si>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</si>
  <si>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</si>
  <si>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</si>
  <si>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</si>
  <si>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</si>
  <si>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</si>
  <si>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</si>
  <si>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</si>
  <si>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</si>
  <si>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</si>
  <si>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</si>
  <si>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</si>
  <si>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</si>
  <si>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</si>
  <si>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</si>
  <si>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</si>
  <si>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</si>
  <si>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</si>
  <si>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</si>
  <si>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</si>
  <si>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</si>
  <si>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</si>
  <si>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</si>
  <si>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</si>
  <si>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</si>
  <si>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</si>
  <si>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</si>
  <si>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</si>
  <si>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</si>
  <si>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</si>
  <si>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</si>
  <si>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</si>
  <si>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</si>
  <si>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</si>
  <si>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</si>
  <si>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</si>
  <si>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</si>
  <si>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</si>
  <si>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</si>
  <si>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</si>
  <si>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</si>
  <si>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</si>
  <si>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</si>
  <si>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</si>
  <si>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</si>
  <si>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</si>
  <si>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</si>
  <si>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</si>
  <si>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</si>
  <si>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</si>
  <si>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</si>
  <si>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</si>
  <si>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</si>
  <si>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</si>
  <si>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</si>
  <si>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</si>
  <si>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</si>
  <si>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</si>
  <si>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</si>
  <si>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</si>
  <si>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</si>
  <si>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</si>
  <si>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</si>
  <si>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</si>
  <si>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</si>
  <si>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</si>
  <si>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</si>
  <si>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</si>
  <si>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</si>
  <si>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</si>
  <si>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</si>
  <si>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</si>
  <si>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</si>
  <si>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</si>
  <si>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</si>
  <si>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</si>
  <si>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</si>
  <si>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</si>
  <si>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</si>
  <si>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</si>
  <si>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</si>
  <si>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</si>
  <si>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</si>
  <si>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</si>
  <si>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</si>
  <si>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</si>
  <si>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</si>
  <si>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</si>
  <si>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</si>
  <si>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</si>
  <si>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</si>
  <si>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</si>
  <si>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</si>
  <si>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</si>
  <si>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</si>
  <si>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</si>
  <si>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</si>
  <si>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</si>
  <si>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</si>
  <si>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</si>
  <si>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</si>
  <si>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</si>
  <si>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</si>
  <si>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</si>
  <si>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</si>
  <si>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</si>
  <si>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</si>
  <si>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</si>
  <si>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</si>
  <si>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</si>
  <si>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</si>
  <si>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</si>
  <si>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</si>
  <si>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</si>
  <si>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</si>
  <si>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</si>
  <si>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</si>
  <si>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</si>
  <si>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</si>
  <si>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</si>
  <si>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</si>
  <si>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</si>
  <si>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</si>
  <si>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</si>
  <si>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</si>
  <si>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</si>
  <si>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</si>
  <si>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</si>
  <si>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</si>
  <si>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</si>
  <si>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</si>
  <si>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</si>
  <si>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</si>
  <si>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</si>
  <si>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</si>
  <si>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</si>
  <si>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</si>
  <si>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</si>
  <si>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</si>
  <si>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</si>
  <si>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</si>
  <si>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</si>
  <si>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</si>
  <si>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</si>
  <si>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</si>
  <si>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</si>
  <si>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</si>
  <si>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</si>
  <si>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</si>
  <si>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</si>
  <si>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</si>
  <si>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</si>
  <si>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</si>
  <si>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</si>
  <si>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</si>
  <si>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</si>
  <si>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</si>
  <si>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</si>
  <si>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</si>
  <si>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</si>
  <si>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</si>
  <si>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</si>
  <si>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</si>
  <si>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</si>
  <si>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</si>
  <si>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</si>
  <si>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</si>
  <si>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</si>
  <si>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</si>
  <si>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</si>
  <si>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</si>
  <si>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</si>
  <si>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</si>
  <si>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</si>
  <si>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</si>
  <si>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</si>
  <si>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</si>
  <si>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</si>
  <si>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</si>
  <si>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</si>
  <si>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</si>
  <si>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</si>
  <si>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</si>
  <si>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</si>
  <si>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</si>
  <si>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</si>
  <si>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</si>
  <si>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</si>
  <si>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</si>
  <si>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</si>
  <si>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</si>
  <si>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</si>
  <si>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</si>
  <si>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</si>
  <si>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</si>
  <si>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</si>
  <si>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</si>
  <si>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</si>
  <si>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</si>
  <si>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</si>
  <si>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</si>
  <si>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</si>
  <si>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</si>
  <si>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</si>
  <si>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</si>
  <si>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</si>
  <si>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</si>
  <si>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</si>
  <si>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</si>
  <si>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</si>
  <si>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</si>
  <si>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</si>
  <si>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</si>
  <si>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</si>
  <si>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</si>
  <si>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</si>
  <si>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</si>
  <si>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</si>
  <si>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</si>
  <si>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</si>
  <si>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</si>
  <si>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</si>
  <si>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</si>
  <si>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</si>
  <si>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</si>
  <si>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</si>
  <si>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</si>
  <si>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</si>
  <si>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</si>
  <si>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</si>
  <si>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</si>
  <si>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</si>
  <si>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</si>
  <si>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</si>
  <si>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</si>
  <si>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</si>
  <si>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</si>
  <si>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</si>
  <si>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</si>
  <si>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</si>
  <si>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</si>
  <si>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</si>
  <si>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</si>
  <si>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</si>
  <si>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</si>
  <si>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</si>
  <si>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</si>
  <si>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</si>
  <si>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</si>
  <si>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</si>
  <si>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</si>
  <si>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</si>
  <si>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</si>
  <si>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</si>
  <si>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</si>
  <si>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</si>
  <si>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</si>
  <si>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</si>
  <si>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</si>
  <si>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</si>
  <si>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</si>
  <si>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</si>
  <si>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</si>
  <si>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</si>
  <si>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</si>
  <si>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</si>
  <si>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</si>
  <si>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</si>
  <si>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</si>
  <si>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</si>
  <si>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</si>
  <si>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</si>
  <si>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</si>
  <si>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</si>
  <si>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</si>
  <si>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</si>
  <si>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</si>
  <si>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</si>
  <si>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</si>
  <si>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</si>
  <si>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</si>
  <si>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</si>
  <si>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</si>
  <si>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</si>
  <si>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</si>
  <si>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</si>
  <si>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</si>
  <si>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</si>
  <si>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</si>
  <si>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</si>
  <si>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</si>
  <si>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</si>
  <si>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</si>
  <si>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</si>
  <si>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</si>
  <si>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</si>
  <si>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</si>
  <si>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</si>
  <si>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</si>
  <si>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</si>
  <si>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</si>
  <si>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</si>
  <si>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</si>
  <si>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</si>
  <si>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</si>
  <si>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</si>
  <si>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</si>
  <si>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</si>
  <si>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</si>
  <si>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</si>
  <si>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</si>
  <si>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</si>
  <si>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</si>
  <si>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</si>
  <si>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</si>
  <si>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</si>
  <si>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</si>
  <si>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</si>
  <si>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</si>
  <si>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</si>
  <si>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</si>
  <si>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</si>
  <si>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</si>
  <si>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</si>
  <si>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</si>
  <si>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</si>
  <si>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</si>
  <si>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</si>
  <si>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</si>
  <si>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</si>
  <si>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</si>
  <si>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</si>
  <si>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</si>
  <si>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</si>
  <si>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</si>
  <si>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</si>
  <si>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</si>
  <si>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</si>
  <si>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</si>
  <si>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</si>
  <si>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</si>
  <si>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</si>
  <si>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</si>
  <si>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</si>
  <si>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</si>
  <si>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</si>
  <si>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</si>
  <si>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</si>
  <si>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</si>
  <si>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</si>
  <si>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</si>
  <si>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</si>
  <si>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</si>
  <si>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</si>
  <si>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</si>
  <si>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</si>
  <si>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</si>
  <si>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</si>
  <si>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</si>
  <si>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</si>
  <si>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</si>
  <si>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</si>
  <si>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</si>
  <si>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</si>
  <si>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</si>
  <si>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</si>
  <si>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</si>
  <si>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</si>
  <si>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</si>
  <si>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</si>
  <si>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</si>
  <si>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</si>
  <si>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</si>
  <si>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</si>
  <si>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</si>
  <si>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</si>
  <si>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</si>
  <si>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</si>
  <si>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</si>
  <si>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</si>
  <si>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</si>
  <si>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</si>
  <si>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</si>
  <si>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</si>
  <si>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</si>
  <si>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</si>
  <si>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</si>
  <si>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</si>
  <si>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</si>
  <si>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</si>
  <si>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</si>
  <si>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</si>
  <si>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</si>
  <si>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</si>
  <si>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</si>
  <si>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</si>
  <si>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</si>
  <si>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</si>
  <si>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</si>
  <si>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</si>
  <si>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</si>
  <si>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</si>
  <si>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</si>
  <si>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</si>
  <si>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</si>
  <si>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</si>
  <si>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</si>
  <si>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</si>
  <si>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</si>
  <si>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</si>
  <si>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</si>
  <si>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</si>
  <si>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</si>
  <si>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</si>
  <si>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</si>
  <si>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</si>
  <si>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</si>
  <si>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</si>
  <si>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</si>
  <si>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</si>
  <si>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</si>
  <si>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</si>
  <si>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</si>
  <si>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</si>
  <si>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</si>
  <si>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</si>
  <si>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</si>
  <si>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</si>
  <si>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</si>
  <si>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</si>
  <si>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</si>
  <si>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</si>
  <si>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</si>
  <si>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</si>
  <si>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</si>
  <si>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</si>
  <si>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</si>
  <si>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</si>
  <si>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</si>
  <si>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</si>
  <si>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</si>
  <si>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</si>
  <si>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</si>
  <si>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</si>
  <si>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</si>
  <si>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</si>
  <si>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</si>
  <si>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</si>
  <si>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</si>
  <si>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</si>
  <si>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</si>
  <si>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</si>
  <si>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</si>
  <si>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</si>
  <si>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</si>
  <si>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</si>
  <si>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</si>
  <si>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</si>
  <si>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</si>
  <si>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</si>
  <si>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</si>
  <si>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</si>
  <si>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</si>
  <si>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</si>
  <si>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</si>
  <si>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</si>
  <si>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</si>
  <si>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</si>
  <si>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</si>
  <si>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</si>
  <si>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</si>
  <si>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</si>
  <si>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</si>
  <si>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</si>
  <si>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</si>
  <si>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</si>
  <si>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</si>
  <si>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</si>
  <si>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</si>
  <si>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</si>
  <si>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</si>
  <si>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</si>
  <si>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</si>
  <si>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</si>
  <si>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</si>
  <si>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</si>
  <si>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</si>
  <si>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</si>
  <si>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</si>
  <si>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</si>
  <si>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</si>
  <si>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</si>
  <si>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</si>
  <si>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</si>
  <si>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</si>
  <si>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</si>
  <si>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</si>
  <si>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</si>
  <si>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</si>
  <si>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</si>
  <si>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</si>
  <si>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</si>
  <si>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</si>
  <si>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</si>
  <si>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</si>
  <si>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</si>
  <si>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</si>
  <si>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</si>
  <si>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</si>
  <si>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</si>
  <si>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</si>
  <si>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</si>
  <si>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</si>
  <si>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</si>
  <si>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</si>
  <si>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</si>
  <si>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</si>
  <si>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</si>
  <si>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</si>
  <si>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</si>
  <si>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</si>
  <si>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</si>
  <si>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</si>
  <si>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</si>
  <si>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</si>
  <si>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</si>
  <si>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</si>
  <si>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</si>
  <si>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</si>
  <si>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</si>
  <si>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</si>
  <si>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</si>
  <si>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</si>
  <si>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</si>
  <si>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</si>
  <si>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</si>
  <si>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</si>
  <si>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</si>
  <si>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</si>
  <si>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</si>
  <si>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</si>
  <si>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</si>
  <si>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</si>
  <si>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</si>
  <si>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</si>
  <si>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</si>
  <si>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</si>
  <si>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</si>
  <si>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</si>
  <si>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</si>
  <si>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</si>
  <si>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</si>
  <si>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</si>
  <si>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</si>
  <si>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</si>
  <si>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</si>
  <si>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</si>
  <si>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</si>
  <si>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</si>
  <si>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</si>
  <si>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</si>
  <si>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</si>
  <si>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</si>
  <si>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</si>
  <si>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</si>
  <si>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</si>
  <si>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</si>
  <si>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</si>
  <si>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</si>
  <si>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</si>
  <si>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</si>
  <si>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</si>
  <si>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</si>
  <si>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</si>
  <si>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</si>
  <si>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</si>
  <si>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</si>
  <si>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</si>
  <si>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</si>
  <si>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</si>
  <si>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</si>
  <si>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</si>
  <si>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</si>
  <si>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</si>
  <si>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</si>
  <si>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</si>
  <si>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</si>
  <si>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</si>
  <si>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</si>
  <si>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</si>
  <si>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</si>
  <si>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</si>
  <si>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</si>
  <si>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</si>
  <si>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</si>
  <si>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</si>
  <si>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</si>
  <si>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</si>
  <si>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</si>
  <si>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</si>
  <si>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</si>
  <si>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</si>
  <si>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</si>
  <si>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</si>
  <si>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</si>
  <si>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</si>
  <si>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</si>
  <si>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</si>
  <si>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</si>
  <si>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</si>
  <si>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</si>
  <si>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</si>
  <si>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</si>
  <si>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</si>
  <si>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</si>
  <si>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</si>
  <si>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</si>
  <si>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</si>
  <si>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</si>
  <si>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</si>
  <si>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</si>
  <si>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</si>
  <si>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</si>
  <si>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</si>
  <si>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</si>
  <si>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</si>
  <si>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</si>
  <si>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</si>
  <si>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</si>
  <si>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</si>
  <si>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</si>
  <si>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</si>
  <si>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</si>
  <si>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</si>
  <si>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</si>
  <si>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</si>
  <si>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</si>
  <si>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</si>
  <si>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</si>
  <si>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</si>
  <si>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</si>
  <si>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</si>
  <si>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</si>
  <si>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</si>
  <si>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</si>
  <si>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</si>
  <si>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</si>
  <si>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</si>
  <si>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</si>
  <si>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</si>
  <si>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</si>
  <si>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</si>
  <si>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</si>
  <si>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</si>
  <si>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</si>
  <si>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</si>
  <si>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</si>
  <si>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</si>
  <si>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</si>
  <si>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</si>
  <si>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</si>
  <si>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</si>
  <si>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</si>
  <si>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</si>
  <si>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</si>
  <si>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</si>
  <si>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</si>
  <si>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</si>
  <si>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</si>
  <si>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</si>
  <si>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</si>
  <si>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</si>
  <si>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</si>
  <si>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</si>
  <si>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</si>
  <si>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</si>
  <si>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</si>
  <si>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</si>
  <si>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</si>
  <si>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</si>
  <si>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</si>
  <si>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</si>
  <si>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</si>
  <si>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</si>
  <si>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</si>
  <si>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</si>
  <si>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</si>
  <si>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</si>
  <si>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</si>
  <si>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</si>
  <si>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</si>
  <si>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</si>
  <si>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</si>
  <si>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</si>
  <si>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</si>
  <si>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</si>
  <si>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</si>
  <si>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</si>
  <si>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</si>
  <si>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</si>
  <si>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</si>
  <si>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</si>
  <si>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</si>
  <si>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</si>
  <si>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</si>
  <si>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</si>
  <si>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</si>
  <si>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</si>
  <si>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</si>
  <si>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</si>
  <si>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</si>
  <si>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</si>
  <si>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</si>
  <si>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</si>
  <si>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</si>
  <si>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</si>
  <si>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</si>
  <si>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</si>
  <si>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</si>
  <si>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</si>
  <si>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</si>
  <si>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</si>
  <si>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</si>
  <si>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</si>
  <si>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</si>
  <si>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</si>
  <si>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</si>
  <si>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</si>
  <si>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</si>
  <si>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</si>
  <si>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</si>
  <si>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</si>
  <si>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</si>
  <si>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</si>
  <si>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</si>
  <si>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</si>
  <si>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</si>
  <si>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</si>
  <si>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</si>
  <si>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</si>
  <si>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</si>
  <si>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</si>
  <si>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</si>
  <si>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</si>
  <si>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</si>
  <si>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</si>
  <si>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</si>
  <si>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</si>
  <si>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</si>
  <si>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</si>
  <si>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</si>
  <si>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</si>
  <si>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</si>
  <si>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</si>
  <si>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</si>
  <si>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</si>
  <si>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</si>
  <si>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</si>
  <si>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</si>
  <si>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</si>
  <si>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</si>
  <si>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</si>
  <si>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</si>
  <si>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</si>
  <si>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</si>
  <si>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</si>
  <si>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</si>
  <si>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</si>
  <si>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</si>
  <si>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</si>
  <si>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</si>
  <si>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</si>
  <si>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</si>
  <si>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</si>
  <si>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</si>
  <si>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</si>
  <si>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</si>
  <si>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</si>
  <si>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</si>
  <si>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</si>
  <si>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</si>
  <si>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</si>
  <si>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</si>
  <si>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</si>
  <si>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</si>
  <si>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</si>
  <si>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</si>
  <si>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</si>
  <si>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</si>
  <si>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</si>
  <si>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</si>
  <si>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</si>
  <si>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</si>
  <si>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</si>
  <si>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</si>
  <si>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</si>
  <si>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</si>
  <si>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</si>
  <si>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</si>
  <si>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</si>
  <si>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</si>
  <si>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</si>
  <si>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</si>
  <si>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</si>
  <si>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</si>
  <si>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</si>
  <si>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</si>
  <si>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</si>
  <si>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</si>
  <si>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</si>
  <si>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</si>
  <si>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</si>
  <si>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</si>
  <si>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</si>
  <si>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</si>
  <si>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</si>
  <si>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</si>
  <si>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</si>
  <si>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</si>
  <si>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</si>
  <si>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</si>
  <si>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</si>
  <si>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</si>
  <si>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</si>
  <si>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</si>
  <si>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</si>
  <si>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</si>
  <si>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</si>
  <si>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</si>
  <si>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</si>
  <si>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</si>
  <si>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</si>
  <si>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</si>
  <si>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</si>
  <si>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</si>
  <si>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</si>
  <si>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</si>
  <si>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</si>
  <si>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</si>
  <si>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</si>
  <si>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</si>
  <si>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</si>
  <si>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</si>
  <si>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</si>
  <si>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</si>
  <si>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</si>
  <si>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</si>
  <si>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</si>
  <si>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</si>
  <si>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</si>
  <si>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</si>
  <si>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</si>
  <si>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</si>
  <si>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</si>
  <si>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</si>
  <si>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</si>
  <si>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</si>
  <si>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</si>
  <si>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</si>
  <si>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</si>
  <si>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</si>
  <si>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</si>
  <si>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</si>
  <si>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</si>
  <si>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</si>
  <si>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</si>
  <si>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</si>
  <si>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</si>
  <si>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</si>
  <si>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</si>
  <si>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</si>
  <si>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</si>
  <si>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</si>
  <si>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</si>
  <si>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</si>
  <si>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</si>
  <si>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</si>
  <si>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</si>
  <si>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</si>
  <si>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</si>
  <si>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</si>
  <si>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</si>
  <si>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</si>
  <si>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</si>
  <si>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</si>
  <si>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</si>
  <si>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</si>
  <si>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</si>
  <si>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</si>
  <si>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</si>
  <si>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</si>
  <si>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</si>
  <si>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</si>
  <si>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</si>
  <si>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</si>
  <si>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</si>
  <si>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</si>
  <si>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</si>
  <si>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</si>
  <si>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</si>
  <si>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</si>
  <si>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</si>
  <si>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</si>
  <si>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</si>
  <si>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</si>
  <si>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</si>
  <si>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</si>
  <si>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</si>
  <si>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</si>
  <si>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</si>
  <si>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</si>
  <si>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</si>
  <si>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</si>
  <si>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</si>
  <si>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</si>
  <si>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</si>
  <si>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</si>
  <si>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</si>
  <si>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</si>
  <si>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</si>
  <si>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</si>
  <si>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</si>
  <si>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</si>
  <si>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</si>
  <si>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</si>
  <si>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</si>
  <si>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</si>
  <si>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</si>
  <si>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</si>
  <si>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</si>
  <si>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</si>
  <si>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</si>
  <si>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</si>
  <si>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</si>
  <si>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</si>
  <si>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</si>
  <si>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</si>
  <si>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</si>
  <si>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</si>
  <si>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</si>
  <si>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</si>
  <si>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</si>
  <si>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</si>
  <si>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</si>
  <si>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</si>
  <si>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</si>
  <si>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</si>
  <si>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</si>
  <si>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</si>
  <si>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</si>
  <si>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</si>
  <si>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</si>
  <si>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</si>
  <si>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</si>
  <si>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</si>
  <si>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</si>
  <si>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</si>
  <si>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</si>
  <si>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</si>
  <si>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</si>
  <si>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</si>
  <si>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</si>
  <si>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</si>
  <si>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</si>
  <si>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</si>
  <si>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</si>
  <si>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</si>
  <si>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</si>
  <si>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</si>
  <si>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</si>
  <si>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</si>
  <si>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</si>
  <si>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</si>
  <si>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</si>
  <si>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</si>
  <si>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</si>
  <si>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</si>
  <si>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</si>
  <si>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</si>
  <si>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</si>
  <si>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</si>
  <si>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</si>
  <si>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</si>
  <si>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</si>
  <si>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</si>
  <si>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</si>
  <si>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</si>
  <si>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</si>
  <si>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</si>
  <si>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</si>
  <si>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</si>
  <si>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</si>
  <si>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</si>
  <si>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</si>
  <si>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</si>
  <si>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</si>
  <si>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</si>
  <si>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</si>
  <si>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</si>
  <si>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</si>
  <si>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</si>
  <si>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</si>
  <si>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</si>
  <si>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</si>
  <si>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</si>
  <si>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</si>
  <si>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</si>
  <si>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</si>
  <si>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</si>
  <si>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</si>
  <si>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</si>
  <si>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</si>
  <si>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</si>
  <si>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</si>
  <si>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</si>
  <si>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</si>
  <si>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</si>
  <si>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</si>
  <si>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</si>
  <si>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</si>
  <si>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</si>
  <si>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</si>
  <si>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</si>
  <si>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</si>
  <si>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</si>
  <si>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</si>
  <si>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</si>
  <si>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</si>
  <si>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</si>
  <si>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</si>
  <si>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</si>
  <si>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</si>
  <si>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</si>
  <si>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</si>
  <si>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</si>
  <si>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</si>
  <si>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</si>
  <si>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</si>
  <si>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</si>
  <si>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</si>
  <si>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</si>
  <si>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</si>
  <si>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</si>
  <si>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</si>
  <si>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</si>
  <si>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</si>
  <si>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</si>
  <si>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</si>
  <si>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</si>
  <si>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</si>
  <si>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</si>
  <si>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</si>
  <si>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</si>
  <si>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</si>
  <si>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</si>
  <si>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</si>
  <si>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</si>
  <si>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</si>
  <si>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</si>
  <si>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</si>
  <si>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</si>
  <si>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</si>
  <si>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</si>
  <si>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</si>
  <si>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</si>
  <si>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</si>
  <si>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</si>
  <si>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</si>
  <si>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</si>
  <si>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</si>
  <si>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</si>
  <si>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</si>
  <si>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</si>
  <si>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</si>
  <si>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</si>
  <si>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</si>
  <si>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</si>
  <si>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</si>
  <si>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</si>
  <si>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</si>
  <si>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</si>
  <si>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</si>
  <si>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</si>
  <si>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</si>
  <si>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</si>
  <si>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</si>
  <si>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</si>
  <si>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</si>
  <si>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</si>
  <si>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</si>
  <si>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</si>
  <si>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</si>
  <si>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</si>
  <si>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</si>
  <si>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</si>
  <si>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</si>
  <si>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</si>
  <si>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</si>
  <si>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</si>
  <si>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</si>
  <si>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</si>
  <si>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</si>
  <si>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</si>
  <si>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</si>
  <si>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</si>
  <si>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</si>
  <si>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</si>
  <si>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</si>
  <si>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</si>
  <si>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</si>
  <si>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</si>
  <si>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</si>
  <si>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</si>
  <si>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</si>
  <si>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</si>
  <si>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</si>
  <si>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</si>
  <si>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</si>
  <si>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</si>
  <si>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</si>
  <si>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</si>
  <si>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</si>
  <si>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</si>
  <si>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</si>
  <si>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</si>
  <si>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</si>
  <si>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</si>
  <si>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</si>
  <si>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</si>
  <si>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</si>
  <si>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</si>
  <si>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</si>
  <si>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</si>
  <si>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</si>
  <si>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</si>
  <si>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</si>
  <si>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</si>
  <si>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</si>
  <si>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</si>
  <si>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</si>
  <si>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</si>
  <si>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</si>
  <si>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</si>
  <si>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</si>
  <si>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</si>
  <si>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</si>
  <si>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</si>
  <si>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</si>
  <si>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</si>
  <si>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</si>
  <si>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</si>
  <si>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</si>
  <si>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</si>
  <si>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</si>
  <si>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</si>
  <si>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</si>
  <si>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</si>
  <si>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</si>
  <si>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</si>
  <si>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</si>
  <si>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</si>
  <si>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</si>
  <si>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</si>
  <si>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</si>
  <si>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</si>
  <si>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</si>
  <si>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</si>
  <si>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</si>
  <si>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</si>
  <si>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</si>
  <si>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</si>
  <si>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</si>
  <si>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</si>
  <si>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</si>
  <si>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</si>
  <si>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</si>
  <si>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</si>
  <si>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</si>
  <si>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</si>
  <si>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</si>
  <si>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</si>
  <si>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</si>
  <si>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</si>
  <si>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</si>
  <si>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</si>
  <si>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</si>
  <si>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</si>
  <si>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</si>
  <si>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</si>
  <si>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</si>
  <si>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</si>
  <si>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</si>
  <si>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</si>
  <si>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</si>
  <si>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</si>
  <si>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</si>
  <si>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</si>
  <si>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</si>
  <si>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</si>
  <si>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</si>
  <si>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</si>
  <si>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</si>
  <si>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</si>
  <si>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</si>
  <si>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</si>
  <si>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</si>
  <si>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</si>
  <si>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</si>
  <si>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</si>
  <si>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</si>
  <si>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</si>
  <si>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</si>
  <si>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</si>
  <si>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</si>
  <si>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</si>
  <si>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</si>
  <si>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</si>
  <si>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</si>
  <si>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</si>
  <si>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</si>
  <si>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</si>
  <si>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</si>
  <si>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</si>
  <si>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</si>
  <si>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</si>
  <si>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</si>
  <si>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</si>
  <si>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</si>
  <si>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</si>
  <si>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</si>
  <si>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</si>
  <si>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</si>
  <si>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</si>
  <si>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</si>
  <si>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</si>
  <si>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</si>
  <si>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</si>
  <si>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</si>
  <si>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</si>
  <si>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</si>
  <si>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</si>
  <si>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</si>
  <si>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</si>
  <si>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</si>
  <si>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</si>
  <si>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</si>
  <si>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</si>
  <si>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</si>
  <si>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</si>
  <si>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</si>
  <si>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</si>
  <si>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</si>
  <si>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</si>
  <si>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</si>
  <si>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</si>
  <si>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</si>
  <si>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</si>
  <si>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</si>
  <si>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</si>
  <si>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</si>
  <si>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</si>
  <si>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</si>
  <si>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</si>
  <si>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</si>
  <si>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</si>
  <si>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</si>
  <si>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</si>
  <si>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</si>
  <si>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</si>
  <si>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</si>
  <si>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</si>
  <si>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</si>
  <si>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</si>
  <si>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</si>
  <si>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</si>
  <si>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</si>
  <si>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</si>
  <si>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</si>
  <si>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</si>
  <si>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</si>
  <si>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</si>
  <si>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</si>
  <si>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</si>
  <si>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</si>
  <si>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</si>
  <si>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</si>
  <si>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</si>
  <si>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</si>
  <si>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</si>
  <si>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</si>
  <si>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</si>
  <si>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</si>
  <si>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</si>
  <si>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</si>
  <si>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</si>
  <si>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</si>
  <si>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</si>
  <si>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</si>
  <si>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</si>
  <si>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</si>
  <si>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</si>
  <si>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</si>
  <si>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</si>
  <si>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</si>
  <si>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</si>
  <si>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</si>
  <si>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</si>
  <si>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</si>
  <si>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</si>
  <si>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</si>
  <si>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</si>
  <si>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</si>
  <si>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</si>
  <si>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</si>
  <si>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</si>
  <si>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</si>
  <si>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</si>
  <si>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</si>
  <si>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</si>
  <si>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</si>
  <si>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</si>
  <si>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</si>
  <si>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</si>
  <si>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</si>
  <si>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</si>
  <si>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</si>
  <si>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</si>
  <si>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</si>
  <si>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</si>
  <si>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</si>
  <si>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</si>
  <si>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</si>
  <si>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</si>
  <si>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</si>
  <si>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</si>
  <si>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</si>
  <si>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</si>
  <si>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</si>
  <si>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</si>
  <si>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</si>
  <si>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</si>
  <si>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</si>
  <si>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</si>
  <si>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</si>
  <si>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</si>
  <si>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</si>
  <si>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</si>
  <si>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</si>
  <si>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</si>
  <si>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</si>
  <si>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</si>
  <si>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</si>
  <si>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</si>
  <si>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</si>
  <si>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</si>
  <si>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</si>
  <si>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</si>
  <si>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</si>
  <si>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</si>
  <si>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</si>
  <si>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</si>
  <si>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</si>
  <si>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</si>
  <si>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</si>
  <si>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</si>
  <si>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</si>
  <si>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</si>
  <si>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</si>
  <si>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</si>
  <si>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</si>
  <si>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</si>
  <si>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</si>
  <si>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</si>
  <si>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</si>
  <si>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</si>
  <si>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</si>
  <si>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</si>
  <si>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</si>
  <si>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</si>
  <si>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</si>
  <si>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</si>
  <si>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</si>
  <si>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</si>
  <si>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</si>
  <si>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</si>
  <si>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</si>
  <si>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</si>
  <si>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</si>
  <si>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</si>
  <si>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</si>
  <si>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</si>
  <si>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</si>
  <si>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</si>
  <si>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</si>
  <si>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</si>
  <si>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</si>
  <si>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</si>
  <si>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</si>
  <si>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</si>
  <si>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</si>
  <si>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</si>
  <si>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</si>
  <si>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</si>
  <si>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</si>
  <si>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</si>
  <si>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</si>
  <si>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</si>
  <si>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</si>
  <si>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</si>
  <si>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</si>
  <si>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</si>
  <si>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</si>
  <si>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</si>
  <si>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</si>
  <si>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</si>
  <si>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</si>
  <si>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</si>
  <si>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</si>
  <si>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</si>
  <si>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</si>
  <si>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</si>
  <si>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</si>
  <si>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</si>
  <si>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</si>
  <si>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</si>
  <si>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</si>
  <si>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</si>
  <si>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</si>
  <si>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</si>
  <si>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</si>
  <si>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</si>
  <si>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</si>
  <si>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</si>
  <si>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</si>
  <si>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</si>
  <si>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</si>
  <si>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</si>
  <si>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</si>
  <si>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</si>
  <si>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</si>
  <si>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</si>
  <si>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</si>
  <si>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</si>
  <si>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</si>
  <si>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</si>
  <si>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</si>
  <si>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</si>
  <si>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</si>
  <si>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</si>
  <si>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</si>
  <si>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</si>
  <si>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</si>
  <si>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</si>
  <si>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</si>
  <si>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</si>
  <si>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</si>
  <si>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</si>
  <si>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</si>
  <si>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</si>
  <si>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</si>
  <si>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</si>
  <si>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</si>
  <si>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</si>
  <si>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</si>
  <si>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</si>
  <si>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</si>
  <si>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</si>
  <si>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</si>
  <si>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</si>
  <si>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</si>
  <si>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</si>
  <si>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</si>
  <si>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</si>
  <si>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</si>
  <si>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</si>
  <si>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</si>
  <si>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</si>
  <si>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</si>
  <si>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</si>
  <si>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</si>
  <si>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</si>
  <si>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</si>
  <si>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</si>
  <si>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</si>
  <si>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</si>
  <si>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</si>
  <si>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</si>
  <si>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</si>
  <si>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</si>
  <si>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</si>
  <si>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</si>
  <si>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</si>
  <si>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</si>
  <si>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</si>
  <si>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</si>
  <si>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</si>
  <si>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</si>
  <si>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</si>
  <si>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</si>
  <si>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</si>
  <si>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</si>
  <si>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</si>
  <si>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</si>
  <si>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</si>
  <si>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</si>
  <si>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</si>
  <si>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</si>
  <si>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</si>
  <si>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</si>
  <si>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</si>
  <si>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</si>
  <si>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</si>
  <si>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</si>
  <si>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</si>
  <si>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</si>
  <si>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</si>
  <si>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</si>
  <si>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</si>
  <si>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</si>
  <si>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</si>
  <si>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</si>
  <si>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</si>
  <si>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</si>
  <si>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</si>
  <si>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</si>
  <si>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</si>
  <si>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</si>
  <si>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</si>
  <si>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</si>
  <si>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</si>
  <si>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</si>
  <si>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</si>
  <si>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</si>
  <si>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</si>
  <si>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</si>
  <si>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</si>
  <si>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</si>
  <si>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</si>
  <si>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</si>
  <si>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</si>
  <si>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</si>
  <si>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</si>
  <si>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</si>
  <si>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</si>
  <si>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</si>
  <si>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</si>
  <si>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</si>
  <si>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</si>
  <si>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</si>
  <si>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</si>
  <si>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</si>
  <si>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</si>
  <si>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</si>
  <si>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</si>
  <si>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</si>
  <si>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</si>
  <si>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</si>
  <si>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</si>
  <si>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</si>
  <si>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</si>
  <si>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</si>
  <si>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</si>
  <si>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</si>
  <si>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</si>
  <si>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</si>
  <si>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</si>
  <si>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</si>
  <si>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</si>
  <si>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</si>
  <si>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</si>
  <si>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</si>
  <si>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</si>
  <si>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</si>
  <si>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</si>
  <si>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</si>
  <si>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</si>
  <si>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</si>
  <si>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</si>
  <si>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</si>
  <si>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</si>
  <si>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</si>
  <si>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</si>
  <si>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</si>
  <si>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</si>
  <si>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</si>
  <si>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</si>
  <si>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</si>
  <si>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</si>
  <si>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</si>
  <si>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</si>
  <si>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</si>
  <si>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</si>
  <si>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</si>
  <si>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</si>
  <si>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</si>
  <si>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</si>
  <si>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</si>
  <si>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</si>
  <si>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</si>
  <si>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</si>
  <si>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</si>
  <si>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</si>
  <si>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</si>
  <si>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</si>
  <si>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</si>
  <si>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</si>
  <si>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</si>
  <si>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</si>
  <si>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</si>
  <si>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</si>
  <si>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</si>
  <si>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</si>
  <si>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</si>
  <si>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</si>
  <si>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</si>
  <si>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</si>
  <si>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</si>
  <si>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</si>
  <si>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</si>
  <si>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</si>
  <si>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</si>
  <si>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</si>
  <si>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</si>
  <si>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</si>
  <si>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</si>
  <si>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</si>
  <si>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</si>
  <si>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</si>
  <si>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</si>
  <si>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</si>
  <si>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</si>
  <si>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</si>
  <si>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</si>
  <si>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</si>
  <si>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</si>
  <si>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</si>
  <si>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</si>
  <si>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</si>
  <si>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</si>
  <si>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</si>
  <si>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</si>
  <si>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</si>
  <si>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</si>
  <si>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</si>
  <si>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</si>
  <si>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</si>
  <si>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</si>
  <si>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</si>
  <si>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</si>
  <si>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</si>
  <si>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</si>
  <si>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</si>
  <si>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</si>
  <si>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</si>
  <si>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</si>
  <si>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</si>
  <si>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</si>
  <si>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</si>
  <si>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</si>
  <si>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</si>
  <si>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</si>
  <si>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</si>
  <si>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</si>
  <si>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</si>
  <si>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</si>
  <si>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</si>
  <si>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</si>
  <si>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</si>
  <si>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</si>
  <si>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</si>
  <si>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</si>
  <si>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</si>
  <si>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</si>
  <si>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</si>
  <si>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</si>
  <si>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</si>
  <si>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</si>
  <si>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</si>
  <si>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</si>
  <si>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</si>
  <si>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</si>
  <si>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</si>
  <si>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</si>
  <si>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</si>
  <si>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</si>
  <si>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</si>
  <si>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</si>
  <si>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</si>
  <si>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</si>
  <si>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</si>
  <si>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</si>
  <si>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</si>
  <si>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</si>
  <si>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</si>
  <si>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</si>
  <si>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</si>
  <si>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</si>
  <si>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</si>
  <si>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</si>
  <si>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</si>
  <si>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</si>
  <si>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</si>
  <si>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</si>
  <si>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</si>
  <si>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</si>
  <si>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</si>
  <si>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</si>
  <si>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EDER, CASELLA &amp; CO.</t>
  </si>
  <si>
    <t>5400 WEST ELM STREET, SUITE 203</t>
  </si>
  <si>
    <t>MCHENRY</t>
  </si>
  <si>
    <t>IL</t>
  </si>
  <si>
    <t>815-344-1300</t>
  </si>
  <si>
    <t>815-344-1320</t>
  </si>
  <si>
    <t>066-005142</t>
  </si>
  <si>
    <t>CPAS@EDERCASELLA.COM</t>
  </si>
  <si>
    <t>US Department of Agriculture</t>
  </si>
  <si>
    <t>19-4299-00</t>
  </si>
  <si>
    <t xml:space="preserve">  Passed Through Illinois State Board of Education:</t>
  </si>
  <si>
    <t>18-4210-00</t>
  </si>
  <si>
    <t>19-4210-00</t>
  </si>
  <si>
    <t>18-4220-00</t>
  </si>
  <si>
    <t>19-4220-00</t>
  </si>
  <si>
    <t>N/A</t>
  </si>
  <si>
    <t xml:space="preserve">  Passed Through Department of Defense:</t>
  </si>
  <si>
    <t>** Project End Date 8/31</t>
  </si>
  <si>
    <t>* Project End Date 9/30</t>
  </si>
  <si>
    <t>Total Child Nutrition Cluster</t>
  </si>
  <si>
    <t>Subtotal SFDA "10"</t>
  </si>
  <si>
    <t>US Department of Education</t>
  </si>
  <si>
    <t>18-4625-00</t>
  </si>
  <si>
    <t xml:space="preserve">    Special Education - IDEA - Room and Board **</t>
  </si>
  <si>
    <t>19-4625-00</t>
  </si>
  <si>
    <t>18-4625-XC</t>
  </si>
  <si>
    <t xml:space="preserve">  Passed Through Special Education District of Lake County</t>
  </si>
  <si>
    <t xml:space="preserve">    Special Education - Grant to States</t>
  </si>
  <si>
    <t xml:space="preserve">    Special Education Grant to States</t>
  </si>
  <si>
    <t>18-4620-00</t>
  </si>
  <si>
    <t>19-4620-00</t>
  </si>
  <si>
    <t xml:space="preserve">    Special Education - Preschool</t>
  </si>
  <si>
    <t>18-4600-00</t>
  </si>
  <si>
    <t>19-4600-00</t>
  </si>
  <si>
    <t>Total Special Education Cluster</t>
  </si>
  <si>
    <t>18-4300-00</t>
  </si>
  <si>
    <t>19-4300-00</t>
  </si>
  <si>
    <t xml:space="preserve">    Title IVA - Student Support &amp; Academic Enrich</t>
  </si>
  <si>
    <t>18-4400-00</t>
  </si>
  <si>
    <t>19-4400-00</t>
  </si>
  <si>
    <t xml:space="preserve">    Title III - Immigrant Education Program (IEP) **</t>
  </si>
  <si>
    <t>18-4905-00</t>
  </si>
  <si>
    <t>19-4905-00</t>
  </si>
  <si>
    <t xml:space="preserve">    Title III - Lang Inst Prog - Limited Eng (LIPLEP) **</t>
  </si>
  <si>
    <t>18-4909-00</t>
  </si>
  <si>
    <t>19-4909-00</t>
  </si>
  <si>
    <t xml:space="preserve">    Title II - Teacher Quality </t>
  </si>
  <si>
    <t>18-4932-00</t>
  </si>
  <si>
    <t>Subtotal CFDA "84"</t>
  </si>
  <si>
    <t>US Department of Health and Family Services</t>
  </si>
  <si>
    <t>Healthcare and Family Services:</t>
  </si>
  <si>
    <t xml:space="preserve">    Medicaid Administrative Outreach</t>
  </si>
  <si>
    <t xml:space="preserve">  Passed Through Illinois Department of </t>
  </si>
  <si>
    <t>Subtotal CFDA "93"</t>
  </si>
  <si>
    <t>Total Federal Assistance</t>
  </si>
  <si>
    <t>19-4932-00</t>
  </si>
  <si>
    <t xml:space="preserve">    Title II - Teacher Quality **</t>
  </si>
  <si>
    <t>Rounding</t>
  </si>
  <si>
    <t xml:space="preserve">    Food Donations (M)</t>
  </si>
  <si>
    <t xml:space="preserve">    National School Lunch Program * (M)</t>
  </si>
  <si>
    <t xml:space="preserve">    School Breakfast Program * (M)</t>
  </si>
  <si>
    <t xml:space="preserve">    Title I - Low Income (M)</t>
  </si>
  <si>
    <t>2018-001</t>
  </si>
  <si>
    <t>X</t>
  </si>
  <si>
    <t>34-049-0730-04</t>
  </si>
  <si>
    <t>LAKE</t>
  </si>
  <si>
    <t>HAWTHORN SCHOOL DISTRICT NO. 73</t>
  </si>
  <si>
    <t>841 W END COURT</t>
  </si>
  <si>
    <t>VERNON HILLS</t>
  </si>
  <si>
    <t>SINGHA@HAWTHORN73.ORG</t>
  </si>
  <si>
    <t>KEVIN SMITH</t>
  </si>
  <si>
    <t>x</t>
  </si>
  <si>
    <t>GO BONDS SERIES 2002</t>
  </si>
  <si>
    <t>GO CAPITAL APPREC. SCHOOL BONDS SERIES 2004</t>
  </si>
  <si>
    <t>REFUNDING BONDS 2009A</t>
  </si>
  <si>
    <t>GO BONDS SERIES 2009B</t>
  </si>
  <si>
    <t>CAPITAL LEASE</t>
  </si>
  <si>
    <t>APPLE LEASING</t>
  </si>
  <si>
    <t>DELL LEASING</t>
  </si>
  <si>
    <t>ED-Instruction-Repairs &amp; Maint</t>
  </si>
  <si>
    <t>10-1000-300</t>
  </si>
  <si>
    <t>Impact Networking LLC</t>
  </si>
  <si>
    <t xml:space="preserve">ED-Bilingual-Software   </t>
  </si>
  <si>
    <t>Imagine Learning</t>
  </si>
  <si>
    <t>ED-Bilingual-Software</t>
  </si>
  <si>
    <t>Elevation Education Software</t>
  </si>
  <si>
    <t>ED-Testing-Professional Services</t>
  </si>
  <si>
    <t>10-2100-300</t>
  </si>
  <si>
    <t>ECRA</t>
  </si>
  <si>
    <t>Northwest Evaluation Association</t>
  </si>
  <si>
    <t>ED-School Resource Officer/Prof Serv</t>
  </si>
  <si>
    <t>Village of Vernon Hills</t>
  </si>
  <si>
    <t>ED-BOE-Legal</t>
  </si>
  <si>
    <t>10-2300-300</t>
  </si>
  <si>
    <t>Robbins Schwartz</t>
  </si>
  <si>
    <t>ED-BOE-Audit</t>
  </si>
  <si>
    <t>Eder, Casella, &amp; Co</t>
  </si>
  <si>
    <t>TORT-Workers Comp-Insurance</t>
  </si>
  <si>
    <t>80-2300-300</t>
  </si>
  <si>
    <t>CLIC</t>
  </si>
  <si>
    <t>Building-O&amp;M-Cleaning Service</t>
  </si>
  <si>
    <t>20-2540-300</t>
  </si>
  <si>
    <t>GCA Services Group</t>
  </si>
  <si>
    <t>Ed-Transportation-Prof Serv</t>
  </si>
  <si>
    <t>village of Vernon Hills</t>
  </si>
  <si>
    <t>TRANS-TRANS-Reg Trans</t>
  </si>
  <si>
    <t>40-2550-300</t>
  </si>
  <si>
    <t>Lakeside Transportation</t>
  </si>
  <si>
    <t>Safeway Transportation Services</t>
  </si>
  <si>
    <t>TRANS-TRANS-Special Ed</t>
  </si>
  <si>
    <t>Citicare Services</t>
  </si>
  <si>
    <t>All Ways Transportation Services</t>
  </si>
  <si>
    <t>Safeway Transportation</t>
  </si>
  <si>
    <t>TRANS-TRANS-Field Trips</t>
  </si>
  <si>
    <t>TRANS-TRANS-Athletic Field Trip</t>
  </si>
  <si>
    <t>First Student</t>
  </si>
  <si>
    <t>ED-Information Services-Internet</t>
  </si>
  <si>
    <t>10-2630-300</t>
  </si>
  <si>
    <t>Comcast</t>
  </si>
  <si>
    <t>10-2550-300</t>
  </si>
  <si>
    <t>NORTHERN ILLINOIS HEALTH INSURANCE PROGRAM</t>
  </si>
  <si>
    <t>IUPC ENERGY CONSORTIUM</t>
  </si>
  <si>
    <t>COLLECTIVE LIABILITY INSURANCE COOPERATIVE</t>
  </si>
  <si>
    <t>ISDLAF</t>
  </si>
  <si>
    <t>SPECIAL EDUCATION DISTRICT OF LAKE COUNTY</t>
  </si>
  <si>
    <t>JA WITH VERNON HILLS PARK DISTRICT FOR PROPERTY</t>
  </si>
  <si>
    <t>IGA WITH DISTRICT 75/79 FOR LINCOLN SCHOOL</t>
  </si>
  <si>
    <t>USE OF SEVERAL COOPERATIVES FOR PURCHASING</t>
  </si>
  <si>
    <t>JOINT BID WITH DISTRICTS 70/128 FOR BUSSING</t>
  </si>
  <si>
    <t>Page 9, Line 11 - Other Tax Levies</t>
  </si>
  <si>
    <t>SEDOL IMRF Tax Levy</t>
  </si>
  <si>
    <t>Page 10, Line 81 - Other District/School Activity Revenue</t>
  </si>
  <si>
    <t xml:space="preserve">Various Miscellaneous </t>
  </si>
  <si>
    <t xml:space="preserve">Page 15, Line 41 - Other Support Services - Pupils </t>
  </si>
  <si>
    <t>Director of Special Education &amp; Learning Disabled Program</t>
  </si>
  <si>
    <t>Page 16, Line 83 - Other Payments to In-State Govt. Units</t>
  </si>
  <si>
    <t>Early Childhood Block Grant</t>
  </si>
  <si>
    <t>Page 19, Line 237 - Other Support Services - Pupils</t>
  </si>
  <si>
    <t>Page 12, Line 168 - Other Restricted Revenue from State Sources</t>
  </si>
  <si>
    <t>Other Miscellaneous Stipends &amp; Field Trips</t>
  </si>
  <si>
    <t>Library Grant</t>
  </si>
  <si>
    <t>Refunding of Bonds</t>
  </si>
  <si>
    <t>Page 16, Line 73 - Other Support Services</t>
  </si>
  <si>
    <t xml:space="preserve">Training </t>
  </si>
  <si>
    <t>Page 18, Line 171 - Debt Services - Other</t>
  </si>
  <si>
    <t>Bond Issuance Costs &amp; Other Fees</t>
  </si>
  <si>
    <t>Page 23, Line 18 - Other Tax Receipts</t>
  </si>
  <si>
    <t>Page 24, Lines 31-34, Column G</t>
  </si>
  <si>
    <t>NONE</t>
  </si>
  <si>
    <r>
      <t xml:space="preserve">The accompanying Schedule of Expenditures of Federal Awards includes the federal grant activity of </t>
    </r>
    <r>
      <rPr>
        <b/>
        <sz val="9"/>
        <rFont val="Calibri"/>
        <family val="2"/>
        <scheme val="minor"/>
      </rPr>
      <t>HAWTHORN SCHOOL DISTRICT NO. 73</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</si>
  <si>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HAWTHORN SCHOOL DISTRICT NO. 73</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</si>
  <si>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HAWTHORN SCHOOL DISTRICT NO. 73</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</si>
  <si>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QUALIFIED</t>
  </si>
  <si>
    <t>CHILD NUTRITION CLUSTER</t>
  </si>
  <si>
    <t>TITLE I - LOW INCOME</t>
  </si>
  <si>
    <t>Management is responsible for the accuracy and completeness of all financial records.</t>
  </si>
  <si>
    <t>During the course of the audit, material misstatements of the financial statements were found resulting in adjusting entries.</t>
  </si>
  <si>
    <t>There were several material entries made to the financial records of the District.</t>
  </si>
  <si>
    <t>The financial records were materially misstated prior to the start of the audit.</t>
  </si>
  <si>
    <t>The District's control policies and procedures did not detect or prevent the misstatements.</t>
  </si>
  <si>
    <t>Management should develop a process to identify potential adjustments throughout the year and during the year-end reporting process to minimize potential adjustments by the auditor.</t>
  </si>
  <si>
    <t>Management plans to make all necessary adjusting entries prior to the start of the audit process.</t>
  </si>
  <si>
    <t>During the course of the audit,</t>
  </si>
  <si>
    <t xml:space="preserve"> material misstatements of the  material misstatements of the financial statements were
found resulting in adjusting entries.</t>
  </si>
  <si>
    <t>found resulting in adjusting entries.</t>
  </si>
  <si>
    <t>Management received this finding in the current year.</t>
  </si>
  <si>
    <t>2018-002</t>
  </si>
  <si>
    <t xml:space="preserve">the District did not complete the school lunch </t>
  </si>
  <si>
    <t>calculator for the fiscal year.</t>
  </si>
  <si>
    <t xml:space="preserve">During the course of the audit, it was noted that </t>
  </si>
  <si>
    <t>This grant requirement was completed in the current year.</t>
  </si>
  <si>
    <t>2018-003</t>
  </si>
  <si>
    <t xml:space="preserve">applications were not properly reviewed and </t>
  </si>
  <si>
    <t>approved.</t>
  </si>
  <si>
    <t>During the course of the audit, it was noted that</t>
  </si>
  <si>
    <t xml:space="preserve">some of the national school lunch program </t>
  </si>
  <si>
    <t>No issues related to applications were noted in the current year.</t>
  </si>
  <si>
    <t>UNMODIFIED</t>
  </si>
  <si>
    <t>19-4991-00</t>
  </si>
  <si>
    <t>Page 10, Line 107 - Other Local Revenues</t>
  </si>
  <si>
    <t xml:space="preserve">GO BONDS SERIES 2019B </t>
  </si>
  <si>
    <t>10.553 &amp; 10.555</t>
  </si>
  <si>
    <t>20. See Financial Statement findings in Section II of the Single Audit section of this AFR</t>
  </si>
  <si>
    <t>SECTION III - FEDERAL AWARD FINDINGS AND QUESTIONED COSTS</t>
  </si>
  <si>
    <r>
      <t>1. FINDING NUMBER:</t>
    </r>
    <r>
      <rPr>
        <b/>
        <vertAlign val="superscript"/>
        <sz val="8"/>
        <rFont val="Arial"/>
        <family val="2"/>
      </rPr>
      <t>14</t>
    </r>
  </si>
  <si>
    <t xml:space="preserve"> New</t>
  </si>
  <si>
    <t>Repeat from Prior year?</t>
  </si>
  <si>
    <t>3. Federal Program Name and Year:</t>
  </si>
  <si>
    <t>4. Project No.:</t>
  </si>
  <si>
    <t>5. CFDA No.:</t>
  </si>
  <si>
    <t>6. Passed Through:</t>
  </si>
  <si>
    <t>7. Federal Agency:</t>
  </si>
  <si>
    <t>8. Criteria or specific requirement (including statutory, regulatory, or other citation)</t>
  </si>
  <si>
    <r>
      <t>9. Condition</t>
    </r>
    <r>
      <rPr>
        <b/>
        <vertAlign val="superscript"/>
        <sz val="8"/>
        <rFont val="Arial"/>
        <family val="2"/>
      </rPr>
      <t>15</t>
    </r>
  </si>
  <si>
    <r>
      <t>10. Questioned Costs</t>
    </r>
    <r>
      <rPr>
        <b/>
        <vertAlign val="superscript"/>
        <sz val="8"/>
        <rFont val="Arial"/>
        <family val="2"/>
      </rPr>
      <t>16</t>
    </r>
  </si>
  <si>
    <r>
      <t>11. Context</t>
    </r>
    <r>
      <rPr>
        <b/>
        <vertAlign val="superscript"/>
        <sz val="8"/>
        <rFont val="Arial"/>
        <family val="2"/>
      </rPr>
      <t>17</t>
    </r>
  </si>
  <si>
    <t>12. Effect</t>
  </si>
  <si>
    <t>13. Cause</t>
  </si>
  <si>
    <t>14. Recommendation</t>
  </si>
  <si>
    <r>
      <t>15. Management's response</t>
    </r>
    <r>
      <rPr>
        <b/>
        <vertAlign val="superscript"/>
        <sz val="8"/>
        <rFont val="Arial"/>
        <family val="2"/>
      </rPr>
      <t>18</t>
    </r>
  </si>
  <si>
    <r>
      <t xml:space="preserve">14 </t>
    </r>
    <r>
      <rPr>
        <sz val="8"/>
        <rFont val="Arial"/>
        <family val="2"/>
      </rPr>
      <t xml:space="preserve"> See footnote 11.</t>
    </r>
  </si>
  <si>
    <r>
      <t>15</t>
    </r>
    <r>
      <rPr>
        <sz val="8"/>
        <rFont val="Arial"/>
        <family val="2"/>
      </rPr>
      <t xml:space="preserve">  Include facts that support the deficiency identified on the audit finding (§200.516 (b)(3)).</t>
    </r>
  </si>
  <si>
    <r>
      <t>16</t>
    </r>
    <r>
      <rPr>
        <sz val="8"/>
        <rFont val="Arial"/>
        <family val="2"/>
      </rPr>
      <t xml:space="preserve">  Identify questioned costs as required by §200.516 (a)(3 - 4).</t>
    </r>
  </si>
  <si>
    <r>
      <t xml:space="preserve">17   </t>
    </r>
    <r>
      <rPr>
        <sz val="8"/>
        <rFont val="Arial"/>
        <family val="2"/>
      </rPr>
      <t>See footnote 12.</t>
    </r>
  </si>
  <si>
    <r>
      <t>18</t>
    </r>
    <r>
      <rPr>
        <sz val="8"/>
        <rFont val="Arial"/>
        <family val="2"/>
      </rPr>
      <t xml:space="preserve">  To the extent practical, indicate when management does not agree with the finding, questioned cost, or both.</t>
    </r>
  </si>
  <si>
    <t>GO LIMITED TAX BONDS SERIES 2018</t>
  </si>
  <si>
    <t>GO REFUNDING BONDS SERIES 2019A</t>
  </si>
  <si>
    <t>Hawthorn CCSD 73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</si>
</sst>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_);\(#,##0\);&quot;– &quot;"/>
    <numFmt numFmtId="182" formatCode="#,##0_);\(#,##0\);&quot;–             &quot;"/>
    <numFmt numFmtId="183" formatCode="#,##0_);\(#,##0\);&quot;–  &quot;"/>
    <numFmt numFmtId="184" formatCode="#,##0_);\(#,##0\);&quot;–   &quot;"/>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 ;\(#,##0\);\-\ \ \ \ \ "/>
    <numFmt numFmtId="192" formatCode="#,##0.00_);\(#,##0.00\);&quot;–       &quot;"/>
    <numFmt numFmtId="193" formatCode="#,###,_);\(#,###,\);&quot;–   &quot;"/>
    <numFmt numFmtId="194" formatCode="#,##0_);\(#,##0\);&quot;—      &quot;"/>
    <numFmt numFmtId="195" formatCode="#,###,_);\(#,###,\);&quot;–  &quot;\ \ \ \ \ "/>
  </numFmts>
  <fonts count="19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color theme="1"/>
      <name val="Arial"/>
      <family val="2"/>
    </font>
    <font>
      <sz val="12"/>
      <name val="Arial"/>
      <family val="2"/>
    </font>
    <font>
      <b/>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10"/>
      <name val="Arial"/>
      <family val="2"/>
    </font>
    <font>
      <u/>
      <sz val="8"/>
      <color indexed="12"/>
      <name val="Arial"/>
      <family val="2"/>
    </font>
    <font>
      <sz val="12"/>
      <name val="Times"/>
      <family val="1"/>
    </font>
    <font>
      <sz val="10"/>
      <name val="Arial"/>
    </font>
    <font>
      <b/>
      <vertAlign val="superscript"/>
      <sz val="8"/>
      <name val="Arial"/>
      <family val="2"/>
    </font>
    <font>
      <b/>
      <sz val="11"/>
      <name val="Arial"/>
      <family val="2"/>
    </font>
    <font>
      <vertAlign val="superscript"/>
      <sz val="8"/>
      <name val="Arial"/>
      <family val="2"/>
    </font>
  </fonts>
  <fills count="6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7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top style="thin">
        <color indexed="55"/>
      </top>
      <bottom style="thin">
        <color indexed="64"/>
      </bottom>
      <diagonal/>
    </border>
  </borders>
  <cellStyleXfs count="6178">
    <xf numFmtId="0" fontId="0" fillId="0" borderId="0"/>
    <xf numFmtId="43" fontId="14" fillId="0" borderId="0" applyFont="0" applyFill="0" applyBorder="0" applyAlignment="0" applyProtection="0"/>
    <xf numFmtId="0" fontId="37" fillId="0" borderId="0" applyNumberFormat="0" applyFill="0" applyBorder="0" applyAlignment="0" applyProtection="0">
      <alignment vertical="top"/>
      <protection locked="0"/>
    </xf>
    <xf numFmtId="0" fontId="14" fillId="0" borderId="0"/>
    <xf numFmtId="0" fontId="5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9" fillId="0" borderId="0"/>
    <xf numFmtId="0" fontId="13" fillId="0" borderId="0"/>
    <xf numFmtId="0" fontId="56" fillId="0" borderId="0" applyNumberFormat="0" applyFill="0" applyBorder="0" applyAlignment="0" applyProtection="0"/>
    <xf numFmtId="0" fontId="12" fillId="0" borderId="0"/>
    <xf numFmtId="0" fontId="11"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14" fillId="0" borderId="0" applyAlignment="0"/>
    <xf numFmtId="181" fontId="163" fillId="0" borderId="0" applyFont="0" applyFill="0" applyBorder="0" applyAlignment="0" applyProtection="0"/>
    <xf numFmtId="182" fontId="163" fillId="0" borderId="0" applyFont="0" applyFill="0" applyBorder="0" applyAlignment="0" applyProtection="0"/>
    <xf numFmtId="43" fontId="14" fillId="0" borderId="0" applyAlignment="0"/>
    <xf numFmtId="0" fontId="6" fillId="0" borderId="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183" fontId="163" fillId="0" borderId="0" applyFont="0" applyFill="0" applyBorder="0" applyAlignment="0" applyProtection="0"/>
    <xf numFmtId="184" fontId="163" fillId="0" borderId="0" applyFont="0" applyFill="0" applyBorder="0" applyAlignment="0" applyProtection="0"/>
    <xf numFmtId="43" fontId="14" fillId="0" borderId="0" applyAlignment="0"/>
    <xf numFmtId="185" fontId="163" fillId="0" borderId="0" applyFont="0" applyFill="0" applyBorder="0" applyAlignment="0" applyProtection="0">
      <alignment horizontal="right"/>
    </xf>
    <xf numFmtId="186" fontId="163" fillId="0" borderId="0" applyFont="0" applyFill="0" applyBorder="0" applyAlignment="0" applyProtection="0"/>
    <xf numFmtId="187" fontId="163" fillId="0" borderId="0" applyFont="0" applyFill="0" applyBorder="0" applyAlignment="0" applyProtection="0">
      <alignment horizontal="right"/>
    </xf>
    <xf numFmtId="188" fontId="163" fillId="0" borderId="0" applyFont="0" applyFill="0" applyBorder="0" applyAlignment="0" applyProtection="0">
      <alignment horizontal="right"/>
    </xf>
    <xf numFmtId="189" fontId="163" fillId="0" borderId="0" applyFont="0" applyFill="0" applyBorder="0" applyAlignment="0" applyProtection="0">
      <alignment horizontal="right"/>
    </xf>
    <xf numFmtId="190" fontId="163" fillId="0" borderId="0" applyFont="0" applyFill="0" applyBorder="0" applyAlignment="0" applyProtection="0"/>
    <xf numFmtId="0" fontId="145" fillId="27" borderId="0" applyNumberFormat="0" applyBorder="0" applyAlignment="0" applyProtection="0"/>
    <xf numFmtId="0" fontId="145" fillId="27" borderId="0" applyNumberFormat="0" applyBorder="0" applyAlignment="0" applyProtection="0"/>
    <xf numFmtId="0" fontId="157" fillId="28" borderId="0" applyNumberFormat="0" applyBorder="0" applyAlignment="0" applyProtection="0"/>
    <xf numFmtId="0" fontId="157" fillId="29" borderId="0" applyNumberFormat="0" applyBorder="0" applyAlignment="0" applyProtection="0"/>
    <xf numFmtId="0" fontId="157" fillId="29" borderId="0" applyNumberFormat="0" applyBorder="0" applyAlignment="0" applyProtection="0"/>
    <xf numFmtId="0" fontId="157" fillId="29" borderId="0" applyNumberFormat="0" applyBorder="0" applyAlignment="0" applyProtection="0"/>
    <xf numFmtId="0" fontId="157" fillId="29" borderId="0" applyNumberFormat="0" applyBorder="0" applyAlignment="0" applyProtection="0"/>
    <xf numFmtId="0" fontId="157" fillId="29" borderId="0" applyNumberFormat="0" applyBorder="0" applyAlignment="0" applyProtection="0"/>
    <xf numFmtId="0" fontId="157" fillId="29" borderId="0" applyNumberFormat="0" applyBorder="0" applyAlignment="0" applyProtection="0"/>
    <xf numFmtId="0" fontId="145" fillId="30" borderId="0" applyNumberFormat="0" applyBorder="0" applyAlignment="0" applyProtection="0"/>
    <xf numFmtId="0" fontId="145" fillId="31" borderId="0" applyNumberFormat="0" applyBorder="0" applyAlignment="0" applyProtection="0"/>
    <xf numFmtId="0" fontId="157" fillId="32" borderId="0" applyNumberFormat="0" applyBorder="0" applyAlignment="0" applyProtection="0"/>
    <xf numFmtId="0" fontId="157" fillId="33" borderId="0" applyNumberFormat="0" applyBorder="0" applyAlignment="0" applyProtection="0"/>
    <xf numFmtId="0" fontId="157" fillId="33" borderId="0" applyNumberFormat="0" applyBorder="0" applyAlignment="0" applyProtection="0"/>
    <xf numFmtId="0" fontId="157" fillId="33" borderId="0" applyNumberFormat="0" applyBorder="0" applyAlignment="0" applyProtection="0"/>
    <xf numFmtId="0" fontId="157" fillId="33" borderId="0" applyNumberFormat="0" applyBorder="0" applyAlignment="0" applyProtection="0"/>
    <xf numFmtId="0" fontId="157" fillId="33" borderId="0" applyNumberFormat="0" applyBorder="0" applyAlignment="0" applyProtection="0"/>
    <xf numFmtId="0" fontId="157" fillId="33" borderId="0" applyNumberFormat="0" applyBorder="0" applyAlignment="0" applyProtection="0"/>
    <xf numFmtId="0" fontId="145" fillId="30" borderId="0" applyNumberFormat="0" applyBorder="0" applyAlignment="0" applyProtection="0"/>
    <xf numFmtId="0" fontId="145" fillId="34" borderId="0" applyNumberFormat="0" applyBorder="0" applyAlignment="0" applyProtection="0"/>
    <xf numFmtId="0" fontId="157" fillId="31" borderId="0" applyNumberFormat="0" applyBorder="0" applyAlignment="0" applyProtection="0"/>
    <xf numFmtId="0" fontId="157" fillId="32" borderId="0" applyNumberFormat="0" applyBorder="0" applyAlignment="0" applyProtection="0"/>
    <xf numFmtId="0" fontId="157" fillId="32" borderId="0" applyNumberFormat="0" applyBorder="0" applyAlignment="0" applyProtection="0"/>
    <xf numFmtId="0" fontId="157" fillId="32" borderId="0" applyNumberFormat="0" applyBorder="0" applyAlignment="0" applyProtection="0"/>
    <xf numFmtId="0" fontId="157" fillId="32" borderId="0" applyNumberFormat="0" applyBorder="0" applyAlignment="0" applyProtection="0"/>
    <xf numFmtId="0" fontId="157" fillId="32" borderId="0" applyNumberFormat="0" applyBorder="0" applyAlignment="0" applyProtection="0"/>
    <xf numFmtId="0" fontId="157" fillId="32" borderId="0" applyNumberFormat="0" applyBorder="0" applyAlignment="0" applyProtection="0"/>
    <xf numFmtId="0" fontId="145" fillId="27" borderId="0" applyNumberFormat="0" applyBorder="0" applyAlignment="0" applyProtection="0"/>
    <xf numFmtId="0" fontId="145" fillId="31" borderId="0" applyNumberFormat="0" applyBorder="0" applyAlignment="0" applyProtection="0"/>
    <xf numFmtId="0" fontId="157" fillId="31" borderId="0" applyNumberFormat="0" applyBorder="0" applyAlignment="0" applyProtection="0"/>
    <xf numFmtId="0" fontId="157" fillId="29" borderId="0" applyNumberFormat="0" applyBorder="0" applyAlignment="0" applyProtection="0"/>
    <xf numFmtId="0" fontId="157" fillId="29" borderId="0" applyNumberFormat="0" applyBorder="0" applyAlignment="0" applyProtection="0"/>
    <xf numFmtId="0" fontId="157" fillId="29" borderId="0" applyNumberFormat="0" applyBorder="0" applyAlignment="0" applyProtection="0"/>
    <xf numFmtId="0" fontId="157" fillId="29" borderId="0" applyNumberFormat="0" applyBorder="0" applyAlignment="0" applyProtection="0"/>
    <xf numFmtId="0" fontId="157" fillId="29" borderId="0" applyNumberFormat="0" applyBorder="0" applyAlignment="0" applyProtection="0"/>
    <xf numFmtId="0" fontId="157" fillId="29" borderId="0" applyNumberFormat="0" applyBorder="0" applyAlignment="0" applyProtection="0"/>
    <xf numFmtId="0" fontId="145" fillId="35" borderId="0" applyNumberFormat="0" applyBorder="0" applyAlignment="0" applyProtection="0"/>
    <xf numFmtId="0" fontId="145" fillId="27" borderId="0" applyNumberFormat="0" applyBorder="0" applyAlignment="0" applyProtection="0"/>
    <xf numFmtId="0" fontId="157" fillId="28" borderId="0" applyNumberFormat="0" applyBorder="0" applyAlignment="0" applyProtection="0"/>
    <xf numFmtId="0" fontId="157" fillId="36" borderId="0" applyNumberFormat="0" applyBorder="0" applyAlignment="0" applyProtection="0"/>
    <xf numFmtId="0" fontId="157" fillId="36" borderId="0" applyNumberFormat="0" applyBorder="0" applyAlignment="0" applyProtection="0"/>
    <xf numFmtId="0" fontId="157" fillId="36" borderId="0" applyNumberFormat="0" applyBorder="0" applyAlignment="0" applyProtection="0"/>
    <xf numFmtId="0" fontId="157" fillId="36" borderId="0" applyNumberFormat="0" applyBorder="0" applyAlignment="0" applyProtection="0"/>
    <xf numFmtId="0" fontId="157" fillId="36" borderId="0" applyNumberFormat="0" applyBorder="0" applyAlignment="0" applyProtection="0"/>
    <xf numFmtId="0" fontId="157" fillId="36" borderId="0" applyNumberFormat="0" applyBorder="0" applyAlignment="0" applyProtection="0"/>
    <xf numFmtId="0" fontId="145" fillId="30" borderId="0" applyNumberFormat="0" applyBorder="0" applyAlignment="0" applyProtection="0"/>
    <xf numFmtId="0" fontId="145" fillId="37" borderId="0" applyNumberFormat="0" applyBorder="0" applyAlignment="0" applyProtection="0"/>
    <xf numFmtId="0" fontId="157" fillId="37"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9" fillId="39" borderId="0" applyNumberFormat="0" applyBorder="0" applyAlignment="0" applyProtection="0"/>
    <xf numFmtId="0" fontId="159" fillId="39" borderId="0" applyNumberFormat="0" applyBorder="0" applyAlignment="0" applyProtection="0"/>
    <xf numFmtId="0" fontId="159" fillId="39" borderId="0" applyNumberFormat="0" applyBorder="0" applyAlignment="0" applyProtection="0"/>
    <xf numFmtId="0" fontId="159" fillId="39" borderId="0" applyNumberFormat="0" applyBorder="0" applyAlignment="0" applyProtection="0"/>
    <xf numFmtId="0" fontId="159" fillId="39" borderId="0" applyNumberFormat="0" applyBorder="0" applyAlignment="0" applyProtection="0"/>
    <xf numFmtId="0" fontId="159" fillId="39" borderId="0" applyNumberFormat="0" applyBorder="0" applyAlignment="0" applyProtection="0"/>
    <xf numFmtId="0" fontId="163" fillId="0" borderId="164" applyNumberFormat="0" applyFill="0" applyAlignment="0" applyProtection="0"/>
    <xf numFmtId="191" fontId="164" fillId="0" borderId="164" applyNumberFormat="0" applyFill="0" applyAlignment="0" applyProtection="0">
      <alignment horizontal="center"/>
    </xf>
    <xf numFmtId="191" fontId="164" fillId="0" borderId="78" applyFill="0" applyAlignment="0" applyProtection="0">
      <alignment horizontal="center"/>
    </xf>
    <xf numFmtId="0" fontId="160" fillId="40" borderId="1" applyNumberFormat="0" applyAlignment="0" applyProtection="0"/>
    <xf numFmtId="0" fontId="160" fillId="40" borderId="1" applyNumberFormat="0" applyAlignment="0" applyProtection="0"/>
    <xf numFmtId="0" fontId="160" fillId="40" borderId="1" applyNumberFormat="0" applyAlignment="0" applyProtection="0"/>
    <xf numFmtId="0" fontId="160" fillId="40" borderId="1" applyNumberFormat="0" applyAlignment="0" applyProtection="0"/>
    <xf numFmtId="0" fontId="160" fillId="40" borderId="1" applyNumberFormat="0" applyAlignment="0" applyProtection="0"/>
    <xf numFmtId="0" fontId="160" fillId="40" borderId="1" applyNumberFormat="0" applyAlignment="0" applyProtection="0"/>
    <xf numFmtId="0" fontId="154" fillId="32" borderId="165" applyNumberFormat="0" applyAlignment="0" applyProtection="0"/>
    <xf numFmtId="0" fontId="154" fillId="32" borderId="165" applyNumberFormat="0" applyAlignment="0" applyProtection="0"/>
    <xf numFmtId="0" fontId="154" fillId="32" borderId="165" applyNumberFormat="0" applyAlignment="0" applyProtection="0"/>
    <xf numFmtId="0" fontId="154" fillId="32" borderId="165" applyNumberFormat="0" applyAlignment="0" applyProtection="0"/>
    <xf numFmtId="0" fontId="154" fillId="32" borderId="165" applyNumberFormat="0" applyAlignment="0" applyProtection="0"/>
    <xf numFmtId="0" fontId="154" fillId="32" borderId="165" applyNumberFormat="0" applyAlignment="0" applyProtection="0"/>
    <xf numFmtId="0" fontId="165" fillId="0" borderId="0" applyProtection="0"/>
    <xf numFmtId="191" fontId="164" fillId="0" borderId="0" applyFill="0" applyBorder="0" applyProtection="0">
      <alignment horizontal="center"/>
    </xf>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5" fillId="0" borderId="0" applyFont="0" applyFill="0" applyBorder="0" applyAlignment="0" applyProtection="0"/>
    <xf numFmtId="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5" fontId="14" fillId="0" borderId="0" applyFont="0" applyFill="0" applyBorder="0" applyAlignment="0" applyProtection="0"/>
    <xf numFmtId="0" fontId="143" fillId="0" borderId="0" applyProtection="0"/>
    <xf numFmtId="192" fontId="163" fillId="0" borderId="0" applyFont="0" applyFill="0" applyBorder="0" applyAlignment="0" applyProtection="0"/>
    <xf numFmtId="191" fontId="164" fillId="0" borderId="166" applyNumberFormat="0" applyFill="0" applyAlignment="0" applyProtection="0"/>
    <xf numFmtId="0" fontId="163" fillId="0" borderId="166" applyNumberFormat="0" applyFill="0" applyAlignment="0" applyProtection="0"/>
    <xf numFmtId="0" fontId="156" fillId="41" borderId="0" applyNumberFormat="0" applyBorder="0" applyAlignment="0" applyProtection="0"/>
    <xf numFmtId="0" fontId="156" fillId="42" borderId="0" applyNumberFormat="0" applyBorder="0" applyAlignment="0" applyProtection="0"/>
    <xf numFmtId="0" fontId="156" fillId="43" borderId="0" applyNumberFormat="0" applyBorder="0" applyAlignment="0" applyProtection="0"/>
    <xf numFmtId="0" fontId="166" fillId="0" borderId="0" applyProtection="0"/>
    <xf numFmtId="0" fontId="15" fillId="0" borderId="0" applyProtection="0"/>
    <xf numFmtId="0" fontId="167" fillId="0" borderId="0" applyProtection="0"/>
    <xf numFmtId="0" fontId="168" fillId="0" borderId="0" applyProtection="0"/>
    <xf numFmtId="0" fontId="169" fillId="0" borderId="0" applyProtection="0"/>
    <xf numFmtId="0" fontId="170" fillId="0" borderId="0" applyProtection="0"/>
    <xf numFmtId="0" fontId="171" fillId="0" borderId="0" applyProtection="0"/>
    <xf numFmtId="2" fontId="143" fillId="0" borderId="0" applyProtection="0"/>
    <xf numFmtId="0" fontId="150" fillId="34" borderId="0" applyNumberFormat="0" applyBorder="0" applyAlignment="0" applyProtection="0"/>
    <xf numFmtId="0" fontId="150" fillId="34" borderId="0" applyNumberFormat="0" applyBorder="0" applyAlignment="0" applyProtection="0"/>
    <xf numFmtId="0" fontId="150" fillId="34" borderId="0" applyNumberFormat="0" applyBorder="0" applyAlignment="0" applyProtection="0"/>
    <xf numFmtId="0" fontId="150" fillId="34" borderId="0" applyNumberFormat="0" applyBorder="0" applyAlignment="0" applyProtection="0"/>
    <xf numFmtId="0" fontId="150" fillId="34" borderId="0" applyNumberFormat="0" applyBorder="0" applyAlignment="0" applyProtection="0"/>
    <xf numFmtId="0" fontId="150" fillId="34" borderId="0" applyNumberFormat="0" applyBorder="0" applyAlignment="0" applyProtection="0"/>
    <xf numFmtId="0" fontId="147" fillId="0" borderId="167" applyNumberFormat="0" applyFill="0" applyAlignment="0" applyProtection="0"/>
    <xf numFmtId="0" fontId="147" fillId="0" borderId="167" applyNumberFormat="0" applyFill="0" applyAlignment="0" applyProtection="0"/>
    <xf numFmtId="0" fontId="147" fillId="0" borderId="167" applyNumberFormat="0" applyFill="0" applyAlignment="0" applyProtection="0"/>
    <xf numFmtId="0" fontId="147" fillId="0" borderId="167" applyNumberFormat="0" applyFill="0" applyAlignment="0" applyProtection="0"/>
    <xf numFmtId="0" fontId="147" fillId="0" borderId="167" applyNumberFormat="0" applyFill="0" applyAlignment="0" applyProtection="0"/>
    <xf numFmtId="0" fontId="147" fillId="0" borderId="167" applyNumberFormat="0" applyFill="0" applyAlignment="0" applyProtection="0"/>
    <xf numFmtId="0" fontId="148" fillId="0" borderId="168" applyNumberFormat="0" applyFill="0" applyAlignment="0" applyProtection="0"/>
    <xf numFmtId="0" fontId="148" fillId="0" borderId="168" applyNumberFormat="0" applyFill="0" applyAlignment="0" applyProtection="0"/>
    <xf numFmtId="0" fontId="148" fillId="0" borderId="168" applyNumberFormat="0" applyFill="0" applyAlignment="0" applyProtection="0"/>
    <xf numFmtId="0" fontId="148" fillId="0" borderId="168" applyNumberFormat="0" applyFill="0" applyAlignment="0" applyProtection="0"/>
    <xf numFmtId="0" fontId="148" fillId="0" borderId="168" applyNumberFormat="0" applyFill="0" applyAlignment="0" applyProtection="0"/>
    <xf numFmtId="0" fontId="148" fillId="0" borderId="168" applyNumberFormat="0" applyFill="0" applyAlignment="0" applyProtection="0"/>
    <xf numFmtId="0" fontId="149" fillId="0" borderId="169" applyNumberFormat="0" applyFill="0" applyAlignment="0" applyProtection="0"/>
    <xf numFmtId="0" fontId="149" fillId="0" borderId="169" applyNumberFormat="0" applyFill="0" applyAlignment="0" applyProtection="0"/>
    <xf numFmtId="0" fontId="149" fillId="0" borderId="169" applyNumberFormat="0" applyFill="0" applyAlignment="0" applyProtection="0"/>
    <xf numFmtId="0" fontId="149" fillId="0" borderId="169" applyNumberFormat="0" applyFill="0" applyAlignment="0" applyProtection="0"/>
    <xf numFmtId="0" fontId="149" fillId="0" borderId="169" applyNumberFormat="0" applyFill="0" applyAlignment="0" applyProtection="0"/>
    <xf numFmtId="0" fontId="149" fillId="0" borderId="169"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72" fillId="0" borderId="0" applyProtection="0"/>
    <xf numFmtId="0" fontId="144" fillId="0" borderId="0" applyProtection="0"/>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193" fontId="163" fillId="0" borderId="0" applyFont="0" applyFill="0" applyBorder="0" applyAlignment="0" applyProtection="0"/>
    <xf numFmtId="0" fontId="152" fillId="37" borderId="1" applyNumberFormat="0" applyAlignment="0" applyProtection="0"/>
    <xf numFmtId="0" fontId="152" fillId="37" borderId="1" applyNumberFormat="0" applyAlignment="0" applyProtection="0"/>
    <xf numFmtId="0" fontId="152" fillId="37" borderId="1" applyNumberFormat="0" applyAlignment="0" applyProtection="0"/>
    <xf numFmtId="0" fontId="152" fillId="37" borderId="1" applyNumberFormat="0" applyAlignment="0" applyProtection="0"/>
    <xf numFmtId="0" fontId="152" fillId="37" borderId="1" applyNumberFormat="0" applyAlignment="0" applyProtection="0"/>
    <xf numFmtId="0" fontId="152" fillId="37" borderId="1" applyNumberFormat="0" applyAlignment="0" applyProtection="0"/>
    <xf numFmtId="0" fontId="161" fillId="0" borderId="170" applyNumberFormat="0" applyFill="0" applyAlignment="0" applyProtection="0"/>
    <xf numFmtId="0" fontId="161" fillId="0" borderId="170" applyNumberFormat="0" applyFill="0" applyAlignment="0" applyProtection="0"/>
    <xf numFmtId="0" fontId="161" fillId="0" borderId="170" applyNumberFormat="0" applyFill="0" applyAlignment="0" applyProtection="0"/>
    <xf numFmtId="0" fontId="161" fillId="0" borderId="170" applyNumberFormat="0" applyFill="0" applyAlignment="0" applyProtection="0"/>
    <xf numFmtId="0" fontId="161" fillId="0" borderId="170" applyNumberFormat="0" applyFill="0" applyAlignment="0" applyProtection="0"/>
    <xf numFmtId="0" fontId="161" fillId="0" borderId="170" applyNumberFormat="0" applyFill="0" applyAlignment="0" applyProtection="0"/>
    <xf numFmtId="0" fontId="151" fillId="44" borderId="0" applyNumberFormat="0" applyBorder="0" applyAlignment="0" applyProtection="0"/>
    <xf numFmtId="0" fontId="151" fillId="44" borderId="0" applyNumberFormat="0" applyBorder="0" applyAlignment="0" applyProtection="0"/>
    <xf numFmtId="0" fontId="151" fillId="44" borderId="0" applyNumberFormat="0" applyBorder="0" applyAlignment="0" applyProtection="0"/>
    <xf numFmtId="0" fontId="151" fillId="44" borderId="0" applyNumberFormat="0" applyBorder="0" applyAlignment="0" applyProtection="0"/>
    <xf numFmtId="0" fontId="151" fillId="44" borderId="0" applyNumberFormat="0" applyBorder="0" applyAlignment="0" applyProtection="0"/>
    <xf numFmtId="0" fontId="151" fillId="44" borderId="0" applyNumberFormat="0" applyBorder="0" applyAlignment="0" applyProtection="0"/>
    <xf numFmtId="0" fontId="164" fillId="0" borderId="0" applyNumberFormat="0" applyFill="0" applyAlignment="0" applyProtection="0"/>
    <xf numFmtId="0" fontId="14" fillId="0" borderId="0"/>
    <xf numFmtId="0" fontId="14" fillId="0" borderId="0"/>
    <xf numFmtId="0" fontId="14" fillId="0" borderId="0"/>
    <xf numFmtId="0" fontId="14" fillId="0" borderId="0"/>
    <xf numFmtId="0" fontId="6" fillId="0" borderId="0"/>
    <xf numFmtId="0" fontId="142" fillId="0" borderId="0"/>
    <xf numFmtId="0" fontId="14" fillId="30" borderId="2" applyNumberFormat="0" applyFont="0" applyAlignment="0" applyProtection="0"/>
    <xf numFmtId="0" fontId="14" fillId="30" borderId="2" applyNumberFormat="0" applyFont="0" applyAlignment="0" applyProtection="0"/>
    <xf numFmtId="0" fontId="14" fillId="30" borderId="2" applyNumberFormat="0" applyFont="0" applyAlignment="0" applyProtection="0"/>
    <xf numFmtId="0" fontId="14" fillId="30" borderId="2" applyNumberFormat="0" applyFont="0" applyAlignment="0" applyProtection="0"/>
    <xf numFmtId="0" fontId="14" fillId="30" borderId="2" applyNumberFormat="0" applyFont="0" applyAlignment="0" applyProtection="0"/>
    <xf numFmtId="0" fontId="14" fillId="30" borderId="2" applyNumberFormat="0" applyFont="0" applyAlignment="0" applyProtection="0"/>
    <xf numFmtId="194" fontId="164" fillId="0" borderId="0" applyFill="0" applyBorder="0" applyProtection="0">
      <alignment horizontal="right"/>
    </xf>
    <xf numFmtId="0" fontId="153" fillId="40" borderId="171" applyNumberFormat="0" applyAlignment="0" applyProtection="0"/>
    <xf numFmtId="0" fontId="153" fillId="40" borderId="171" applyNumberFormat="0" applyAlignment="0" applyProtection="0"/>
    <xf numFmtId="0" fontId="153" fillId="40" borderId="171" applyNumberFormat="0" applyAlignment="0" applyProtection="0"/>
    <xf numFmtId="0" fontId="153" fillId="40" borderId="171" applyNumberFormat="0" applyAlignment="0" applyProtection="0"/>
    <xf numFmtId="0" fontId="153" fillId="40" borderId="171" applyNumberFormat="0" applyAlignment="0" applyProtection="0"/>
    <xf numFmtId="0" fontId="153" fillId="40" borderId="171" applyNumberFormat="0" applyAlignment="0" applyProtection="0"/>
    <xf numFmtId="195" fontId="164" fillId="0" borderId="0" applyProtection="0"/>
    <xf numFmtId="0" fontId="146" fillId="0" borderId="0" applyNumberFormat="0" applyFill="0" applyBorder="0" applyAlignment="0" applyProtection="0"/>
    <xf numFmtId="0" fontId="164" fillId="0" borderId="78" applyNumberFormat="0" applyFill="0" applyAlignment="0" applyProtection="0"/>
    <xf numFmtId="8" fontId="173" fillId="0" borderId="0" applyNumberFormat="0" applyFill="0" applyBorder="0" applyAlignment="0" applyProtection="0"/>
    <xf numFmtId="0" fontId="162" fillId="0" borderId="0" applyNumberFormat="0" applyBorder="0" applyAlignment="0"/>
    <xf numFmtId="0" fontId="174" fillId="0" borderId="0" applyNumberFormat="0" applyBorder="0" applyAlignment="0"/>
    <xf numFmtId="0" fontId="163" fillId="0" borderId="172" applyNumberFormat="0" applyFont="0" applyFill="0" applyAlignment="0" applyProtection="0"/>
    <xf numFmtId="0" fontId="163" fillId="0" borderId="173" applyNumberFormat="0" applyFont="0" applyFill="0" applyAlignment="0" applyProtection="0"/>
    <xf numFmtId="0" fontId="163" fillId="0" borderId="141" applyNumberFormat="0" applyFon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2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2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2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33"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33"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33"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32"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32"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32"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29"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29"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29"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36"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36"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36"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38"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38"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38"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59" fillId="39"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59" fillId="39"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59" fillId="39"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60" fillId="40"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60" fillId="40"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60" fillId="40"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54" fillId="64" borderId="165" applyNumberFormat="0" applyAlignment="0" applyProtection="0"/>
    <xf numFmtId="0" fontId="154" fillId="64" borderId="165" applyNumberFormat="0" applyAlignment="0" applyProtection="0"/>
    <xf numFmtId="0" fontId="154" fillId="64" borderId="165" applyNumberFormat="0" applyAlignment="0" applyProtection="0"/>
    <xf numFmtId="0" fontId="154" fillId="64" borderId="165" applyNumberFormat="0" applyAlignment="0" applyProtection="0"/>
    <xf numFmtId="0" fontId="154" fillId="64" borderId="165" applyNumberFormat="0" applyAlignment="0" applyProtection="0"/>
    <xf numFmtId="0" fontId="154" fillId="64" borderId="165" applyNumberFormat="0" applyAlignment="0" applyProtection="0"/>
    <xf numFmtId="0" fontId="154" fillId="64" borderId="165" applyNumberFormat="0" applyAlignment="0" applyProtection="0"/>
    <xf numFmtId="0" fontId="154" fillId="64" borderId="165" applyNumberFormat="0" applyAlignment="0" applyProtection="0"/>
    <xf numFmtId="0" fontId="154" fillId="64" borderId="165" applyNumberFormat="0" applyAlignment="0" applyProtection="0"/>
    <xf numFmtId="0" fontId="154" fillId="64" borderId="165" applyNumberFormat="0" applyAlignment="0" applyProtection="0"/>
    <xf numFmtId="0" fontId="154" fillId="32" borderId="165" applyNumberFormat="0" applyAlignment="0" applyProtection="0"/>
    <xf numFmtId="0" fontId="154" fillId="64" borderId="165" applyNumberFormat="0" applyAlignment="0" applyProtection="0"/>
    <xf numFmtId="0" fontId="154" fillId="64" borderId="165" applyNumberFormat="0" applyAlignment="0" applyProtection="0"/>
    <xf numFmtId="0" fontId="154" fillId="64" borderId="165" applyNumberFormat="0" applyAlignment="0" applyProtection="0"/>
    <xf numFmtId="0" fontId="154" fillId="64" borderId="165" applyNumberFormat="0" applyAlignment="0" applyProtection="0"/>
    <xf numFmtId="0" fontId="154" fillId="64" borderId="165" applyNumberFormat="0" applyAlignment="0" applyProtection="0"/>
    <xf numFmtId="0" fontId="154" fillId="64" borderId="165" applyNumberFormat="0" applyAlignment="0" applyProtection="0"/>
    <xf numFmtId="0" fontId="154" fillId="64" borderId="165" applyNumberFormat="0" applyAlignment="0" applyProtection="0"/>
    <xf numFmtId="0" fontId="154" fillId="64" borderId="165" applyNumberFormat="0" applyAlignment="0" applyProtection="0"/>
    <xf numFmtId="0" fontId="154" fillId="64" borderId="165" applyNumberFormat="0" applyAlignment="0" applyProtection="0"/>
    <xf numFmtId="0" fontId="154" fillId="64" borderId="165" applyNumberFormat="0" applyAlignment="0" applyProtection="0"/>
    <xf numFmtId="0" fontId="154" fillId="32" borderId="165" applyNumberFormat="0" applyAlignment="0" applyProtection="0"/>
    <xf numFmtId="0" fontId="154" fillId="64" borderId="165" applyNumberFormat="0" applyAlignment="0" applyProtection="0"/>
    <xf numFmtId="0" fontId="154" fillId="64" borderId="165" applyNumberFormat="0" applyAlignment="0" applyProtection="0"/>
    <xf numFmtId="0" fontId="154" fillId="64" borderId="165" applyNumberFormat="0" applyAlignment="0" applyProtection="0"/>
    <xf numFmtId="0" fontId="154" fillId="64" borderId="165" applyNumberFormat="0" applyAlignment="0" applyProtection="0"/>
    <xf numFmtId="0" fontId="154" fillId="64" borderId="165" applyNumberFormat="0" applyAlignment="0" applyProtection="0"/>
    <xf numFmtId="0" fontId="154" fillId="64" borderId="165" applyNumberFormat="0" applyAlignment="0" applyProtection="0"/>
    <xf numFmtId="0" fontId="154" fillId="32" borderId="165" applyNumberFormat="0" applyAlignment="0" applyProtection="0"/>
    <xf numFmtId="0" fontId="154" fillId="64" borderId="165" applyNumberFormat="0" applyAlignment="0" applyProtection="0"/>
    <xf numFmtId="0" fontId="154" fillId="64" borderId="165" applyNumberFormat="0" applyAlignment="0" applyProtection="0"/>
    <xf numFmtId="0" fontId="154" fillId="64" borderId="165" applyNumberFormat="0" applyAlignment="0" applyProtection="0"/>
    <xf numFmtId="0" fontId="154" fillId="64" borderId="165" applyNumberFormat="0" applyAlignment="0" applyProtection="0"/>
    <xf numFmtId="0" fontId="154" fillId="64" borderId="165" applyNumberFormat="0" applyAlignment="0" applyProtection="0"/>
    <xf numFmtId="0" fontId="154" fillId="64" borderId="165" applyNumberFormat="0" applyAlignment="0" applyProtection="0"/>
    <xf numFmtId="0" fontId="154" fillId="64" borderId="165" applyNumberFormat="0" applyAlignment="0" applyProtection="0"/>
    <xf numFmtId="0" fontId="154" fillId="64" borderId="165" applyNumberFormat="0" applyAlignment="0" applyProtection="0"/>
    <xf numFmtId="0" fontId="154" fillId="64" borderId="165" applyNumberFormat="0" applyAlignment="0" applyProtection="0"/>
    <xf numFmtId="0" fontId="154" fillId="64" borderId="165" applyNumberFormat="0" applyAlignment="0" applyProtection="0"/>
    <xf numFmtId="0" fontId="154" fillId="64" borderId="165" applyNumberFormat="0" applyAlignment="0" applyProtection="0"/>
    <xf numFmtId="0" fontId="154" fillId="64" borderId="165" applyNumberFormat="0" applyAlignment="0" applyProtection="0"/>
    <xf numFmtId="0" fontId="154" fillId="64" borderId="165" applyNumberFormat="0" applyAlignment="0" applyProtection="0"/>
    <xf numFmtId="0" fontId="154" fillId="64" borderId="165" applyNumberFormat="0" applyAlignment="0" applyProtection="0"/>
    <xf numFmtId="0" fontId="154" fillId="64" borderId="165" applyNumberFormat="0" applyAlignment="0" applyProtection="0"/>
    <xf numFmtId="0" fontId="154" fillId="64" borderId="165" applyNumberFormat="0" applyAlignment="0" applyProtection="0"/>
    <xf numFmtId="0" fontId="154" fillId="64" borderId="165" applyNumberFormat="0" applyAlignment="0" applyProtection="0"/>
    <xf numFmtId="0" fontId="154" fillId="64" borderId="165" applyNumberFormat="0" applyAlignment="0" applyProtection="0"/>
    <xf numFmtId="0" fontId="154" fillId="64" borderId="165" applyNumberFormat="0" applyAlignment="0" applyProtection="0"/>
    <xf numFmtId="0" fontId="154" fillId="64" borderId="165" applyNumberFormat="0" applyAlignment="0" applyProtection="0"/>
    <xf numFmtId="0" fontId="154" fillId="64" borderId="165" applyNumberFormat="0" applyAlignment="0" applyProtection="0"/>
    <xf numFmtId="0" fontId="154" fillId="64" borderId="165" applyNumberFormat="0" applyAlignment="0" applyProtection="0"/>
    <xf numFmtId="0" fontId="154" fillId="64" borderId="165" applyNumberFormat="0" applyAlignment="0" applyProtection="0"/>
    <xf numFmtId="0" fontId="154" fillId="64" borderId="165" applyNumberFormat="0" applyAlignment="0" applyProtection="0"/>
    <xf numFmtId="0" fontId="154" fillId="64" borderId="165" applyNumberForma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34"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34"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34"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47" fillId="0" borderId="167"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47" fillId="0" borderId="167"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47" fillId="0" borderId="167"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48"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48"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48"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49" fillId="0" borderId="169"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49" fillId="0" borderId="169"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49" fillId="0" borderId="169"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49"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49"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49"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37"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37"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37"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6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6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6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44"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44"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44"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142" fillId="0" borderId="0"/>
    <xf numFmtId="0" fontId="14" fillId="0" borderId="0"/>
    <xf numFmtId="0" fontId="14" fillId="0" borderId="0"/>
    <xf numFmtId="0" fontId="14" fillId="0" borderId="0"/>
    <xf numFmtId="0" fontId="14" fillId="0" borderId="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30"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30"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30"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40"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40"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40"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6" fillId="0" borderId="0"/>
    <xf numFmtId="0" fontId="14" fillId="0" borderId="0"/>
    <xf numFmtId="43" fontId="6" fillId="0" borderId="0" applyFont="0" applyFill="0" applyBorder="0" applyAlignment="0" applyProtection="0"/>
    <xf numFmtId="5" fontId="14" fillId="0" borderId="0" applyFont="0" applyFill="0" applyBorder="0" applyAlignment="0" applyProtection="0"/>
    <xf numFmtId="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6" fillId="0" borderId="0"/>
    <xf numFmtId="0" fontId="6" fillId="0" borderId="0"/>
    <xf numFmtId="0" fontId="55" fillId="0" borderId="0"/>
    <xf numFmtId="0" fontId="6" fillId="0" borderId="0"/>
    <xf numFmtId="43" fontId="6" fillId="0" borderId="0" applyFont="0" applyFill="0" applyBorder="0" applyAlignment="0" applyProtection="0"/>
    <xf numFmtId="0" fontId="6" fillId="0" borderId="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60" fillId="40" borderId="1" applyNumberFormat="0" applyAlignment="0" applyProtection="0"/>
    <xf numFmtId="0" fontId="160" fillId="40" borderId="1" applyNumberFormat="0" applyAlignment="0" applyProtection="0"/>
    <xf numFmtId="0" fontId="160" fillId="40" borderId="1" applyNumberFormat="0" applyAlignment="0" applyProtection="0"/>
    <xf numFmtId="0" fontId="160" fillId="40" borderId="1" applyNumberFormat="0" applyAlignment="0" applyProtection="0"/>
    <xf numFmtId="0" fontId="160" fillId="40" borderId="1" applyNumberFormat="0" applyAlignment="0" applyProtection="0"/>
    <xf numFmtId="0" fontId="160" fillId="40" borderId="1" applyNumberFormat="0" applyAlignment="0" applyProtection="0"/>
    <xf numFmtId="0" fontId="152" fillId="37" borderId="1" applyNumberFormat="0" applyAlignment="0" applyProtection="0"/>
    <xf numFmtId="0" fontId="152" fillId="37" borderId="1" applyNumberFormat="0" applyAlignment="0" applyProtection="0"/>
    <xf numFmtId="0" fontId="152" fillId="37" borderId="1" applyNumberFormat="0" applyAlignment="0" applyProtection="0"/>
    <xf numFmtId="0" fontId="152" fillId="37" borderId="1" applyNumberFormat="0" applyAlignment="0" applyProtection="0"/>
    <xf numFmtId="0" fontId="152" fillId="37" borderId="1" applyNumberFormat="0" applyAlignment="0" applyProtection="0"/>
    <xf numFmtId="0" fontId="152" fillId="37" borderId="1" applyNumberFormat="0" applyAlignment="0" applyProtection="0"/>
    <xf numFmtId="0" fontId="14" fillId="30" borderId="2" applyNumberFormat="0" applyFont="0" applyAlignment="0" applyProtection="0"/>
    <xf numFmtId="0" fontId="14" fillId="30" borderId="2" applyNumberFormat="0" applyFont="0" applyAlignment="0" applyProtection="0"/>
    <xf numFmtId="0" fontId="14" fillId="30" borderId="2" applyNumberFormat="0" applyFont="0" applyAlignment="0" applyProtection="0"/>
    <xf numFmtId="0" fontId="14" fillId="30" borderId="2" applyNumberFormat="0" applyFont="0" applyAlignment="0" applyProtection="0"/>
    <xf numFmtId="0" fontId="14" fillId="30" borderId="2" applyNumberFormat="0" applyFont="0" applyAlignment="0" applyProtection="0"/>
    <xf numFmtId="0" fontId="14" fillId="30" borderId="2" applyNumberFormat="0" applyFon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40"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40"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40"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60" fillId="40"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60" fillId="40"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60" fillId="40"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37"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37"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37"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30"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30"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30"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63" fillId="0" borderId="141" applyNumberFormat="0" applyFont="0" applyFill="0" applyAlignment="0" applyProtection="0"/>
    <xf numFmtId="0" fontId="153" fillId="40" borderId="171" applyNumberFormat="0" applyAlignment="0" applyProtection="0"/>
    <xf numFmtId="0" fontId="153" fillId="40" borderId="171" applyNumberFormat="0" applyAlignment="0" applyProtection="0"/>
    <xf numFmtId="0" fontId="153" fillId="40" borderId="171" applyNumberFormat="0" applyAlignment="0" applyProtection="0"/>
    <xf numFmtId="0" fontId="153" fillId="40" borderId="171" applyNumberFormat="0" applyAlignment="0" applyProtection="0"/>
    <xf numFmtId="0" fontId="153" fillId="40" borderId="171" applyNumberFormat="0" applyAlignment="0" applyProtection="0"/>
    <xf numFmtId="0" fontId="153" fillId="40"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158" fillId="0" borderId="0" applyNumberFormat="0" applyFill="0" applyBorder="0" applyAlignment="0" applyProtection="0">
      <alignment vertical="top"/>
      <protection locked="0"/>
    </xf>
    <xf numFmtId="0" fontId="6" fillId="0" borderId="0"/>
    <xf numFmtId="0" fontId="1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83" fillId="0" borderId="0" applyAlignment="0"/>
    <xf numFmtId="43" fontId="183" fillId="0" borderId="0" applyFont="0" applyFill="0" applyBorder="0" applyAlignment="0" applyProtection="0"/>
    <xf numFmtId="43" fontId="4" fillId="0" borderId="0" applyFont="0" applyFill="0" applyBorder="0" applyAlignment="0" applyProtection="0"/>
    <xf numFmtId="43" fontId="183" fillId="0" borderId="0" applyFont="0" applyFill="0" applyBorder="0" applyAlignment="0" applyProtection="0"/>
    <xf numFmtId="3" fontId="183" fillId="0" borderId="0" applyFont="0" applyFill="0" applyBorder="0" applyAlignment="0" applyProtection="0"/>
    <xf numFmtId="44" fontId="183" fillId="0" borderId="0" applyFont="0" applyFill="0" applyBorder="0" applyAlignment="0" applyProtection="0"/>
    <xf numFmtId="5" fontId="183" fillId="0" borderId="0" applyFont="0" applyFill="0" applyBorder="0" applyAlignment="0" applyProtection="0"/>
    <xf numFmtId="0" fontId="184" fillId="0" borderId="0" applyNumberFormat="0" applyFill="0" applyBorder="0" applyAlignment="0" applyProtection="0">
      <alignment vertical="top"/>
      <protection locked="0"/>
    </xf>
    <xf numFmtId="0" fontId="183" fillId="0" borderId="0"/>
    <xf numFmtId="0" fontId="183" fillId="0" borderId="0"/>
    <xf numFmtId="0" fontId="4" fillId="0" borderId="0"/>
    <xf numFmtId="43" fontId="183" fillId="0" borderId="0" applyAlignment="0"/>
    <xf numFmtId="43" fontId="183" fillId="0" borderId="0" applyAlignment="0"/>
    <xf numFmtId="43" fontId="4"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0" fontId="184" fillId="0" borderId="0" applyNumberFormat="0" applyFill="0" applyBorder="0" applyAlignment="0" applyProtection="0">
      <alignment vertical="top"/>
      <protection locked="0"/>
    </xf>
    <xf numFmtId="0" fontId="184" fillId="0" borderId="0" applyNumberFormat="0" applyFill="0" applyBorder="0" applyAlignment="0" applyProtection="0">
      <alignment vertical="top"/>
      <protection locked="0"/>
    </xf>
    <xf numFmtId="0" fontId="183"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4" fillId="0" borderId="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6" fillId="0" borderId="177" applyNumberFormat="0" applyFill="0" applyAlignment="0" applyProtection="0"/>
    <xf numFmtId="0" fontId="153" fillId="63" borderId="171" applyNumberFormat="0" applyAlignment="0" applyProtection="0"/>
    <xf numFmtId="0" fontId="156" fillId="0" borderId="177" applyNumberFormat="0" applyFill="0" applyAlignment="0" applyProtection="0"/>
    <xf numFmtId="43" fontId="4" fillId="0" borderId="0" applyFont="0" applyFill="0" applyBorder="0" applyAlignment="0" applyProtection="0"/>
    <xf numFmtId="0" fontId="4" fillId="0" borderId="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63" fillId="0" borderId="141" applyNumberFormat="0" applyFon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40" borderId="171" applyNumberFormat="0" applyAlignment="0" applyProtection="0"/>
    <xf numFmtId="0" fontId="153" fillId="40" borderId="171" applyNumberFormat="0" applyAlignment="0" applyProtection="0"/>
    <xf numFmtId="0" fontId="153" fillId="40" borderId="171" applyNumberFormat="0" applyAlignment="0" applyProtection="0"/>
    <xf numFmtId="0" fontId="153" fillId="40" borderId="171" applyNumberFormat="0" applyAlignment="0" applyProtection="0"/>
    <xf numFmtId="0" fontId="153" fillId="40" borderId="171" applyNumberFormat="0" applyAlignment="0" applyProtection="0"/>
    <xf numFmtId="0" fontId="153" fillId="40" borderId="171" applyNumberFormat="0" applyAlignment="0" applyProtection="0"/>
    <xf numFmtId="0" fontId="163" fillId="0" borderId="141" applyNumberFormat="0" applyFon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30"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30"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30"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37"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37"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37"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60" fillId="40"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60" fillId="40"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60" fillId="40"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40"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40"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40"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4" fillId="30" borderId="2" applyNumberFormat="0" applyFont="0" applyAlignment="0" applyProtection="0"/>
    <xf numFmtId="0" fontId="14" fillId="30" borderId="2" applyNumberFormat="0" applyFont="0" applyAlignment="0" applyProtection="0"/>
    <xf numFmtId="0" fontId="14" fillId="30" borderId="2" applyNumberFormat="0" applyFont="0" applyAlignment="0" applyProtection="0"/>
    <xf numFmtId="0" fontId="14" fillId="30" borderId="2" applyNumberFormat="0" applyFont="0" applyAlignment="0" applyProtection="0"/>
    <xf numFmtId="0" fontId="14" fillId="30" borderId="2" applyNumberFormat="0" applyFont="0" applyAlignment="0" applyProtection="0"/>
    <xf numFmtId="0" fontId="14" fillId="30" borderId="2" applyNumberFormat="0" applyFont="0" applyAlignment="0" applyProtection="0"/>
    <xf numFmtId="0" fontId="152" fillId="37" borderId="1" applyNumberFormat="0" applyAlignment="0" applyProtection="0"/>
    <xf numFmtId="0" fontId="152" fillId="37" borderId="1" applyNumberFormat="0" applyAlignment="0" applyProtection="0"/>
    <xf numFmtId="0" fontId="152" fillId="37" borderId="1" applyNumberFormat="0" applyAlignment="0" applyProtection="0"/>
    <xf numFmtId="0" fontId="152" fillId="37" borderId="1" applyNumberFormat="0" applyAlignment="0" applyProtection="0"/>
    <xf numFmtId="0" fontId="152" fillId="37" borderId="1" applyNumberFormat="0" applyAlignment="0" applyProtection="0"/>
    <xf numFmtId="0" fontId="152" fillId="37" borderId="1" applyNumberFormat="0" applyAlignment="0" applyProtection="0"/>
    <xf numFmtId="0" fontId="160" fillId="40" borderId="1" applyNumberFormat="0" applyAlignment="0" applyProtection="0"/>
    <xf numFmtId="0" fontId="160" fillId="40" borderId="1" applyNumberFormat="0" applyAlignment="0" applyProtection="0"/>
    <xf numFmtId="0" fontId="160" fillId="40" borderId="1" applyNumberFormat="0" applyAlignment="0" applyProtection="0"/>
    <xf numFmtId="0" fontId="160" fillId="40" borderId="1" applyNumberFormat="0" applyAlignment="0" applyProtection="0"/>
    <xf numFmtId="0" fontId="160" fillId="40" borderId="1" applyNumberFormat="0" applyAlignment="0" applyProtection="0"/>
    <xf numFmtId="0" fontId="160" fillId="40" borderId="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40"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40"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40"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43" fontId="4" fillId="0" borderId="0" applyFont="0" applyFill="0" applyBorder="0" applyAlignment="0" applyProtection="0"/>
    <xf numFmtId="0" fontId="4" fillId="0" borderId="0"/>
    <xf numFmtId="0" fontId="4" fillId="0" borderId="0"/>
    <xf numFmtId="0" fontId="153" fillId="40" borderId="171" applyNumberFormat="0" applyAlignment="0" applyProtection="0"/>
    <xf numFmtId="0" fontId="153" fillId="40" borderId="171" applyNumberFormat="0" applyAlignment="0" applyProtection="0"/>
    <xf numFmtId="0" fontId="153" fillId="40" borderId="171" applyNumberFormat="0" applyAlignment="0" applyProtection="0"/>
    <xf numFmtId="0" fontId="153" fillId="40" borderId="171" applyNumberFormat="0" applyAlignment="0" applyProtection="0"/>
    <xf numFmtId="0" fontId="153" fillId="40" borderId="171" applyNumberFormat="0" applyAlignment="0" applyProtection="0"/>
    <xf numFmtId="0" fontId="153" fillId="40" borderId="171" applyNumberFormat="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156" fillId="0" borderId="174" applyNumberFormat="0" applyFill="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14" fillId="0" borderId="0" applyAlignment="0"/>
    <xf numFmtId="43" fontId="3" fillId="0" borderId="0" applyFont="0" applyFill="0" applyBorder="0" applyAlignment="0" applyProtection="0"/>
    <xf numFmtId="0" fontId="3" fillId="0" borderId="0"/>
    <xf numFmtId="43" fontId="14" fillId="0" borderId="0" applyAlignment="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9" fontId="1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1" fontId="185" fillId="0" borderId="0" applyFont="0" applyFill="0" applyBorder="0" applyAlignment="0" applyProtection="0"/>
    <xf numFmtId="182" fontId="185" fillId="0" borderId="0" applyFont="0" applyFill="0" applyBorder="0" applyAlignment="0" applyProtection="0"/>
    <xf numFmtId="0" fontId="2" fillId="0" borderId="0"/>
    <xf numFmtId="183" fontId="185" fillId="0" borderId="0" applyFont="0" applyFill="0" applyBorder="0" applyAlignment="0" applyProtection="0"/>
    <xf numFmtId="184" fontId="185" fillId="0" borderId="0" applyFont="0" applyFill="0" applyBorder="0" applyAlignment="0" applyProtection="0"/>
    <xf numFmtId="185" fontId="185" fillId="0" borderId="0" applyFont="0" applyFill="0" applyBorder="0" applyAlignment="0" applyProtection="0">
      <alignment horizontal="right"/>
    </xf>
    <xf numFmtId="186" fontId="185" fillId="0" borderId="0" applyFont="0" applyFill="0" applyBorder="0" applyAlignment="0" applyProtection="0"/>
    <xf numFmtId="187" fontId="185" fillId="0" borderId="0" applyFont="0" applyFill="0" applyBorder="0" applyAlignment="0" applyProtection="0">
      <alignment horizontal="right"/>
    </xf>
    <xf numFmtId="188" fontId="185" fillId="0" borderId="0" applyFont="0" applyFill="0" applyBorder="0" applyAlignment="0" applyProtection="0">
      <alignment horizontal="right"/>
    </xf>
    <xf numFmtId="189" fontId="185" fillId="0" borderId="0" applyFont="0" applyFill="0" applyBorder="0" applyAlignment="0" applyProtection="0">
      <alignment horizontal="right"/>
    </xf>
    <xf numFmtId="190" fontId="185" fillId="0" borderId="0" applyFont="0" applyFill="0" applyBorder="0" applyAlignment="0" applyProtection="0"/>
    <xf numFmtId="0" fontId="185" fillId="0" borderId="164" applyNumberFormat="0" applyFill="0" applyAlignment="0" applyProtection="0"/>
    <xf numFmtId="43" fontId="2" fillId="0" borderId="0" applyFont="0" applyFill="0" applyBorder="0" applyAlignment="0" applyProtection="0"/>
    <xf numFmtId="192" fontId="185" fillId="0" borderId="0" applyFont="0" applyFill="0" applyBorder="0" applyAlignment="0" applyProtection="0"/>
    <xf numFmtId="0" fontId="185" fillId="0" borderId="166" applyNumberFormat="0" applyFill="0" applyAlignment="0" applyProtection="0"/>
    <xf numFmtId="193" fontId="185" fillId="0" borderId="0" applyFont="0" applyFill="0" applyBorder="0" applyAlignment="0" applyProtection="0"/>
    <xf numFmtId="0" fontId="2" fillId="0" borderId="0"/>
    <xf numFmtId="0" fontId="185" fillId="0" borderId="172" applyNumberFormat="0" applyFont="0" applyFill="0" applyAlignment="0" applyProtection="0"/>
    <xf numFmtId="0" fontId="185" fillId="0" borderId="173" applyNumberFormat="0" applyFont="0" applyFill="0" applyAlignment="0" applyProtection="0"/>
    <xf numFmtId="0" fontId="185" fillId="0" borderId="141" applyNumberFormat="0" applyFont="0" applyFill="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185" fillId="0" borderId="141" applyNumberFormat="0" applyFont="0" applyFill="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9" fontId="14"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157" fillId="29" borderId="0" applyNumberFormat="0" applyBorder="0" applyAlignment="0" applyProtection="0"/>
    <xf numFmtId="0" fontId="157" fillId="33" borderId="0" applyNumberFormat="0" applyBorder="0" applyAlignment="0" applyProtection="0"/>
    <xf numFmtId="0" fontId="157" fillId="32" borderId="0" applyNumberFormat="0" applyBorder="0" applyAlignment="0" applyProtection="0"/>
    <xf numFmtId="0" fontId="157" fillId="29" borderId="0" applyNumberFormat="0" applyBorder="0" applyAlignment="0" applyProtection="0"/>
    <xf numFmtId="0" fontId="157" fillId="36" borderId="0" applyNumberFormat="0" applyBorder="0" applyAlignment="0" applyProtection="0"/>
    <xf numFmtId="0" fontId="157" fillId="38" borderId="0" applyNumberFormat="0" applyBorder="0" applyAlignment="0" applyProtection="0"/>
    <xf numFmtId="43" fontId="14"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14" fillId="0" borderId="0" applyFont="0" applyFill="0" applyBorder="0" applyAlignment="0" applyProtection="0"/>
    <xf numFmtId="0" fontId="2" fillId="0" borderId="0"/>
    <xf numFmtId="0" fontId="14" fillId="0" borderId="0"/>
    <xf numFmtId="9" fontId="2" fillId="0" borderId="0" applyFont="0" applyFill="0" applyBorder="0" applyAlignment="0" applyProtection="0"/>
    <xf numFmtId="9" fontId="14" fillId="0" borderId="0" applyFont="0" applyFill="0" applyBorder="0" applyAlignment="0" applyProtection="0"/>
    <xf numFmtId="0" fontId="2" fillId="0" borderId="0"/>
    <xf numFmtId="0" fontId="2" fillId="0" borderId="0"/>
    <xf numFmtId="0" fontId="159" fillId="39" borderId="0" applyNumberFormat="0" applyBorder="0" applyAlignment="0" applyProtection="0"/>
    <xf numFmtId="0" fontId="154" fillId="32" borderId="165" applyNumberFormat="0" applyAlignment="0" applyProtection="0"/>
    <xf numFmtId="43" fontId="2" fillId="0" borderId="0" applyFont="0" applyFill="0" applyBorder="0" applyAlignment="0" applyProtection="0"/>
    <xf numFmtId="44" fontId="14" fillId="0" borderId="0" applyFont="0" applyFill="0" applyBorder="0" applyAlignment="0" applyProtection="0"/>
    <xf numFmtId="0" fontId="150" fillId="34" borderId="0" applyNumberFormat="0" applyBorder="0" applyAlignment="0" applyProtection="0"/>
    <xf numFmtId="0" fontId="147" fillId="0" borderId="167" applyNumberFormat="0" applyFill="0" applyAlignment="0" applyProtection="0"/>
    <xf numFmtId="0" fontId="148" fillId="0" borderId="168" applyNumberFormat="0" applyFill="0" applyAlignment="0" applyProtection="0"/>
    <xf numFmtId="0" fontId="149" fillId="0" borderId="169" applyNumberFormat="0" applyFill="0" applyAlignment="0" applyProtection="0"/>
    <xf numFmtId="0" fontId="149" fillId="0" borderId="0" applyNumberFormat="0" applyFill="0" applyBorder="0" applyAlignment="0" applyProtection="0"/>
    <xf numFmtId="0" fontId="161" fillId="0" borderId="170" applyNumberFormat="0" applyFill="0" applyAlignment="0" applyProtection="0"/>
    <xf numFmtId="0" fontId="151" fillId="44" borderId="0" applyNumberFormat="0" applyBorder="0" applyAlignment="0" applyProtection="0"/>
    <xf numFmtId="0" fontId="2" fillId="0" borderId="0"/>
    <xf numFmtId="43" fontId="14" fillId="0" borderId="0" applyAlignment="0"/>
    <xf numFmtId="43" fontId="14" fillId="0" borderId="0" applyAlignment="0"/>
    <xf numFmtId="0" fontId="157" fillId="59" borderId="0" applyNumberFormat="0" applyBorder="0" applyAlignment="0" applyProtection="0"/>
    <xf numFmtId="0" fontId="157" fillId="60" borderId="0" applyNumberFormat="0" applyBorder="0" applyAlignment="0" applyProtection="0"/>
    <xf numFmtId="0" fontId="157" fillId="61" borderId="0" applyNumberFormat="0" applyBorder="0" applyAlignment="0" applyProtection="0"/>
    <xf numFmtId="0" fontId="157" fillId="56" borderId="0" applyNumberFormat="0" applyBorder="0" applyAlignment="0" applyProtection="0"/>
    <xf numFmtId="0" fontId="157" fillId="57" borderId="0" applyNumberFormat="0" applyBorder="0" applyAlignment="0" applyProtection="0"/>
    <xf numFmtId="0" fontId="157" fillId="6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4" fillId="0" borderId="0"/>
    <xf numFmtId="0" fontId="14" fillId="0" borderId="0"/>
    <xf numFmtId="0" fontId="2" fillId="0" borderId="0"/>
    <xf numFmtId="0" fontId="2" fillId="0" borderId="0"/>
    <xf numFmtId="0" fontId="142" fillId="0" borderId="0"/>
    <xf numFmtId="0" fontId="2" fillId="0" borderId="0"/>
    <xf numFmtId="43" fontId="2" fillId="0" borderId="0" applyFont="0" applyFill="0" applyBorder="0" applyAlignment="0" applyProtection="0"/>
    <xf numFmtId="0" fontId="2" fillId="0" borderId="0"/>
    <xf numFmtId="0" fontId="2" fillId="0" borderId="0"/>
    <xf numFmtId="0" fontId="55" fillId="0" borderId="0"/>
    <xf numFmtId="0" fontId="2" fillId="0" borderId="0"/>
    <xf numFmtId="43" fontId="2" fillId="0" borderId="0" applyFont="0" applyFill="0" applyBorder="0" applyAlignment="0" applyProtection="0"/>
    <xf numFmtId="0" fontId="2"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66" borderId="2" applyNumberFormat="0" applyFont="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9" fontId="2"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Alignment="0"/>
    <xf numFmtId="43" fontId="14" fillId="0" borderId="0" applyAlignment="0"/>
    <xf numFmtId="43" fontId="14"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0" fontId="14" fillId="0" borderId="0"/>
    <xf numFmtId="0" fontId="2" fillId="0" borderId="0"/>
    <xf numFmtId="0" fontId="2" fillId="0" borderId="0"/>
    <xf numFmtId="43" fontId="14" fillId="0" borderId="0" applyFont="0" applyFill="0" applyBorder="0" applyAlignment="0" applyProtection="0"/>
    <xf numFmtId="0" fontId="2" fillId="0" borderId="0"/>
    <xf numFmtId="0" fontId="14" fillId="0" borderId="0"/>
    <xf numFmtId="9" fontId="2" fillId="0" borderId="0" applyFont="0" applyFill="0" applyBorder="0" applyAlignment="0" applyProtection="0"/>
    <xf numFmtId="9" fontId="14" fillId="0" borderId="0" applyFont="0" applyFill="0" applyBorder="0" applyAlignment="0" applyProtection="0"/>
    <xf numFmtId="0" fontId="2" fillId="0" borderId="0"/>
    <xf numFmtId="0" fontId="2" fillId="0" borderId="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5" fontId="14" fillId="0" borderId="0" applyFont="0" applyFill="0" applyBorder="0" applyAlignment="0" applyProtection="0"/>
    <xf numFmtId="0" fontId="14" fillId="0" borderId="0"/>
    <xf numFmtId="0" fontId="14" fillId="0" borderId="0"/>
    <xf numFmtId="0" fontId="2" fillId="0" borderId="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 fillId="0" borderId="0"/>
    <xf numFmtId="0" fontId="2" fillId="0" borderId="0"/>
    <xf numFmtId="0" fontId="14" fillId="0" borderId="0"/>
    <xf numFmtId="0" fontId="14" fillId="0" borderId="0"/>
    <xf numFmtId="0" fontId="14" fillId="0" borderId="0"/>
    <xf numFmtId="0" fontId="14" fillId="0" borderId="0"/>
    <xf numFmtId="0" fontId="2" fillId="0" borderId="0"/>
    <xf numFmtId="0" fontId="14" fillId="0" borderId="0"/>
    <xf numFmtId="43" fontId="2" fillId="0" borderId="0" applyFont="0" applyFill="0" applyBorder="0" applyAlignment="0" applyProtection="0"/>
    <xf numFmtId="5" fontId="14" fillId="0" borderId="0" applyFont="0" applyFill="0" applyBorder="0" applyAlignment="0" applyProtection="0"/>
    <xf numFmtId="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56"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1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181" fillId="0" borderId="170" applyNumberFormat="0" applyFill="0" applyAlignment="0" applyProtection="0"/>
    <xf numFmtId="0" fontId="180" fillId="0" borderId="176" applyNumberFormat="0" applyFill="0" applyAlignment="0" applyProtection="0"/>
    <xf numFmtId="44" fontId="14" fillId="0" borderId="0" applyFont="0" applyFill="0" applyBorder="0" applyAlignment="0" applyProtection="0"/>
    <xf numFmtId="0" fontId="154" fillId="64" borderId="165" applyNumberFormat="0" applyAlignment="0" applyProtection="0"/>
    <xf numFmtId="0" fontId="154" fillId="32" borderId="165" applyNumberFormat="0" applyAlignment="0" applyProtection="0"/>
    <xf numFmtId="43" fontId="2" fillId="0" borderId="0" applyFont="0" applyFill="0" applyBorder="0" applyAlignment="0" applyProtection="0"/>
    <xf numFmtId="0" fontId="159" fillId="39" borderId="0" applyNumberFormat="0" applyBorder="0" applyAlignment="0" applyProtection="0"/>
    <xf numFmtId="0" fontId="159" fillId="39" borderId="0" applyNumberFormat="0" applyBorder="0" applyAlignment="0" applyProtection="0"/>
    <xf numFmtId="0" fontId="157" fillId="38" borderId="0" applyNumberFormat="0" applyBorder="0" applyAlignment="0" applyProtection="0"/>
    <xf numFmtId="0" fontId="157" fillId="36" borderId="0" applyNumberFormat="0" applyBorder="0" applyAlignment="0" applyProtection="0"/>
    <xf numFmtId="0" fontId="157" fillId="57" borderId="0" applyNumberFormat="0" applyBorder="0" applyAlignment="0" applyProtection="0"/>
    <xf numFmtId="0" fontId="157" fillId="56" borderId="0" applyNumberFormat="0" applyBorder="0" applyAlignment="0" applyProtection="0"/>
    <xf numFmtId="0" fontId="157" fillId="32" borderId="0" applyNumberFormat="0" applyBorder="0" applyAlignment="0" applyProtection="0"/>
    <xf numFmtId="0" fontId="157" fillId="32" borderId="0" applyNumberFormat="0" applyBorder="0" applyAlignment="0" applyProtection="0"/>
    <xf numFmtId="0" fontId="157" fillId="32" borderId="0" applyNumberFormat="0" applyBorder="0" applyAlignment="0" applyProtection="0"/>
    <xf numFmtId="0" fontId="157" fillId="61" borderId="0" applyNumberFormat="0" applyBorder="0" applyAlignment="0" applyProtection="0"/>
    <xf numFmtId="0" fontId="145" fillId="54" borderId="0" applyNumberFormat="0" applyBorder="0" applyAlignment="0" applyProtection="0"/>
    <xf numFmtId="0" fontId="145" fillId="51" borderId="0" applyNumberFormat="0" applyBorder="0" applyAlignment="0" applyProtection="0"/>
    <xf numFmtId="0" fontId="156" fillId="0" borderId="174" applyNumberFormat="0" applyFill="0" applyAlignment="0" applyProtection="0"/>
    <xf numFmtId="0" fontId="37" fillId="0" borderId="0" applyNumberFormat="0" applyFill="0" applyBorder="0" applyAlignment="0" applyProtection="0">
      <alignment vertical="top"/>
      <protection locked="0"/>
    </xf>
    <xf numFmtId="0" fontId="149" fillId="0" borderId="169" applyNumberFormat="0" applyFill="0" applyAlignment="0" applyProtection="0"/>
    <xf numFmtId="43" fontId="14" fillId="0" borderId="0" applyFont="0" applyFill="0" applyBorder="0" applyAlignment="0" applyProtection="0"/>
    <xf numFmtId="43" fontId="14" fillId="0" borderId="0" applyFont="0" applyFill="0" applyBorder="0" applyAlignment="0" applyProtection="0"/>
    <xf numFmtId="0" fontId="157" fillId="29" borderId="0" applyNumberFormat="0" applyBorder="0" applyAlignment="0" applyProtection="0"/>
    <xf numFmtId="0" fontId="157" fillId="32" borderId="0" applyNumberFormat="0" applyBorder="0" applyAlignment="0" applyProtection="0"/>
    <xf numFmtId="0" fontId="157" fillId="33" borderId="0" applyNumberFormat="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0" borderId="0"/>
    <xf numFmtId="43" fontId="14" fillId="0" borderId="0" applyFont="0" applyFill="0" applyBorder="0" applyAlignment="0" applyProtection="0"/>
    <xf numFmtId="44" fontId="14" fillId="0" borderId="0" applyFont="0" applyFill="0" applyBorder="0" applyAlignment="0" applyProtection="0"/>
    <xf numFmtId="0" fontId="14" fillId="0" borderId="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81" fillId="0" borderId="170" applyNumberFormat="0" applyFill="0" applyAlignment="0" applyProtection="0"/>
    <xf numFmtId="0" fontId="157" fillId="29" borderId="0" applyNumberFormat="0" applyBorder="0" applyAlignment="0" applyProtection="0"/>
    <xf numFmtId="0" fontId="178" fillId="0" borderId="175" applyNumberFormat="0" applyFill="0" applyAlignment="0" applyProtection="0"/>
    <xf numFmtId="0" fontId="56" fillId="0" borderId="0" applyNumberFormat="0" applyFill="0" applyBorder="0" applyAlignment="0" applyProtection="0"/>
    <xf numFmtId="0" fontId="151" fillId="44" borderId="0" applyNumberFormat="0" applyBorder="0" applyAlignment="0" applyProtection="0"/>
    <xf numFmtId="0" fontId="151" fillId="44" borderId="0" applyNumberFormat="0" applyBorder="0" applyAlignment="0" applyProtection="0"/>
    <xf numFmtId="0" fontId="152" fillId="50" borderId="1" applyNumberFormat="0" applyAlignment="0" applyProtection="0"/>
    <xf numFmtId="0" fontId="149" fillId="0" borderId="0" applyNumberFormat="0" applyFill="0" applyBorder="0" applyAlignment="0" applyProtection="0"/>
    <xf numFmtId="44" fontId="14" fillId="0" borderId="0" applyFont="0" applyFill="0" applyBorder="0" applyAlignment="0" applyProtection="0"/>
    <xf numFmtId="43" fontId="168" fillId="0" borderId="0" applyFont="0" applyFill="0" applyBorder="0" applyAlignment="0" applyProtection="0"/>
    <xf numFmtId="0" fontId="154" fillId="32" borderId="165" applyNumberFormat="0" applyAlignment="0" applyProtection="0"/>
    <xf numFmtId="0" fontId="157" fillId="36"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52" fillId="50" borderId="1" applyNumberFormat="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49" fillId="0" borderId="169"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5" fillId="46" borderId="0" applyNumberFormat="0" applyBorder="0" applyAlignment="0" applyProtection="0"/>
    <xf numFmtId="0" fontId="159" fillId="39" borderId="0" applyNumberFormat="0" applyBorder="0" applyAlignment="0" applyProtection="0"/>
    <xf numFmtId="0" fontId="175" fillId="46"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2" fillId="50" borderId="1" applyNumberFormat="0" applyAlignment="0" applyProtection="0"/>
    <xf numFmtId="0" fontId="181" fillId="0" borderId="170" applyNumberFormat="0" applyFill="0" applyAlignment="0" applyProtection="0"/>
    <xf numFmtId="0" fontId="161" fillId="0" borderId="170" applyNumberFormat="0" applyFill="0" applyAlignment="0" applyProtection="0"/>
    <xf numFmtId="0" fontId="160" fillId="40" borderId="1" applyNumberFormat="0" applyAlignment="0" applyProtection="0"/>
    <xf numFmtId="0" fontId="175" fillId="46" borderId="0" applyNumberFormat="0" applyBorder="0" applyAlignment="0" applyProtection="0"/>
    <xf numFmtId="0" fontId="178" fillId="0" borderId="175" applyNumberFormat="0" applyFill="0" applyAlignment="0" applyProtection="0"/>
    <xf numFmtId="0" fontId="157" fillId="32" borderId="0" applyNumberFormat="0" applyBorder="0" applyAlignment="0" applyProtection="0"/>
    <xf numFmtId="0" fontId="151" fillId="65" borderId="0" applyNumberFormat="0" applyBorder="0" applyAlignment="0" applyProtection="0"/>
    <xf numFmtId="0" fontId="151" fillId="44" borderId="0" applyNumberFormat="0" applyBorder="0" applyAlignment="0" applyProtection="0"/>
    <xf numFmtId="0" fontId="161" fillId="0" borderId="170" applyNumberFormat="0" applyFill="0" applyAlignment="0" applyProtection="0"/>
    <xf numFmtId="0" fontId="152" fillId="37" borderId="1" applyNumberFormat="0" applyAlignment="0" applyProtection="0"/>
    <xf numFmtId="0" fontId="149" fillId="0" borderId="169" applyNumberFormat="0" applyFill="0" applyAlignment="0" applyProtection="0"/>
    <xf numFmtId="0" fontId="147" fillId="0" borderId="167" applyNumberFormat="0" applyFill="0" applyAlignment="0" applyProtection="0"/>
    <xf numFmtId="44" fontId="14" fillId="0" borderId="0" applyFont="0" applyFill="0" applyBorder="0" applyAlignment="0" applyProtection="0"/>
    <xf numFmtId="43" fontId="14" fillId="0" borderId="0" applyFont="0" applyFill="0" applyBorder="0" applyAlignment="0" applyProtection="0"/>
    <xf numFmtId="0" fontId="154" fillId="32" borderId="165" applyNumberFormat="0" applyAlignment="0" applyProtection="0"/>
    <xf numFmtId="0" fontId="157" fillId="62" borderId="0" applyNumberFormat="0" applyBorder="0" applyAlignment="0" applyProtection="0"/>
    <xf numFmtId="0" fontId="157" fillId="36" borderId="0" applyNumberFormat="0" applyBorder="0" applyAlignment="0" applyProtection="0"/>
    <xf numFmtId="0" fontId="157" fillId="29" borderId="0" applyNumberFormat="0" applyBorder="0" applyAlignment="0" applyProtection="0"/>
    <xf numFmtId="0" fontId="157" fillId="29" borderId="0" applyNumberFormat="0" applyBorder="0" applyAlignment="0" applyProtection="0"/>
    <xf numFmtId="0" fontId="157" fillId="56" borderId="0" applyNumberFormat="0" applyBorder="0" applyAlignment="0" applyProtection="0"/>
    <xf numFmtId="0" fontId="145" fillId="52" borderId="0" applyNumberFormat="0" applyBorder="0" applyAlignment="0" applyProtection="0"/>
    <xf numFmtId="0" fontId="145" fillId="50" borderId="0" applyNumberFormat="0" applyBorder="0" applyAlignment="0" applyProtection="0"/>
    <xf numFmtId="0" fontId="145" fillId="48" borderId="0" applyNumberFormat="0" applyBorder="0" applyAlignment="0" applyProtection="0"/>
    <xf numFmtId="0" fontId="145" fillId="45" borderId="0" applyNumberFormat="0" applyBorder="0" applyAlignment="0" applyProtection="0"/>
    <xf numFmtId="0" fontId="14" fillId="30" borderId="2" applyNumberFormat="0" applyFont="0" applyAlignment="0" applyProtection="0"/>
    <xf numFmtId="0" fontId="14" fillId="0" borderId="0"/>
    <xf numFmtId="4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54" fillId="32" borderId="165" applyNumberFormat="0" applyAlignment="0" applyProtection="0"/>
    <xf numFmtId="44"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81" fillId="0" borderId="170" applyNumberFormat="0" applyFill="0" applyAlignment="0" applyProtection="0"/>
    <xf numFmtId="0" fontId="181" fillId="0" borderId="170" applyNumberFormat="0" applyFill="0" applyAlignment="0" applyProtection="0"/>
    <xf numFmtId="0" fontId="152" fillId="50" borderId="1" applyNumberFormat="0" applyAlignment="0" applyProtection="0"/>
    <xf numFmtId="0" fontId="152" fillId="37" borderId="1" applyNumberFormat="0" applyAlignment="0" applyProtection="0"/>
    <xf numFmtId="0" fontId="152" fillId="50" borderId="1" applyNumberFormat="0" applyAlignment="0" applyProtection="0"/>
    <xf numFmtId="0" fontId="37" fillId="0" borderId="0" applyNumberFormat="0" applyFill="0" applyBorder="0" applyAlignment="0" applyProtection="0">
      <alignment vertical="top"/>
      <protection locked="0"/>
    </xf>
    <xf numFmtId="0" fontId="180" fillId="0" borderId="0" applyNumberFormat="0" applyFill="0" applyBorder="0" applyAlignment="0" applyProtection="0"/>
    <xf numFmtId="0" fontId="149"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176" applyNumberFormat="0" applyFill="0" applyAlignment="0" applyProtection="0"/>
    <xf numFmtId="0" fontId="180" fillId="0" borderId="176" applyNumberFormat="0" applyFill="0" applyAlignment="0" applyProtection="0"/>
    <xf numFmtId="0" fontId="179" fillId="0" borderId="168" applyNumberFormat="0" applyFill="0" applyAlignment="0" applyProtection="0"/>
    <xf numFmtId="0" fontId="148"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50" fillId="34" borderId="0" applyNumberFormat="0" applyBorder="0" applyAlignment="0" applyProtection="0"/>
    <xf numFmtId="0" fontId="150" fillId="47" borderId="0" applyNumberFormat="0" applyBorder="0" applyAlignment="0" applyProtection="0"/>
    <xf numFmtId="0" fontId="150" fillId="47" borderId="0" applyNumberFormat="0" applyBorder="0" applyAlignment="0" applyProtection="0"/>
    <xf numFmtId="0" fontId="154" fillId="64" borderId="165" applyNumberFormat="0" applyAlignment="0" applyProtection="0"/>
    <xf numFmtId="0" fontId="154" fillId="32" borderId="165" applyNumberFormat="0" applyAlignment="0" applyProtection="0"/>
    <xf numFmtId="0" fontId="154" fillId="64" borderId="165" applyNumberFormat="0" applyAlignment="0" applyProtection="0"/>
    <xf numFmtId="0" fontId="154" fillId="64" borderId="165" applyNumberFormat="0" applyAlignment="0" applyProtection="0"/>
    <xf numFmtId="0" fontId="154" fillId="64" borderId="165" applyNumberFormat="0" applyAlignment="0" applyProtection="0"/>
    <xf numFmtId="0" fontId="176" fillId="63" borderId="1" applyNumberFormat="0" applyAlignment="0" applyProtection="0"/>
    <xf numFmtId="0" fontId="176" fillId="63" borderId="1" applyNumberFormat="0" applyAlignment="0" applyProtection="0"/>
    <xf numFmtId="0" fontId="175" fillId="46"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38" borderId="0" applyNumberFormat="0" applyBorder="0" applyAlignment="0" applyProtection="0"/>
    <xf numFmtId="0" fontId="157" fillId="62" borderId="0" applyNumberFormat="0" applyBorder="0" applyAlignment="0" applyProtection="0"/>
    <xf numFmtId="0" fontId="157" fillId="62"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36"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29"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33"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2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42" fillId="0" borderId="0"/>
    <xf numFmtId="43" fontId="145" fillId="0" borderId="0" applyFont="0" applyFill="0" applyBorder="0" applyAlignment="0" applyProtection="0"/>
    <xf numFmtId="0" fontId="14" fillId="30" borderId="2" applyNumberFormat="0" applyFont="0" applyAlignment="0" applyProtection="0"/>
    <xf numFmtId="0" fontId="160" fillId="40" borderId="1" applyNumberFormat="0" applyAlignment="0" applyProtection="0"/>
    <xf numFmtId="0" fontId="157" fillId="38" borderId="0" applyNumberFormat="0" applyBorder="0" applyAlignment="0" applyProtection="0"/>
    <xf numFmtId="0" fontId="157" fillId="29" borderId="0" applyNumberFormat="0" applyBorder="0" applyAlignment="0" applyProtection="0"/>
    <xf numFmtId="0" fontId="157" fillId="33" borderId="0" applyNumberFormat="0" applyBorder="0" applyAlignment="0" applyProtection="0"/>
    <xf numFmtId="0" fontId="2" fillId="0" borderId="0"/>
    <xf numFmtId="0" fontId="155" fillId="0" borderId="0" applyNumberFormat="0" applyFill="0" applyBorder="0" applyAlignment="0" applyProtection="0"/>
    <xf numFmtId="0" fontId="156" fillId="0" borderId="174" applyNumberFormat="0" applyFill="0" applyAlignment="0" applyProtection="0"/>
    <xf numFmtId="9" fontId="14" fillId="0" borderId="0" applyFont="0" applyFill="0" applyBorder="0" applyAlignment="0" applyProtection="0"/>
    <xf numFmtId="9" fontId="2" fillId="0" borderId="0" applyFont="0" applyFill="0" applyBorder="0" applyAlignment="0" applyProtection="0"/>
    <xf numFmtId="0" fontId="153" fillId="40" borderId="171" applyNumberFormat="0" applyAlignment="0" applyProtection="0"/>
    <xf numFmtId="0" fontId="14" fillId="30" borderId="2" applyNumberFormat="0" applyFont="0" applyAlignment="0" applyProtection="0"/>
    <xf numFmtId="0" fontId="14" fillId="0" borderId="0"/>
    <xf numFmtId="0" fontId="14" fillId="0" borderId="0"/>
    <xf numFmtId="0" fontId="14" fillId="0" borderId="0"/>
    <xf numFmtId="0" fontId="151" fillId="44" borderId="0" applyNumberFormat="0" applyBorder="0" applyAlignment="0" applyProtection="0"/>
    <xf numFmtId="0" fontId="181" fillId="0" borderId="170" applyNumberFormat="0" applyFill="0" applyAlignment="0" applyProtection="0"/>
    <xf numFmtId="0" fontId="161" fillId="0" borderId="170" applyNumberFormat="0" applyFill="0" applyAlignment="0" applyProtection="0"/>
    <xf numFmtId="0" fontId="152" fillId="37" borderId="1" applyNumberFormat="0" applyAlignment="0" applyProtection="0"/>
    <xf numFmtId="0" fontId="152" fillId="37" borderId="1" applyNumberFormat="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80" fillId="0" borderId="0" applyNumberFormat="0" applyFill="0" applyBorder="0" applyAlignment="0" applyProtection="0"/>
    <xf numFmtId="0" fontId="180" fillId="0" borderId="176" applyNumberFormat="0" applyFill="0" applyAlignment="0" applyProtection="0"/>
    <xf numFmtId="0" fontId="149" fillId="0" borderId="0" applyNumberFormat="0" applyFill="0" applyBorder="0" applyAlignment="0" applyProtection="0"/>
    <xf numFmtId="0" fontId="149" fillId="0" borderId="169" applyNumberFormat="0" applyFill="0" applyAlignment="0" applyProtection="0"/>
    <xf numFmtId="0" fontId="149" fillId="0" borderId="169" applyNumberFormat="0" applyFill="0" applyAlignment="0" applyProtection="0"/>
    <xf numFmtId="0" fontId="148"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48" fillId="0" borderId="168" applyNumberFormat="0" applyFill="0" applyAlignment="0" applyProtection="0"/>
    <xf numFmtId="0" fontId="148" fillId="0" borderId="168" applyNumberFormat="0" applyFill="0" applyAlignment="0" applyProtection="0"/>
    <xf numFmtId="0" fontId="148" fillId="0" borderId="168" applyNumberFormat="0" applyFill="0" applyAlignment="0" applyProtection="0"/>
    <xf numFmtId="0" fontId="150" fillId="47" borderId="0" applyNumberFormat="0" applyBorder="0" applyAlignment="0" applyProtection="0"/>
    <xf numFmtId="0" fontId="178" fillId="0" borderId="175" applyNumberFormat="0" applyFill="0" applyAlignment="0" applyProtection="0"/>
    <xf numFmtId="0" fontId="147" fillId="0" borderId="167" applyNumberFormat="0" applyFill="0" applyAlignment="0" applyProtection="0"/>
    <xf numFmtId="0" fontId="147" fillId="0" borderId="167" applyNumberFormat="0" applyFill="0" applyAlignment="0" applyProtection="0"/>
    <xf numFmtId="0" fontId="150" fillId="34" borderId="0" applyNumberFormat="0" applyBorder="0" applyAlignment="0" applyProtection="0"/>
    <xf numFmtId="0" fontId="150" fillId="47" borderId="0" applyNumberFormat="0" applyBorder="0" applyAlignment="0" applyProtection="0"/>
    <xf numFmtId="0" fontId="150" fillId="34" borderId="0" applyNumberFormat="0" applyBorder="0" applyAlignment="0" applyProtection="0"/>
    <xf numFmtId="0" fontId="150" fillId="34" borderId="0" applyNumberFormat="0" applyBorder="0" applyAlignment="0" applyProtection="0"/>
    <xf numFmtId="0" fontId="150" fillId="34" borderId="0" applyNumberFormat="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54" fillId="64" borderId="165" applyNumberFormat="0" applyAlignment="0" applyProtection="0"/>
    <xf numFmtId="0" fontId="154" fillId="32" borderId="165" applyNumberFormat="0" applyAlignment="0" applyProtection="0"/>
    <xf numFmtId="0" fontId="176" fillId="63" borderId="1" applyNumberFormat="0" applyAlignment="0" applyProtection="0"/>
    <xf numFmtId="0" fontId="176" fillId="63" borderId="1" applyNumberFormat="0" applyAlignment="0" applyProtection="0"/>
    <xf numFmtId="0" fontId="160" fillId="40" borderId="1" applyNumberFormat="0" applyAlignment="0" applyProtection="0"/>
    <xf numFmtId="0" fontId="160" fillId="40" borderId="1" applyNumberFormat="0" applyAlignment="0" applyProtection="0"/>
    <xf numFmtId="0" fontId="159" fillId="39" borderId="0" applyNumberFormat="0" applyBorder="0" applyAlignment="0" applyProtection="0"/>
    <xf numFmtId="0" fontId="175" fillId="46" borderId="0" applyNumberFormat="0" applyBorder="0" applyAlignment="0" applyProtection="0"/>
    <xf numFmtId="0" fontId="175" fillId="46" borderId="0" applyNumberFormat="0" applyBorder="0" applyAlignment="0" applyProtection="0"/>
    <xf numFmtId="43" fontId="2" fillId="0" borderId="0" applyFont="0" applyFill="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7" fillId="62"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7" fillId="36" borderId="0" applyNumberFormat="0" applyBorder="0" applyAlignment="0" applyProtection="0"/>
    <xf numFmtId="0" fontId="157" fillId="36" borderId="0" applyNumberFormat="0" applyBorder="0" applyAlignment="0" applyProtection="0"/>
    <xf numFmtId="0" fontId="157" fillId="57" borderId="0" applyNumberFormat="0" applyBorder="0" applyAlignment="0" applyProtection="0"/>
    <xf numFmtId="0" fontId="157" fillId="36" borderId="0" applyNumberFormat="0" applyBorder="0" applyAlignment="0" applyProtection="0"/>
    <xf numFmtId="0" fontId="157" fillId="36" borderId="0" applyNumberFormat="0" applyBorder="0" applyAlignment="0" applyProtection="0"/>
    <xf numFmtId="0" fontId="157" fillId="29" borderId="0" applyNumberFormat="0" applyBorder="0" applyAlignment="0" applyProtection="0"/>
    <xf numFmtId="0" fontId="157" fillId="29" borderId="0" applyNumberFormat="0" applyBorder="0" applyAlignment="0" applyProtection="0"/>
    <xf numFmtId="0" fontId="157" fillId="29" borderId="0" applyNumberFormat="0" applyBorder="0" applyAlignment="0" applyProtection="0"/>
    <xf numFmtId="0" fontId="157" fillId="29" borderId="0" applyNumberFormat="0" applyBorder="0" applyAlignment="0" applyProtection="0"/>
    <xf numFmtId="0" fontId="157" fillId="56" borderId="0" applyNumberFormat="0" applyBorder="0" applyAlignment="0" applyProtection="0"/>
    <xf numFmtId="0" fontId="157" fillId="29" borderId="0" applyNumberFormat="0" applyBorder="0" applyAlignment="0" applyProtection="0"/>
    <xf numFmtId="0" fontId="157" fillId="29" borderId="0" applyNumberFormat="0" applyBorder="0" applyAlignment="0" applyProtection="0"/>
    <xf numFmtId="0" fontId="157" fillId="29" borderId="0" applyNumberFormat="0" applyBorder="0" applyAlignment="0" applyProtection="0"/>
    <xf numFmtId="0" fontId="157" fillId="32" borderId="0" applyNumberFormat="0" applyBorder="0" applyAlignment="0" applyProtection="0"/>
    <xf numFmtId="0" fontId="157" fillId="61" borderId="0" applyNumberFormat="0" applyBorder="0" applyAlignment="0" applyProtection="0"/>
    <xf numFmtId="0" fontId="157" fillId="32" borderId="0" applyNumberFormat="0" applyBorder="0" applyAlignment="0" applyProtection="0"/>
    <xf numFmtId="0" fontId="157" fillId="32" borderId="0" applyNumberFormat="0" applyBorder="0" applyAlignment="0" applyProtection="0"/>
    <xf numFmtId="0" fontId="157" fillId="32" borderId="0" applyNumberFormat="0" applyBorder="0" applyAlignment="0" applyProtection="0"/>
    <xf numFmtId="0" fontId="157" fillId="33" borderId="0" applyNumberFormat="0" applyBorder="0" applyAlignment="0" applyProtection="0"/>
    <xf numFmtId="0" fontId="157" fillId="33" borderId="0" applyNumberFormat="0" applyBorder="0" applyAlignment="0" applyProtection="0"/>
    <xf numFmtId="0" fontId="157" fillId="33" borderId="0" applyNumberFormat="0" applyBorder="0" applyAlignment="0" applyProtection="0"/>
    <xf numFmtId="0" fontId="157" fillId="33" borderId="0" applyNumberFormat="0" applyBorder="0" applyAlignment="0" applyProtection="0"/>
    <xf numFmtId="0" fontId="157" fillId="60" borderId="0" applyNumberFormat="0" applyBorder="0" applyAlignment="0" applyProtection="0"/>
    <xf numFmtId="0" fontId="157" fillId="33" borderId="0" applyNumberFormat="0" applyBorder="0" applyAlignment="0" applyProtection="0"/>
    <xf numFmtId="0" fontId="157" fillId="33" borderId="0" applyNumberFormat="0" applyBorder="0" applyAlignment="0" applyProtection="0"/>
    <xf numFmtId="0" fontId="157" fillId="33" borderId="0" applyNumberFormat="0" applyBorder="0" applyAlignment="0" applyProtection="0"/>
    <xf numFmtId="0" fontId="157" fillId="29" borderId="0" applyNumberFormat="0" applyBorder="0" applyAlignment="0" applyProtection="0"/>
    <xf numFmtId="0" fontId="157" fillId="29" borderId="0" applyNumberFormat="0" applyBorder="0" applyAlignment="0" applyProtection="0"/>
    <xf numFmtId="0" fontId="157" fillId="59" borderId="0" applyNumberFormat="0" applyBorder="0" applyAlignment="0" applyProtection="0"/>
    <xf numFmtId="0" fontId="157" fillId="29" borderId="0" applyNumberFormat="0" applyBorder="0" applyAlignment="0" applyProtection="0"/>
    <xf numFmtId="0" fontId="157" fillId="59" borderId="0" applyNumberFormat="0" applyBorder="0" applyAlignment="0" applyProtection="0"/>
    <xf numFmtId="0" fontId="157" fillId="29" borderId="0" applyNumberFormat="0" applyBorder="0" applyAlignment="0" applyProtection="0"/>
    <xf numFmtId="0" fontId="157" fillId="29" borderId="0" applyNumberFormat="0" applyBorder="0" applyAlignment="0" applyProtection="0"/>
    <xf numFmtId="0" fontId="157" fillId="58" borderId="0" applyNumberFormat="0" applyBorder="0" applyAlignment="0" applyProtection="0"/>
    <xf numFmtId="0" fontId="157" fillId="57" borderId="0" applyNumberFormat="0" applyBorder="0" applyAlignment="0" applyProtection="0"/>
    <xf numFmtId="0" fontId="157" fillId="53" borderId="0" applyNumberFormat="0" applyBorder="0" applyAlignment="0" applyProtection="0"/>
    <xf numFmtId="0" fontId="157" fillId="52" borderId="0" applyNumberFormat="0" applyBorder="0" applyAlignment="0" applyProtection="0"/>
    <xf numFmtId="0" fontId="157" fillId="55" borderId="0" applyNumberFormat="0" applyBorder="0" applyAlignment="0" applyProtection="0"/>
    <xf numFmtId="0" fontId="145" fillId="48" borderId="0" applyNumberFormat="0" applyBorder="0" applyAlignment="0" applyProtection="0"/>
    <xf numFmtId="0" fontId="145" fillId="53" borderId="0" applyNumberFormat="0" applyBorder="0" applyAlignment="0" applyProtection="0"/>
    <xf numFmtId="0" fontId="145" fillId="51" borderId="0" applyNumberFormat="0" applyBorder="0" applyAlignment="0" applyProtection="0"/>
    <xf numFmtId="0" fontId="145" fillId="49" borderId="0" applyNumberFormat="0" applyBorder="0" applyAlignment="0" applyProtection="0"/>
    <xf numFmtId="0" fontId="145" fillId="47" borderId="0" applyNumberFormat="0" applyBorder="0" applyAlignment="0" applyProtection="0"/>
    <xf numFmtId="0" fontId="145" fillId="46" borderId="0" applyNumberFormat="0" applyBorder="0" applyAlignment="0" applyProtection="0"/>
    <xf numFmtId="0" fontId="156" fillId="0" borderId="174" applyNumberFormat="0" applyFill="0" applyAlignment="0" applyProtection="0"/>
    <xf numFmtId="0" fontId="153" fillId="40" borderId="171" applyNumberFormat="0" applyAlignment="0" applyProtection="0"/>
    <xf numFmtId="0" fontId="153" fillId="40" borderId="171" applyNumberFormat="0" applyAlignment="0" applyProtection="0"/>
    <xf numFmtId="0" fontId="2" fillId="0" borderId="0"/>
    <xf numFmtId="0" fontId="14" fillId="0" borderId="0"/>
    <xf numFmtId="0" fontId="14" fillId="0" borderId="0"/>
    <xf numFmtId="0" fontId="151" fillId="44" borderId="0" applyNumberFormat="0" applyBorder="0" applyAlignment="0" applyProtection="0"/>
    <xf numFmtId="0" fontId="161" fillId="0" borderId="170" applyNumberFormat="0" applyFill="0" applyAlignment="0" applyProtection="0"/>
    <xf numFmtId="0" fontId="152" fillId="37" borderId="1" applyNumberFormat="0" applyAlignment="0" applyProtection="0"/>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49" fillId="0" borderId="0" applyNumberFormat="0" applyFill="0" applyBorder="0" applyAlignment="0" applyProtection="0"/>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50" fillId="34" borderId="0" applyNumberFormat="0" applyBorder="0" applyAlignment="0" applyProtection="0"/>
    <xf numFmtId="0" fontId="148" fillId="0" borderId="168" applyNumberFormat="0" applyFill="0" applyAlignment="0" applyProtection="0"/>
    <xf numFmtId="44" fontId="14" fillId="0" borderId="0" applyFont="0" applyFill="0" applyBorder="0" applyAlignment="0" applyProtection="0"/>
    <xf numFmtId="44" fontId="14" fillId="0" borderId="0" applyFont="0" applyFill="0" applyBorder="0" applyAlignment="0" applyProtection="0"/>
    <xf numFmtId="44" fontId="14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54" fillId="32" borderId="165" applyNumberFormat="0" applyAlignment="0" applyProtection="0"/>
    <xf numFmtId="43" fontId="14" fillId="0" borderId="0" applyFont="0" applyFill="0" applyBorder="0" applyAlignment="0" applyProtection="0"/>
    <xf numFmtId="0" fontId="160" fillId="40" borderId="1" applyNumberFormat="0" applyAlignment="0" applyProtection="0"/>
    <xf numFmtId="0" fontId="160" fillId="40" borderId="1" applyNumberFormat="0" applyAlignment="0" applyProtection="0"/>
    <xf numFmtId="0" fontId="157" fillId="38" borderId="0" applyNumberFormat="0" applyBorder="0" applyAlignment="0" applyProtection="0"/>
    <xf numFmtId="0" fontId="159" fillId="39" borderId="0" applyNumberFormat="0" applyBorder="0" applyAlignment="0" applyProtection="0"/>
    <xf numFmtId="0" fontId="159" fillId="39" borderId="0" applyNumberFormat="0" applyBorder="0" applyAlignment="0" applyProtection="0"/>
    <xf numFmtId="0" fontId="157" fillId="38" borderId="0" applyNumberFormat="0" applyBorder="0" applyAlignment="0" applyProtection="0"/>
    <xf numFmtId="0" fontId="157" fillId="36" borderId="0" applyNumberFormat="0" applyBorder="0" applyAlignment="0" applyProtection="0"/>
    <xf numFmtId="0" fontId="157" fillId="36" borderId="0" applyNumberFormat="0" applyBorder="0" applyAlignment="0" applyProtection="0"/>
    <xf numFmtId="0" fontId="157" fillId="32" borderId="0" applyNumberFormat="0" applyBorder="0" applyAlignment="0" applyProtection="0"/>
    <xf numFmtId="0" fontId="157" fillId="33" borderId="0" applyNumberFormat="0" applyBorder="0" applyAlignment="0" applyProtection="0"/>
    <xf numFmtId="0" fontId="157" fillId="29" borderId="0" applyNumberFormat="0" applyBorder="0" applyAlignment="0" applyProtection="0"/>
    <xf numFmtId="0" fontId="157" fillId="29" borderId="0" applyNumberFormat="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37" fillId="0" borderId="0" applyNumberFormat="0" applyFill="0" applyBorder="0" applyAlignment="0" applyProtection="0">
      <alignment vertical="top"/>
      <protection locked="0"/>
    </xf>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0" fontId="147" fillId="0" borderId="167" applyNumberFormat="0" applyFill="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66" borderId="2" applyNumberFormat="0" applyFont="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2" fillId="0" borderId="0"/>
    <xf numFmtId="0" fontId="2" fillId="0" borderId="0"/>
    <xf numFmtId="0" fontId="2" fillId="0" borderId="0"/>
    <xf numFmtId="0" fontId="14" fillId="0" borderId="0"/>
    <xf numFmtId="0" fontId="151" fillId="44" borderId="0" applyNumberFormat="0" applyBorder="0" applyAlignment="0" applyProtection="0"/>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49" fillId="0" borderId="0" applyNumberFormat="0" applyFill="0" applyBorder="0" applyAlignment="0" applyProtection="0"/>
    <xf numFmtId="0" fontId="149" fillId="0" borderId="169" applyNumberFormat="0" applyFill="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57" fillId="60" borderId="0" applyNumberFormat="0" applyBorder="0" applyAlignment="0" applyProtection="0"/>
    <xf numFmtId="0" fontId="152" fillId="50" borderId="1" applyNumberFormat="0" applyAlignment="0" applyProtection="0"/>
    <xf numFmtId="0" fontId="180" fillId="0" borderId="176" applyNumberFormat="0" applyFill="0" applyAlignment="0" applyProtection="0"/>
    <xf numFmtId="0" fontId="178" fillId="0" borderId="175" applyNumberFormat="0" applyFill="0" applyAlignment="0" applyProtection="0"/>
    <xf numFmtId="0" fontId="150" fillId="47" borderId="0" applyNumberFormat="0" applyBorder="0" applyAlignment="0" applyProtection="0"/>
    <xf numFmtId="0" fontId="150" fillId="47" borderId="0" applyNumberFormat="0" applyBorder="0" applyAlignment="0" applyProtection="0"/>
    <xf numFmtId="0" fontId="154" fillId="64" borderId="165" applyNumberFormat="0" applyAlignment="0" applyProtection="0"/>
    <xf numFmtId="0" fontId="175" fillId="46" borderId="0" applyNumberFormat="0" applyBorder="0" applyAlignment="0" applyProtection="0"/>
    <xf numFmtId="0" fontId="157" fillId="57" borderId="0" applyNumberFormat="0" applyBorder="0" applyAlignment="0" applyProtection="0"/>
    <xf numFmtId="0" fontId="157" fillId="61" borderId="0" applyNumberFormat="0" applyBorder="0" applyAlignment="0" applyProtection="0"/>
    <xf numFmtId="0" fontId="14" fillId="30" borderId="2" applyNumberFormat="0" applyFont="0" applyAlignment="0" applyProtection="0"/>
    <xf numFmtId="0" fontId="153" fillId="63" borderId="171" applyNumberFormat="0" applyAlignment="0" applyProtection="0"/>
    <xf numFmtId="0" fontId="14" fillId="0" borderId="0"/>
    <xf numFmtId="0" fontId="180" fillId="0" borderId="0" applyNumberFormat="0" applyFill="0" applyBorder="0" applyAlignment="0" applyProtection="0"/>
    <xf numFmtId="0" fontId="178" fillId="0" borderId="175" applyNumberFormat="0" applyFill="0" applyAlignment="0" applyProtection="0"/>
    <xf numFmtId="0" fontId="147" fillId="0" borderId="167" applyNumberFormat="0" applyFill="0" applyAlignment="0" applyProtection="0"/>
    <xf numFmtId="0" fontId="177" fillId="0" borderId="0" applyNumberForma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50" fillId="47" borderId="0" applyNumberFormat="0" applyBorder="0" applyAlignment="0" applyProtection="0"/>
    <xf numFmtId="0" fontId="2" fillId="0" borderId="0"/>
    <xf numFmtId="43" fontId="2" fillId="0" borderId="0" applyFont="0" applyFill="0" applyBorder="0" applyAlignment="0" applyProtection="0"/>
    <xf numFmtId="0" fontId="159" fillId="39" borderId="0" applyNumberFormat="0" applyBorder="0" applyAlignment="0" applyProtection="0"/>
    <xf numFmtId="0" fontId="160" fillId="40" borderId="1" applyNumberFormat="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52" fillId="37" borderId="1" applyNumberFormat="0" applyAlignment="0" applyProtection="0"/>
    <xf numFmtId="44"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0" fontId="153" fillId="40" borderId="171" applyNumberFormat="0" applyAlignment="0" applyProtection="0"/>
    <xf numFmtId="0" fontId="2" fillId="0" borderId="0"/>
    <xf numFmtId="0" fontId="157" fillId="36" borderId="0" applyNumberFormat="0" applyBorder="0" applyAlignment="0" applyProtection="0"/>
    <xf numFmtId="0" fontId="157" fillId="32" borderId="0" applyNumberFormat="0" applyBorder="0" applyAlignment="0" applyProtection="0"/>
    <xf numFmtId="0" fontId="157" fillId="29" borderId="0" applyNumberFormat="0" applyBorder="0" applyAlignment="0" applyProtection="0"/>
    <xf numFmtId="0" fontId="155" fillId="0" borderId="0" applyNumberFormat="0" applyFill="0" applyBorder="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82" fillId="0" borderId="0" applyNumberFormat="0" applyFill="0" applyBorder="0" applyAlignment="0" applyProtection="0"/>
    <xf numFmtId="0" fontId="156" fillId="0" borderId="177" applyNumberFormat="0" applyFill="0" applyAlignment="0" applyProtection="0"/>
    <xf numFmtId="0" fontId="153" fillId="40" borderId="171" applyNumberFormat="0" applyAlignment="0" applyProtection="0"/>
    <xf numFmtId="0" fontId="153" fillId="63" borderId="171" applyNumberFormat="0" applyAlignment="0" applyProtection="0"/>
    <xf numFmtId="0" fontId="153" fillId="40" borderId="171" applyNumberFormat="0" applyAlignment="0" applyProtection="0"/>
    <xf numFmtId="0" fontId="14" fillId="66" borderId="2" applyNumberFormat="0" applyFont="0" applyAlignment="0" applyProtection="0"/>
    <xf numFmtId="0" fontId="14" fillId="30" borderId="2" applyNumberFormat="0" applyFont="0" applyAlignment="0" applyProtection="0"/>
    <xf numFmtId="0" fontId="14" fillId="0" borderId="0"/>
    <xf numFmtId="0" fontId="14" fillId="0" borderId="0"/>
    <xf numFmtId="0" fontId="181" fillId="0" borderId="170" applyNumberFormat="0" applyFill="0" applyAlignment="0" applyProtection="0"/>
    <xf numFmtId="0" fontId="161" fillId="0" borderId="170" applyNumberFormat="0" applyFill="0" applyAlignment="0" applyProtection="0"/>
    <xf numFmtId="0" fontId="161" fillId="0" borderId="170" applyNumberFormat="0" applyFill="0" applyAlignment="0" applyProtection="0"/>
    <xf numFmtId="4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0" fontId="14" fillId="0" borderId="0"/>
    <xf numFmtId="0" fontId="168" fillId="0" borderId="0"/>
    <xf numFmtId="0" fontId="14" fillId="0" borderId="0"/>
    <xf numFmtId="0" fontId="14" fillId="0" borderId="0"/>
    <xf numFmtId="44" fontId="14" fillId="0" borderId="0" applyFont="0" applyFill="0" applyBorder="0" applyAlignment="0" applyProtection="0"/>
    <xf numFmtId="43" fontId="14" fillId="0" borderId="0" applyFont="0" applyFill="0" applyBorder="0" applyAlignment="0" applyProtection="0"/>
    <xf numFmtId="43" fontId="16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61" fillId="0" borderId="170" applyNumberFormat="0" applyFill="0" applyAlignment="0" applyProtection="0"/>
    <xf numFmtId="0" fontId="148" fillId="0" borderId="168" applyNumberFormat="0" applyFill="0" applyAlignment="0" applyProtection="0"/>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47" fillId="0" borderId="167" applyNumberFormat="0" applyFill="0" applyAlignment="0" applyProtection="0"/>
    <xf numFmtId="0" fontId="150" fillId="34" borderId="0" applyNumberFormat="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51" fillId="65" borderId="0" applyNumberFormat="0" applyBorder="0" applyAlignment="0" applyProtection="0"/>
    <xf numFmtId="0" fontId="157" fillId="60" borderId="0" applyNumberFormat="0" applyBorder="0" applyAlignment="0" applyProtection="0"/>
    <xf numFmtId="0" fontId="157" fillId="59" borderId="0" applyNumberFormat="0" applyBorder="0" applyAlignment="0" applyProtection="0"/>
    <xf numFmtId="0" fontId="152" fillId="50" borderId="1" applyNumberFormat="0" applyAlignment="0" applyProtection="0"/>
    <xf numFmtId="0" fontId="149" fillId="0" borderId="169" applyNumberFormat="0" applyFill="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14" fillId="0" borderId="0" applyFont="0" applyFill="0" applyBorder="0" applyAlignment="0" applyProtection="0"/>
    <xf numFmtId="0" fontId="2" fillId="0" borderId="0"/>
    <xf numFmtId="0" fontId="152" fillId="37" borderId="1" applyNumberFormat="0" applyAlignment="0" applyProtection="0"/>
    <xf numFmtId="0" fontId="156" fillId="0" borderId="174"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47" fillId="0" borderId="167" applyNumberFormat="0" applyFill="0" applyAlignment="0" applyProtection="0"/>
    <xf numFmtId="0" fontId="14" fillId="30" borderId="2" applyNumberFormat="0" applyFont="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44" borderId="0" applyNumberFormat="0" applyBorder="0" applyAlignment="0" applyProtection="0"/>
    <xf numFmtId="0" fontId="151" fillId="65" borderId="0" applyNumberFormat="0" applyBorder="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30" borderId="2" applyNumberFormat="0" applyFon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40" borderId="171" applyNumberFormat="0" applyAlignment="0" applyProtection="0"/>
    <xf numFmtId="0" fontId="153" fillId="63" borderId="171" applyNumberFormat="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55"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156" fillId="0" borderId="174" applyNumberFormat="0" applyFill="0" applyAlignment="0" applyProtection="0"/>
    <xf numFmtId="0" fontId="185" fillId="0" borderId="141" applyNumberFormat="0" applyFont="0" applyFill="0" applyAlignment="0" applyProtection="0"/>
    <xf numFmtId="0" fontId="153" fillId="40" borderId="171"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176" fillId="63" borderId="1" applyNumberFormat="0" applyAlignment="0" applyProtection="0"/>
    <xf numFmtId="0" fontId="2" fillId="0" borderId="0"/>
    <xf numFmtId="0" fontId="2" fillId="0" borderId="0"/>
    <xf numFmtId="0" fontId="2" fillId="0" borderId="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60" fillId="40" borderId="1" applyNumberFormat="0" applyAlignment="0" applyProtection="0"/>
    <xf numFmtId="0" fontId="176" fillId="63" borderId="1" applyNumberFormat="0" applyAlignment="0" applyProtection="0"/>
    <xf numFmtId="0" fontId="176" fillId="63"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4" fillId="66" borderId="2" applyNumberFormat="0" applyFont="0" applyAlignment="0" applyProtection="0"/>
    <xf numFmtId="0" fontId="14" fillId="66" borderId="2" applyNumberFormat="0" applyFont="0" applyAlignment="0" applyProtection="0"/>
    <xf numFmtId="43" fontId="2" fillId="0" borderId="0" applyFont="0" applyFill="0" applyBorder="0" applyAlignment="0" applyProtection="0"/>
    <xf numFmtId="0" fontId="153" fillId="40" borderId="171" applyNumberFormat="0" applyAlignment="0" applyProtection="0"/>
    <xf numFmtId="0" fontId="156" fillId="0" borderId="177" applyNumberFormat="0" applyFill="0" applyAlignment="0" applyProtection="0"/>
    <xf numFmtId="0" fontId="14" fillId="30" borderId="2" applyNumberFormat="0" applyFont="0" applyAlignment="0" applyProtection="0"/>
    <xf numFmtId="0" fontId="153" fillId="63" borderId="171" applyNumberFormat="0" applyAlignment="0" applyProtection="0"/>
    <xf numFmtId="0" fontId="156" fillId="0" borderId="177" applyNumberFormat="0" applyFill="0" applyAlignment="0" applyProtection="0"/>
    <xf numFmtId="0" fontId="152" fillId="37" borderId="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40" borderId="171" applyNumberFormat="0" applyAlignment="0" applyProtection="0"/>
    <xf numFmtId="0" fontId="153" fillId="63" borderId="171" applyNumberFormat="0" applyAlignment="0" applyProtection="0"/>
    <xf numFmtId="0" fontId="153" fillId="63" borderId="171" applyNumberFormat="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2" fillId="50" borderId="1" applyNumberFormat="0" applyAlignment="0" applyProtection="0"/>
    <xf numFmtId="0" fontId="153" fillId="63" borderId="17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52" fillId="50" borderId="1" applyNumberFormat="0" applyAlignment="0" applyProtection="0"/>
    <xf numFmtId="0" fontId="14" fillId="66" borderId="2" applyNumberFormat="0" applyFont="0" applyAlignment="0" applyProtection="0"/>
    <xf numFmtId="0" fontId="153" fillId="63" borderId="171" applyNumberFormat="0" applyAlignment="0" applyProtection="0"/>
    <xf numFmtId="0" fontId="176" fillId="63" borderId="1" applyNumberFormat="0" applyAlignment="0" applyProtection="0"/>
    <xf numFmtId="0" fontId="156" fillId="0" borderId="177" applyNumberFormat="0" applyFill="0" applyAlignment="0" applyProtection="0"/>
    <xf numFmtId="0" fontId="14" fillId="66" borderId="2" applyNumberFormat="0" applyFont="0" applyAlignment="0" applyProtection="0"/>
    <xf numFmtId="0" fontId="153" fillId="63" borderId="171" applyNumberFormat="0" applyAlignment="0" applyProtection="0"/>
    <xf numFmtId="0" fontId="153" fillId="40" borderId="171" applyNumberFormat="0" applyAlignment="0" applyProtection="0"/>
    <xf numFmtId="0" fontId="176" fillId="63" borderId="1" applyNumberFormat="0" applyAlignment="0" applyProtection="0"/>
    <xf numFmtId="0" fontId="176" fillId="63" borderId="1" applyNumberFormat="0" applyAlignment="0" applyProtection="0"/>
    <xf numFmtId="0" fontId="152" fillId="50" borderId="1" applyNumberFormat="0" applyAlignment="0" applyProtection="0"/>
    <xf numFmtId="0" fontId="156" fillId="0" borderId="177" applyNumberFormat="0" applyFill="0" applyAlignment="0" applyProtection="0"/>
    <xf numFmtId="0" fontId="152" fillId="50"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52" fillId="37"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56" fillId="0" borderId="174" applyNumberFormat="0" applyFill="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3" fillId="40" borderId="171" applyNumberFormat="0" applyAlignment="0" applyProtection="0"/>
    <xf numFmtId="0" fontId="14" fillId="66" borderId="2" applyNumberFormat="0" applyFont="0" applyAlignment="0" applyProtection="0"/>
    <xf numFmtId="0" fontId="176" fillId="63" borderId="1" applyNumberForma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76" fillId="63" borderId="1" applyNumberFormat="0" applyAlignment="0" applyProtection="0"/>
    <xf numFmtId="0" fontId="176" fillId="63" borderId="1" applyNumberFormat="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60" fillId="40" borderId="1" applyNumberFormat="0" applyAlignment="0" applyProtection="0"/>
    <xf numFmtId="0" fontId="156" fillId="0" borderId="177" applyNumberFormat="0" applyFill="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4" fillId="66" borderId="2" applyNumberFormat="0" applyFont="0" applyAlignment="0" applyProtection="0"/>
    <xf numFmtId="0" fontId="14" fillId="66" borderId="2" applyNumberFormat="0" applyFont="0" applyAlignment="0" applyProtection="0"/>
    <xf numFmtId="0" fontId="153" fillId="63" borderId="171" applyNumberFormat="0" applyAlignment="0" applyProtection="0"/>
    <xf numFmtId="0" fontId="14" fillId="30" borderId="2" applyNumberFormat="0" applyFont="0" applyAlignment="0" applyProtection="0"/>
    <xf numFmtId="0" fontId="156" fillId="0" borderId="177" applyNumberFormat="0" applyFill="0" applyAlignment="0" applyProtection="0"/>
    <xf numFmtId="0" fontId="153" fillId="63" borderId="171" applyNumberFormat="0" applyAlignment="0" applyProtection="0"/>
    <xf numFmtId="0" fontId="153" fillId="63" borderId="171" applyNumberFormat="0" applyAlignment="0" applyProtection="0"/>
    <xf numFmtId="0" fontId="153" fillId="40" borderId="171" applyNumberFormat="0" applyAlignment="0" applyProtection="0"/>
    <xf numFmtId="0" fontId="153" fillId="63" borderId="171" applyNumberFormat="0" applyAlignment="0" applyProtection="0"/>
    <xf numFmtId="0" fontId="153" fillId="63" borderId="171" applyNumberFormat="0" applyAlignment="0" applyProtection="0"/>
    <xf numFmtId="0" fontId="160" fillId="40" borderId="1" applyNumberFormat="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3" fillId="63" borderId="171" applyNumberFormat="0" applyAlignment="0" applyProtection="0"/>
    <xf numFmtId="0" fontId="156" fillId="0" borderId="177" applyNumberFormat="0" applyFill="0" applyAlignment="0" applyProtection="0"/>
    <xf numFmtId="0" fontId="14" fillId="66" borderId="2" applyNumberFormat="0" applyFont="0" applyAlignment="0" applyProtection="0"/>
    <xf numFmtId="0" fontId="152" fillId="50" borderId="1" applyNumberFormat="0" applyAlignment="0" applyProtection="0"/>
    <xf numFmtId="0" fontId="152" fillId="37"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3" fillId="63" borderId="171" applyNumberFormat="0" applyAlignment="0" applyProtection="0"/>
    <xf numFmtId="0" fontId="14" fillId="30" borderId="2" applyNumberFormat="0" applyFont="0" applyAlignment="0" applyProtection="0"/>
    <xf numFmtId="0" fontId="152" fillId="37" borderId="1" applyNumberFormat="0" applyAlignment="0" applyProtection="0"/>
    <xf numFmtId="0" fontId="152" fillId="37" borderId="1" applyNumberFormat="0" applyAlignment="0" applyProtection="0"/>
    <xf numFmtId="0" fontId="152" fillId="37" borderId="1" applyNumberFormat="0" applyAlignment="0" applyProtection="0"/>
    <xf numFmtId="0" fontId="152" fillId="50" borderId="1" applyNumberFormat="0" applyAlignment="0" applyProtection="0"/>
    <xf numFmtId="0" fontId="176" fillId="63" borderId="1" applyNumberFormat="0" applyAlignment="0" applyProtection="0"/>
    <xf numFmtId="0" fontId="160" fillId="40" borderId="1" applyNumberFormat="0" applyAlignment="0" applyProtection="0"/>
    <xf numFmtId="0" fontId="176" fillId="63" borderId="1" applyNumberFormat="0" applyAlignment="0" applyProtection="0"/>
    <xf numFmtId="0" fontId="176" fillId="63" borderId="1" applyNumberFormat="0" applyAlignment="0" applyProtection="0"/>
    <xf numFmtId="0" fontId="152" fillId="37"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30" borderId="2" applyNumberFormat="0" applyFont="0" applyAlignment="0" applyProtection="0"/>
    <xf numFmtId="0" fontId="153" fillId="40" borderId="171" applyNumberFormat="0" applyAlignment="0" applyProtection="0"/>
    <xf numFmtId="0" fontId="153" fillId="40" borderId="171" applyNumberFormat="0" applyAlignment="0" applyProtection="0"/>
    <xf numFmtId="0" fontId="153" fillId="40" borderId="171" applyNumberFormat="0" applyAlignment="0" applyProtection="0"/>
    <xf numFmtId="0" fontId="153" fillId="40" borderId="171" applyNumberFormat="0" applyAlignment="0" applyProtection="0"/>
    <xf numFmtId="0" fontId="153" fillId="40" borderId="171" applyNumberFormat="0" applyAlignment="0" applyProtection="0"/>
    <xf numFmtId="0" fontId="185" fillId="0" borderId="141" applyNumberFormat="0" applyFon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4" fillId="66" borderId="2" applyNumberFormat="0" applyFont="0" applyAlignment="0" applyProtection="0"/>
    <xf numFmtId="0" fontId="152" fillId="50" borderId="1" applyNumberForma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56" fillId="0" borderId="174" applyNumberFormat="0" applyFill="0" applyAlignment="0" applyProtection="0"/>
    <xf numFmtId="0" fontId="153" fillId="40" borderId="171" applyNumberForma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30"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30"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56" fillId="0" borderId="177" applyNumberFormat="0" applyFill="0" applyAlignment="0" applyProtection="0"/>
    <xf numFmtId="0" fontId="156" fillId="0" borderId="177" applyNumberFormat="0" applyFill="0" applyAlignment="0" applyProtection="0"/>
    <xf numFmtId="0" fontId="160" fillId="40" borderId="1" applyNumberFormat="0" applyAlignment="0" applyProtection="0"/>
    <xf numFmtId="0" fontId="176" fillId="63" borderId="1" applyNumberFormat="0" applyAlignment="0" applyProtection="0"/>
    <xf numFmtId="0" fontId="176" fillId="63" borderId="1" applyNumberFormat="0" applyAlignment="0" applyProtection="0"/>
    <xf numFmtId="0" fontId="152" fillId="50" borderId="1" applyNumberFormat="0" applyAlignment="0" applyProtection="0"/>
    <xf numFmtId="0" fontId="152" fillId="37"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37" borderId="1" applyNumberFormat="0" applyAlignment="0" applyProtection="0"/>
    <xf numFmtId="0" fontId="152" fillId="50" borderId="1" applyNumberFormat="0" applyAlignment="0" applyProtection="0"/>
    <xf numFmtId="0" fontId="152" fillId="50" borderId="1" applyNumberFormat="0" applyAlignment="0" applyProtection="0"/>
    <xf numFmtId="0" fontId="14" fillId="66" borderId="2" applyNumberFormat="0" applyFont="0" applyAlignment="0" applyProtection="0"/>
    <xf numFmtId="0" fontId="14" fillId="66" borderId="2" applyNumberFormat="0" applyFont="0" applyAlignment="0" applyProtection="0"/>
    <xf numFmtId="0" fontId="152" fillId="50" borderId="1" applyNumberFormat="0" applyAlignment="0" applyProtection="0"/>
    <xf numFmtId="0" fontId="14" fillId="66" borderId="2" applyNumberFormat="0" applyFont="0" applyAlignment="0" applyProtection="0"/>
    <xf numFmtId="0" fontId="14" fillId="66" borderId="2" applyNumberFormat="0" applyFont="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40"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4" fillId="30" borderId="2" applyNumberFormat="0" applyFont="0" applyAlignment="0" applyProtection="0"/>
    <xf numFmtId="0" fontId="14" fillId="30" borderId="2" applyNumberFormat="0" applyFont="0" applyAlignment="0" applyProtection="0"/>
    <xf numFmtId="0" fontId="152" fillId="37"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60" fillId="40"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60" fillId="40"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60" fillId="40"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4" fillId="30"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85" fillId="0" borderId="141" applyNumberFormat="0" applyFont="0" applyFill="0" applyAlignment="0" applyProtection="0"/>
    <xf numFmtId="0" fontId="153" fillId="40" borderId="171" applyNumberFormat="0" applyAlignment="0" applyProtection="0"/>
    <xf numFmtId="0" fontId="153" fillId="40" borderId="171" applyNumberFormat="0" applyAlignment="0" applyProtection="0"/>
    <xf numFmtId="0" fontId="153" fillId="40" borderId="171" applyNumberFormat="0" applyAlignment="0" applyProtection="0"/>
    <xf numFmtId="43" fontId="2" fillId="0" borderId="0" applyFont="0" applyFill="0" applyBorder="0" applyAlignment="0" applyProtection="0"/>
    <xf numFmtId="0" fontId="152" fillId="37" borderId="1" applyNumberFormat="0" applyAlignment="0" applyProtection="0"/>
    <xf numFmtId="0" fontId="152" fillId="37" borderId="1" applyNumberFormat="0" applyAlignment="0" applyProtection="0"/>
    <xf numFmtId="0" fontId="152" fillId="37" borderId="1" applyNumberFormat="0" applyAlignment="0" applyProtection="0"/>
    <xf numFmtId="0" fontId="14" fillId="30" borderId="2" applyNumberFormat="0" applyFont="0" applyAlignment="0" applyProtection="0"/>
    <xf numFmtId="0" fontId="152" fillId="50" borderId="1" applyNumberFormat="0" applyAlignment="0" applyProtection="0"/>
    <xf numFmtId="0" fontId="152" fillId="50" borderId="1" applyNumberFormat="0" applyAlignment="0" applyProtection="0"/>
    <xf numFmtId="0" fontId="156" fillId="0" borderId="174" applyNumberFormat="0" applyFill="0" applyAlignment="0" applyProtection="0"/>
    <xf numFmtId="0" fontId="156" fillId="0" borderId="177" applyNumberFormat="0" applyFill="0" applyAlignment="0" applyProtection="0"/>
    <xf numFmtId="0" fontId="176" fillId="63" borderId="1" applyNumberFormat="0" applyAlignment="0" applyProtection="0"/>
    <xf numFmtId="0" fontId="14" fillId="30" borderId="2" applyNumberFormat="0" applyFont="0" applyAlignment="0" applyProtection="0"/>
    <xf numFmtId="0" fontId="152" fillId="37" borderId="1" applyNumberFormat="0" applyAlignment="0" applyProtection="0"/>
    <xf numFmtId="0" fontId="156" fillId="0" borderId="177" applyNumberFormat="0" applyFill="0" applyAlignment="0" applyProtection="0"/>
    <xf numFmtId="0" fontId="156" fillId="0" borderId="177" applyNumberFormat="0" applyFill="0" applyAlignment="0" applyProtection="0"/>
    <xf numFmtId="0" fontId="160" fillId="40" borderId="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40"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60" fillId="40" borderId="1" applyNumberFormat="0" applyAlignment="0" applyProtection="0"/>
    <xf numFmtId="0" fontId="160" fillId="40" borderId="1" applyNumberFormat="0" applyAlignment="0" applyProtection="0"/>
    <xf numFmtId="0" fontId="160" fillId="40" borderId="1" applyNumberFormat="0" applyAlignment="0" applyProtection="0"/>
    <xf numFmtId="0" fontId="160" fillId="40" borderId="1" applyNumberFormat="0" applyAlignment="0" applyProtection="0"/>
    <xf numFmtId="0" fontId="160" fillId="40" borderId="1" applyNumberFormat="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4" fillId="66" borderId="2" applyNumberFormat="0" applyFont="0" applyAlignment="0" applyProtection="0"/>
    <xf numFmtId="0" fontId="153" fillId="63" borderId="171" applyNumberFormat="0" applyAlignment="0" applyProtection="0"/>
    <xf numFmtId="0" fontId="153" fillId="63" borderId="171" applyNumberFormat="0" applyAlignment="0" applyProtection="0"/>
    <xf numFmtId="0" fontId="156" fillId="0" borderId="177" applyNumberFormat="0" applyFill="0" applyAlignment="0" applyProtection="0"/>
    <xf numFmtId="0" fontId="14" fillId="30" borderId="2" applyNumberFormat="0" applyFont="0" applyAlignment="0" applyProtection="0"/>
    <xf numFmtId="0" fontId="152" fillId="50" borderId="1" applyNumberFormat="0" applyAlignment="0" applyProtection="0"/>
    <xf numFmtId="0" fontId="176" fillId="63" borderId="1" applyNumberFormat="0" applyAlignment="0" applyProtection="0"/>
    <xf numFmtId="0" fontId="156" fillId="0" borderId="174" applyNumberFormat="0" applyFill="0" applyAlignment="0" applyProtection="0"/>
    <xf numFmtId="0" fontId="156" fillId="0" borderId="174" applyNumberFormat="0" applyFill="0" applyAlignment="0" applyProtection="0"/>
    <xf numFmtId="0" fontId="152" fillId="50" borderId="1" applyNumberFormat="0" applyAlignment="0" applyProtection="0"/>
    <xf numFmtId="0" fontId="14" fillId="66" borderId="2" applyNumberFormat="0" applyFont="0" applyAlignment="0" applyProtection="0"/>
    <xf numFmtId="0" fontId="152" fillId="37" borderId="1" applyNumberFormat="0" applyAlignment="0" applyProtection="0"/>
    <xf numFmtId="0" fontId="14" fillId="66" borderId="2" applyNumberFormat="0" applyFont="0" applyAlignment="0" applyProtection="0"/>
    <xf numFmtId="0" fontId="14" fillId="30"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76" fillId="63"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6" fillId="0" borderId="177" applyNumberFormat="0" applyFill="0" applyAlignment="0" applyProtection="0"/>
    <xf numFmtId="0" fontId="160" fillId="40" borderId="1" applyNumberFormat="0" applyAlignment="0" applyProtection="0"/>
    <xf numFmtId="0" fontId="153" fillId="63" borderId="171" applyNumberFormat="0" applyAlignment="0" applyProtection="0"/>
    <xf numFmtId="0" fontId="153" fillId="63" borderId="171" applyNumberFormat="0" applyAlignment="0" applyProtection="0"/>
    <xf numFmtId="0" fontId="176" fillId="63" borderId="1" applyNumberFormat="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76" fillId="63" borderId="1" applyNumberFormat="0" applyAlignment="0" applyProtection="0"/>
    <xf numFmtId="0" fontId="153" fillId="63" borderId="171" applyNumberFormat="0" applyAlignment="0" applyProtection="0"/>
    <xf numFmtId="0" fontId="153" fillId="63" borderId="171" applyNumberFormat="0" applyAlignment="0" applyProtection="0"/>
    <xf numFmtId="0" fontId="14" fillId="30" borderId="2" applyNumberFormat="0" applyFont="0" applyAlignment="0" applyProtection="0"/>
    <xf numFmtId="0" fontId="156" fillId="0" borderId="177" applyNumberFormat="0" applyFill="0" applyAlignment="0" applyProtection="0"/>
    <xf numFmtId="0" fontId="14" fillId="66" borderId="2" applyNumberFormat="0" applyFont="0" applyAlignment="0" applyProtection="0"/>
    <xf numFmtId="0" fontId="152" fillId="37" borderId="1" applyNumberFormat="0" applyAlignment="0" applyProtection="0"/>
    <xf numFmtId="0" fontId="14" fillId="66" borderId="2" applyNumberFormat="0" applyFont="0" applyAlignment="0" applyProtection="0"/>
    <xf numFmtId="0" fontId="156" fillId="0" borderId="177" applyNumberFormat="0" applyFill="0" applyAlignment="0" applyProtection="0"/>
    <xf numFmtId="0" fontId="156" fillId="0" borderId="174" applyNumberFormat="0" applyFill="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76" fillId="63"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37" borderId="1" applyNumberFormat="0" applyAlignment="0" applyProtection="0"/>
    <xf numFmtId="0" fontId="152" fillId="50" borderId="1" applyNumberFormat="0" applyAlignment="0" applyProtection="0"/>
    <xf numFmtId="0" fontId="152" fillId="50" borderId="1" applyNumberFormat="0" applyAlignment="0" applyProtection="0"/>
    <xf numFmtId="0" fontId="156" fillId="0" borderId="177" applyNumberFormat="0" applyFill="0" applyAlignment="0" applyProtection="0"/>
    <xf numFmtId="0" fontId="156" fillId="0" borderId="177" applyNumberFormat="0" applyFill="0" applyAlignment="0" applyProtection="0"/>
    <xf numFmtId="0" fontId="153" fillId="63" borderId="171" applyNumberFormat="0" applyAlignment="0" applyProtection="0"/>
    <xf numFmtId="0" fontId="160" fillId="40" borderId="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2" fillId="0" borderId="0"/>
    <xf numFmtId="0" fontId="2" fillId="0" borderId="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53" fillId="63" borderId="171" applyNumberFormat="0" applyAlignment="0" applyProtection="0"/>
    <xf numFmtId="0" fontId="14" fillId="66" borderId="2" applyNumberFormat="0" applyFont="0" applyAlignment="0" applyProtection="0"/>
    <xf numFmtId="0" fontId="156" fillId="0" borderId="177" applyNumberFormat="0" applyFill="0" applyAlignment="0" applyProtection="0"/>
    <xf numFmtId="0" fontId="176" fillId="63" borderId="1" applyNumberFormat="0" applyAlignment="0" applyProtection="0"/>
    <xf numFmtId="0" fontId="14" fillId="66" borderId="2" applyNumberFormat="0" applyFont="0" applyAlignment="0" applyProtection="0"/>
    <xf numFmtId="0" fontId="152" fillId="50" borderId="1" applyNumberFormat="0" applyAlignment="0" applyProtection="0"/>
    <xf numFmtId="0" fontId="176" fillId="63" borderId="1" applyNumberFormat="0" applyAlignment="0" applyProtection="0"/>
    <xf numFmtId="0" fontId="14" fillId="30"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56" fillId="0" borderId="177" applyNumberFormat="0" applyFill="0" applyAlignment="0" applyProtection="0"/>
    <xf numFmtId="0" fontId="156" fillId="0" borderId="177" applyNumberFormat="0" applyFill="0" applyAlignment="0" applyProtection="0"/>
    <xf numFmtId="0" fontId="14" fillId="66" borderId="2" applyNumberFormat="0" applyFont="0" applyAlignment="0" applyProtection="0"/>
    <xf numFmtId="0" fontId="153" fillId="40" borderId="171" applyNumberFormat="0" applyAlignment="0" applyProtection="0"/>
    <xf numFmtId="0" fontId="152" fillId="50" borderId="1" applyNumberFormat="0" applyAlignment="0" applyProtection="0"/>
    <xf numFmtId="0" fontId="156" fillId="0" borderId="174" applyNumberFormat="0" applyFill="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4" fillId="66" borderId="2" applyNumberFormat="0" applyFont="0" applyAlignment="0" applyProtection="0"/>
    <xf numFmtId="0" fontId="176" fillId="63"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2" fillId="50" borderId="1" applyNumberFormat="0" applyAlignment="0" applyProtection="0"/>
    <xf numFmtId="0" fontId="156" fillId="0" borderId="177" applyNumberFormat="0" applyFill="0" applyAlignment="0" applyProtection="0"/>
    <xf numFmtId="0" fontId="160" fillId="40" borderId="1" applyNumberFormat="0" applyAlignment="0" applyProtection="0"/>
    <xf numFmtId="0" fontId="153" fillId="63" borderId="171" applyNumberFormat="0" applyAlignment="0" applyProtection="0"/>
    <xf numFmtId="0" fontId="153" fillId="63" borderId="171" applyNumberFormat="0" applyAlignment="0" applyProtection="0"/>
    <xf numFmtId="0" fontId="153" fillId="63" borderId="171" applyNumberFormat="0" applyAlignment="0" applyProtection="0"/>
    <xf numFmtId="0" fontId="153" fillId="40" borderId="171" applyNumberFormat="0" applyAlignment="0" applyProtection="0"/>
    <xf numFmtId="0" fontId="152" fillId="37"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53" fillId="63" borderId="171" applyNumberFormat="0" applyAlignment="0" applyProtection="0"/>
    <xf numFmtId="0" fontId="14" fillId="66" borderId="2" applyNumberFormat="0" applyFont="0" applyAlignment="0" applyProtection="0"/>
    <xf numFmtId="0" fontId="176" fillId="63" borderId="1" applyNumberFormat="0" applyAlignment="0" applyProtection="0"/>
    <xf numFmtId="0" fontId="153" fillId="63" borderId="171" applyNumberFormat="0" applyAlignment="0" applyProtection="0"/>
    <xf numFmtId="0" fontId="2" fillId="0" borderId="0"/>
    <xf numFmtId="43" fontId="2" fillId="0" borderId="0" applyFont="0" applyFill="0" applyBorder="0" applyAlignment="0" applyProtection="0"/>
    <xf numFmtId="0" fontId="14" fillId="30" borderId="2" applyNumberFormat="0" applyFont="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176" fillId="63" borderId="1" applyNumberFormat="0" applyAlignment="0" applyProtection="0"/>
    <xf numFmtId="0" fontId="152" fillId="50" borderId="1" applyNumberFormat="0" applyAlignment="0" applyProtection="0"/>
    <xf numFmtId="0" fontId="176" fillId="63" borderId="1" applyNumberFormat="0" applyAlignment="0" applyProtection="0"/>
    <xf numFmtId="0" fontId="160" fillId="40" borderId="1" applyNumberFormat="0" applyAlignment="0" applyProtection="0"/>
    <xf numFmtId="0" fontId="153" fillId="63" borderId="171" applyNumberFormat="0" applyAlignment="0" applyProtection="0"/>
    <xf numFmtId="0" fontId="156" fillId="0" borderId="177" applyNumberFormat="0" applyFill="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76" fillId="63" borderId="1" applyNumberFormat="0" applyAlignment="0" applyProtection="0"/>
    <xf numFmtId="0" fontId="153" fillId="63" borderId="171" applyNumberFormat="0" applyAlignment="0" applyProtection="0"/>
    <xf numFmtId="0" fontId="156" fillId="0" borderId="177" applyNumberFormat="0" applyFill="0" applyAlignment="0" applyProtection="0"/>
    <xf numFmtId="0" fontId="156" fillId="0" borderId="177" applyNumberFormat="0" applyFill="0" applyAlignment="0" applyProtection="0"/>
    <xf numFmtId="0" fontId="14" fillId="30" borderId="2" applyNumberFormat="0" applyFont="0" applyAlignment="0" applyProtection="0"/>
    <xf numFmtId="0" fontId="152" fillId="50" borderId="1" applyNumberFormat="0" applyAlignment="0" applyProtection="0"/>
    <xf numFmtId="0" fontId="14" fillId="66" borderId="2" applyNumberFormat="0" applyFont="0" applyAlignment="0" applyProtection="0"/>
    <xf numFmtId="0" fontId="14" fillId="30" borderId="2" applyNumberFormat="0" applyFont="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14"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1" fontId="185" fillId="0" borderId="0" applyFont="0" applyFill="0" applyBorder="0" applyAlignment="0" applyProtection="0"/>
    <xf numFmtId="182" fontId="185" fillId="0" borderId="0" applyFont="0" applyFill="0" applyBorder="0" applyAlignment="0" applyProtection="0"/>
    <xf numFmtId="183" fontId="185" fillId="0" borderId="0" applyFont="0" applyFill="0" applyBorder="0" applyAlignment="0" applyProtection="0"/>
    <xf numFmtId="184" fontId="185" fillId="0" borderId="0" applyFont="0" applyFill="0" applyBorder="0" applyAlignment="0" applyProtection="0"/>
    <xf numFmtId="185" fontId="185" fillId="0" borderId="0" applyFont="0" applyFill="0" applyBorder="0" applyAlignment="0" applyProtection="0">
      <alignment horizontal="right"/>
    </xf>
    <xf numFmtId="186" fontId="185" fillId="0" borderId="0" applyFont="0" applyFill="0" applyBorder="0" applyAlignment="0" applyProtection="0"/>
    <xf numFmtId="187" fontId="185" fillId="0" borderId="0" applyFont="0" applyFill="0" applyBorder="0" applyAlignment="0" applyProtection="0">
      <alignment horizontal="right"/>
    </xf>
    <xf numFmtId="188" fontId="185" fillId="0" borderId="0" applyFont="0" applyFill="0" applyBorder="0" applyAlignment="0" applyProtection="0">
      <alignment horizontal="right"/>
    </xf>
    <xf numFmtId="189" fontId="185" fillId="0" borderId="0" applyFont="0" applyFill="0" applyBorder="0" applyAlignment="0" applyProtection="0">
      <alignment horizontal="right"/>
    </xf>
    <xf numFmtId="190" fontId="185" fillId="0" borderId="0" applyFont="0" applyFill="0" applyBorder="0" applyAlignment="0" applyProtection="0"/>
    <xf numFmtId="0" fontId="185" fillId="0" borderId="164" applyNumberFormat="0" applyFill="0" applyAlignment="0" applyProtection="0"/>
    <xf numFmtId="192" fontId="185" fillId="0" borderId="0" applyFont="0" applyFill="0" applyBorder="0" applyAlignment="0" applyProtection="0"/>
    <xf numFmtId="0" fontId="185" fillId="0" borderId="166" applyNumberFormat="0" applyFill="0" applyAlignment="0" applyProtection="0"/>
    <xf numFmtId="193" fontId="185" fillId="0" borderId="0" applyFont="0" applyFill="0" applyBorder="0" applyAlignment="0" applyProtection="0"/>
    <xf numFmtId="0" fontId="2" fillId="0" borderId="0"/>
    <xf numFmtId="0" fontId="142" fillId="0" borderId="0"/>
    <xf numFmtId="0" fontId="185" fillId="0" borderId="172" applyNumberFormat="0" applyFont="0" applyFill="0" applyAlignment="0" applyProtection="0"/>
    <xf numFmtId="0" fontId="185" fillId="0" borderId="173" applyNumberFormat="0" applyFont="0" applyFill="0" applyAlignment="0" applyProtection="0"/>
    <xf numFmtId="0" fontId="185" fillId="0" borderId="141" applyNumberFormat="0" applyFont="0" applyFill="0" applyAlignment="0" applyProtection="0"/>
    <xf numFmtId="43" fontId="2" fillId="0" borderId="0" applyFont="0" applyFill="0" applyBorder="0" applyAlignment="0" applyProtection="0"/>
    <xf numFmtId="0" fontId="37" fillId="0" borderId="0" applyNumberFormat="0" applyFill="0" applyBorder="0" applyAlignment="0" applyProtection="0">
      <alignment vertical="top"/>
      <protection locked="0"/>
    </xf>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185" fillId="0" borderId="141" applyNumberFormat="0" applyFont="0" applyFill="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158"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14"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163" fillId="0" borderId="141" applyNumberFormat="0" applyFont="0" applyFill="0" applyAlignment="0" applyProtection="0"/>
    <xf numFmtId="0" fontId="163" fillId="0" borderId="141" applyNumberFormat="0" applyFont="0" applyFill="0" applyAlignment="0" applyProtection="0"/>
    <xf numFmtId="0" fontId="1" fillId="0" borderId="0"/>
    <xf numFmtId="0" fontId="186" fillId="0" borderId="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cellStyleXfs>
  <cellXfs count="2609">
    <xf numFmtId="0" fontId="0" fillId="0" borderId="0" xfId="0"/>
    <xf numFmtId="0" fontId="14" fillId="0" borderId="0" xfId="0" applyFont="1"/>
    <xf numFmtId="0" fontId="19" fillId="0" borderId="0" xfId="0" applyFont="1"/>
    <xf numFmtId="0" fontId="0" fillId="0" borderId="0" xfId="0" applyAlignment="1">
      <alignment horizontal="left" vertical="center"/>
    </xf>
    <xf numFmtId="0" fontId="15" fillId="0" borderId="0" xfId="0" applyFont="1"/>
    <xf numFmtId="0" fontId="0" fillId="0" borderId="0" xfId="0" applyProtection="1"/>
    <xf numFmtId="0" fontId="0" fillId="0" borderId="0" xfId="0" applyBorder="1" applyProtection="1"/>
    <xf numFmtId="0" fontId="19" fillId="0" borderId="0" xfId="0" applyFont="1" applyAlignment="1"/>
    <xf numFmtId="0" fontId="0" fillId="0" borderId="0" xfId="0" applyFill="1"/>
    <xf numFmtId="0" fontId="19" fillId="0" borderId="0" xfId="0" applyFont="1" applyFill="1"/>
    <xf numFmtId="0" fontId="28" fillId="0" borderId="0" xfId="0" applyFont="1" applyProtection="1"/>
    <xf numFmtId="0" fontId="28" fillId="0" borderId="0" xfId="0" applyFont="1" applyProtection="1">
      <protection locked="0"/>
    </xf>
    <xf numFmtId="0" fontId="14" fillId="0" borderId="0" xfId="0" applyFont="1" applyProtection="1"/>
    <xf numFmtId="0" fontId="0" fillId="0" borderId="0" xfId="0" applyFill="1" applyProtection="1"/>
    <xf numFmtId="0" fontId="30" fillId="0" borderId="0" xfId="0" applyFont="1" applyAlignment="1" applyProtection="1">
      <alignment horizontal="right" vertical="top"/>
    </xf>
    <xf numFmtId="164" fontId="19" fillId="0" borderId="0" xfId="0" applyNumberFormat="1" applyFont="1" applyAlignment="1" applyProtection="1">
      <alignment horizontal="left" wrapText="1"/>
    </xf>
    <xf numFmtId="0" fontId="19" fillId="0" borderId="0" xfId="0" applyFont="1" applyAlignment="1">
      <alignment horizontal="left" wrapText="1"/>
    </xf>
    <xf numFmtId="49" fontId="32" fillId="0" borderId="0" xfId="0" applyNumberFormat="1" applyFont="1" applyAlignment="1">
      <alignment horizontal="right" vertical="top" indent="1"/>
    </xf>
    <xf numFmtId="49" fontId="32" fillId="0" borderId="0" xfId="0" applyNumberFormat="1" applyFont="1" applyAlignment="1">
      <alignment horizontal="right" vertical="top"/>
    </xf>
    <xf numFmtId="0" fontId="0" fillId="0" borderId="0" xfId="0" applyAlignment="1"/>
    <xf numFmtId="0" fontId="19" fillId="0" borderId="0" xfId="0" applyFont="1" applyAlignment="1">
      <alignment horizontal="left"/>
    </xf>
    <xf numFmtId="0" fontId="29" fillId="0" borderId="0" xfId="0" applyFont="1"/>
    <xf numFmtId="49" fontId="34" fillId="0" borderId="0" xfId="0" applyNumberFormat="1" applyFont="1" applyAlignment="1">
      <alignment horizontal="right" vertical="top" indent="1"/>
    </xf>
    <xf numFmtId="0" fontId="30" fillId="0" borderId="0" xfId="0" applyFont="1" applyAlignment="1" applyProtection="1">
      <alignment horizontal="left" vertical="center" wrapText="1"/>
    </xf>
    <xf numFmtId="0" fontId="0" fillId="0" borderId="0" xfId="0" applyAlignment="1">
      <alignment horizontal="left" vertical="center" wrapText="1"/>
    </xf>
    <xf numFmtId="49" fontId="32" fillId="0" borderId="0" xfId="0" applyNumberFormat="1" applyFont="1" applyAlignment="1">
      <alignment horizontal="right" vertical="center"/>
    </xf>
    <xf numFmtId="0" fontId="18" fillId="0" borderId="0" xfId="12" applyFont="1" applyBorder="1" applyAlignment="1" applyProtection="1">
      <alignment vertical="center"/>
    </xf>
    <xf numFmtId="0" fontId="20" fillId="0" borderId="0" xfId="12" applyNumberFormat="1" applyFont="1" applyBorder="1" applyAlignment="1" applyProtection="1">
      <alignment horizontal="left" vertical="center"/>
    </xf>
    <xf numFmtId="0" fontId="20"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8" fillId="0" borderId="0" xfId="12" applyNumberFormat="1" applyFont="1" applyBorder="1" applyAlignment="1" applyProtection="1">
      <alignment vertical="center"/>
    </xf>
    <xf numFmtId="0" fontId="18" fillId="0" borderId="0" xfId="12" applyNumberFormat="1" applyFont="1" applyBorder="1" applyAlignment="1" applyProtection="1">
      <alignment horizontal="left" vertical="center"/>
    </xf>
    <xf numFmtId="0" fontId="15" fillId="0" borderId="0" xfId="12" applyNumberFormat="1" applyFont="1" applyBorder="1" applyAlignment="1" applyProtection="1">
      <alignment horizontal="left" vertical="center"/>
    </xf>
    <xf numFmtId="0" fontId="18" fillId="0" borderId="0" xfId="0" applyNumberFormat="1" applyFont="1" applyBorder="1" applyAlignment="1" applyProtection="1">
      <alignment vertical="center"/>
    </xf>
    <xf numFmtId="0" fontId="18" fillId="0" borderId="0" xfId="12" applyNumberFormat="1" applyFont="1" applyBorder="1" applyAlignment="1" applyProtection="1">
      <alignment horizontal="centerContinuous" vertical="center"/>
    </xf>
    <xf numFmtId="0" fontId="28" fillId="0" borderId="0" xfId="0" applyFont="1" applyFill="1" applyProtection="1"/>
    <xf numFmtId="0" fontId="18" fillId="0" borderId="0" xfId="12" applyFont="1" applyBorder="1" applyAlignment="1" applyProtection="1">
      <alignment horizontal="left" vertical="center"/>
    </xf>
    <xf numFmtId="0" fontId="36" fillId="0" borderId="0" xfId="12" applyFont="1" applyBorder="1" applyAlignment="1" applyProtection="1">
      <alignment vertical="center"/>
    </xf>
    <xf numFmtId="0" fontId="17" fillId="0" borderId="0" xfId="12" applyFont="1" applyBorder="1" applyAlignment="1" applyProtection="1">
      <alignment horizontal="center" vertical="center"/>
    </xf>
    <xf numFmtId="0" fontId="17" fillId="0" borderId="0" xfId="12" applyFont="1" applyBorder="1" applyAlignment="1" applyProtection="1">
      <alignment horizontal="left" vertical="center"/>
    </xf>
    <xf numFmtId="0" fontId="20"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6" fillId="0" borderId="0" xfId="12" applyFont="1" applyBorder="1" applyAlignment="1" applyProtection="1">
      <alignment horizontal="left" vertical="center"/>
    </xf>
    <xf numFmtId="0" fontId="18" fillId="0" borderId="0" xfId="12" quotePrefix="1" applyNumberFormat="1" applyFont="1" applyBorder="1" applyAlignment="1" applyProtection="1">
      <alignment horizontal="left" vertical="center"/>
    </xf>
    <xf numFmtId="0" fontId="15" fillId="0" borderId="12" xfId="12" applyFont="1" applyBorder="1" applyAlignment="1" applyProtection="1">
      <alignment vertical="center"/>
    </xf>
    <xf numFmtId="0" fontId="18" fillId="0" borderId="16" xfId="12" applyFont="1" applyBorder="1" applyAlignment="1" applyProtection="1">
      <alignment vertical="center"/>
    </xf>
    <xf numFmtId="0" fontId="18" fillId="0" borderId="10" xfId="12" applyFont="1" applyBorder="1" applyAlignment="1" applyProtection="1">
      <alignment vertical="center"/>
    </xf>
    <xf numFmtId="0" fontId="15" fillId="0" borderId="17" xfId="12" applyFont="1" applyBorder="1" applyAlignment="1" applyProtection="1">
      <alignment vertical="center"/>
    </xf>
    <xf numFmtId="0" fontId="18" fillId="0" borderId="18" xfId="12" applyFont="1" applyBorder="1" applyAlignment="1" applyProtection="1">
      <alignment vertical="center"/>
    </xf>
    <xf numFmtId="0" fontId="20" fillId="0" borderId="0" xfId="0" applyNumberFormat="1" applyFont="1" applyFill="1" applyBorder="1" applyAlignment="1" applyProtection="1">
      <alignment vertical="center"/>
    </xf>
    <xf numFmtId="0" fontId="15" fillId="0" borderId="16" xfId="12" applyNumberFormat="1" applyFont="1" applyBorder="1" applyAlignment="1" applyProtection="1">
      <alignment vertical="center"/>
    </xf>
    <xf numFmtId="0" fontId="18" fillId="0" borderId="16" xfId="12" applyNumberFormat="1" applyFont="1" applyBorder="1" applyAlignment="1" applyProtection="1">
      <alignment vertical="center"/>
    </xf>
    <xf numFmtId="0" fontId="18" fillId="0" borderId="20" xfId="12" applyNumberFormat="1" applyFont="1" applyBorder="1" applyAlignment="1" applyProtection="1">
      <alignment vertical="center"/>
    </xf>
    <xf numFmtId="0" fontId="18" fillId="0" borderId="10" xfId="12" applyNumberFormat="1" applyFont="1" applyBorder="1" applyAlignment="1" applyProtection="1">
      <alignment horizontal="left" vertical="center"/>
    </xf>
    <xf numFmtId="0" fontId="18" fillId="0" borderId="17" xfId="12" applyNumberFormat="1" applyFont="1" applyBorder="1" applyAlignment="1" applyProtection="1">
      <alignment vertical="center"/>
    </xf>
    <xf numFmtId="0" fontId="18" fillId="0" borderId="18"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8" fillId="0" borderId="10" xfId="12" applyNumberFormat="1" applyFont="1" applyBorder="1" applyAlignment="1" applyProtection="1">
      <alignment vertical="center"/>
    </xf>
    <xf numFmtId="0" fontId="18" fillId="0" borderId="16" xfId="12" applyNumberFormat="1" applyFont="1" applyFill="1" applyBorder="1" applyAlignment="1" applyProtection="1">
      <alignment vertical="center"/>
    </xf>
    <xf numFmtId="0" fontId="20" fillId="0" borderId="16" xfId="0" applyNumberFormat="1" applyFont="1" applyFill="1" applyBorder="1" applyAlignment="1" applyProtection="1">
      <alignment vertical="center"/>
    </xf>
    <xf numFmtId="0" fontId="20" fillId="0" borderId="10" xfId="0" applyNumberFormat="1" applyFont="1" applyFill="1" applyBorder="1" applyAlignment="1" applyProtection="1">
      <alignment vertical="center"/>
    </xf>
    <xf numFmtId="0" fontId="20" fillId="0" borderId="18" xfId="0" applyNumberFormat="1" applyFont="1" applyFill="1" applyBorder="1" applyAlignment="1" applyProtection="1">
      <alignment vertical="center"/>
    </xf>
    <xf numFmtId="0" fontId="15" fillId="0" borderId="10" xfId="12" applyNumberFormat="1" applyFont="1" applyFill="1" applyBorder="1" applyAlignment="1" applyProtection="1">
      <alignment vertical="center"/>
    </xf>
    <xf numFmtId="0" fontId="15" fillId="0" borderId="12" xfId="12" quotePrefix="1" applyNumberFormat="1" applyFont="1" applyBorder="1" applyAlignment="1" applyProtection="1">
      <alignment horizontal="left" vertical="center"/>
    </xf>
    <xf numFmtId="0" fontId="18" fillId="0" borderId="17" xfId="12" applyNumberFormat="1" applyFont="1" applyBorder="1" applyAlignment="1" applyProtection="1">
      <alignment horizontal="right" vertical="center"/>
    </xf>
    <xf numFmtId="0" fontId="15" fillId="0" borderId="0" xfId="0" applyFont="1" applyAlignment="1">
      <alignment horizontal="left" vertical="center"/>
    </xf>
    <xf numFmtId="0" fontId="15" fillId="0" borderId="0" xfId="0" applyFont="1" applyAlignment="1"/>
    <xf numFmtId="0" fontId="0" fillId="0" borderId="16" xfId="0" applyNumberFormat="1" applyBorder="1" applyAlignment="1">
      <alignment horizontal="left" vertical="center"/>
    </xf>
    <xf numFmtId="0" fontId="18" fillId="0" borderId="12" xfId="12" applyFont="1" applyBorder="1" applyAlignment="1" applyProtection="1">
      <alignment vertical="center"/>
    </xf>
    <xf numFmtId="0" fontId="15" fillId="0" borderId="16" xfId="0" applyNumberFormat="1" applyFont="1" applyBorder="1" applyAlignment="1">
      <alignment horizontal="left" vertical="center"/>
    </xf>
    <xf numFmtId="0" fontId="15" fillId="0" borderId="18" xfId="12" applyNumberFormat="1" applyFont="1" applyBorder="1" applyAlignment="1" applyProtection="1">
      <alignment vertical="center"/>
    </xf>
    <xf numFmtId="0" fontId="15" fillId="0" borderId="10" xfId="12" applyNumberFormat="1" applyFont="1" applyBorder="1" applyAlignment="1" applyProtection="1">
      <alignment vertical="center"/>
    </xf>
    <xf numFmtId="0" fontId="15" fillId="0" borderId="16" xfId="12" applyNumberFormat="1" applyFont="1" applyBorder="1" applyAlignment="1" applyProtection="1">
      <alignment horizontal="left" vertical="center"/>
    </xf>
    <xf numFmtId="0" fontId="15" fillId="0" borderId="16" xfId="12" applyFont="1" applyBorder="1" applyAlignment="1" applyProtection="1">
      <alignment vertical="center"/>
    </xf>
    <xf numFmtId="0" fontId="18" fillId="0" borderId="0" xfId="12" applyNumberFormat="1" applyFont="1" applyBorder="1" applyAlignment="1" applyProtection="1">
      <alignment horizontal="center" vertical="center"/>
    </xf>
    <xf numFmtId="0" fontId="19" fillId="0" borderId="16" xfId="0" applyNumberFormat="1" applyFont="1" applyBorder="1" applyAlignment="1">
      <alignment horizontal="left" vertical="center"/>
    </xf>
    <xf numFmtId="0" fontId="18" fillId="0" borderId="16" xfId="12"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6"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18" fillId="0" borderId="16" xfId="12" applyFont="1" applyBorder="1" applyAlignment="1" applyProtection="1">
      <alignment horizontal="left" vertical="center"/>
    </xf>
    <xf numFmtId="0" fontId="15" fillId="0" borderId="16" xfId="12" applyFont="1" applyBorder="1" applyAlignment="1" applyProtection="1">
      <alignment horizontal="left" vertical="center"/>
    </xf>
    <xf numFmtId="0" fontId="18" fillId="0" borderId="1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7" fillId="0" borderId="0" xfId="12" applyFont="1" applyBorder="1" applyAlignment="1" applyProtection="1">
      <alignment vertical="center"/>
    </xf>
    <xf numFmtId="0" fontId="15" fillId="0" borderId="12" xfId="12" applyNumberFormat="1" applyFont="1" applyBorder="1" applyAlignment="1" applyProtection="1">
      <alignment horizontal="left" vertical="center"/>
    </xf>
    <xf numFmtId="0" fontId="15" fillId="0" borderId="12" xfId="12" applyNumberFormat="1" applyFont="1" applyFill="1" applyBorder="1" applyAlignment="1" applyProtection="1">
      <alignment vertical="center"/>
    </xf>
    <xf numFmtId="0" fontId="15" fillId="0" borderId="12" xfId="0" applyNumberFormat="1" applyFont="1" applyFill="1" applyBorder="1" applyAlignment="1" applyProtection="1">
      <alignment vertical="center"/>
    </xf>
    <xf numFmtId="0" fontId="15" fillId="0" borderId="17" xfId="0" applyNumberFormat="1" applyFont="1" applyFill="1" applyBorder="1" applyAlignment="1" applyProtection="1">
      <alignment vertical="center"/>
    </xf>
    <xf numFmtId="0" fontId="15" fillId="0" borderId="12" xfId="12" applyNumberFormat="1" applyFont="1" applyBorder="1" applyAlignment="1" applyProtection="1">
      <alignment vertical="center"/>
    </xf>
    <xf numFmtId="0" fontId="15" fillId="0" borderId="17" xfId="12" applyNumberFormat="1" applyFont="1" applyBorder="1" applyAlignment="1" applyProtection="1">
      <alignment horizontal="left" vertical="center"/>
    </xf>
    <xf numFmtId="0" fontId="15" fillId="0" borderId="16" xfId="12" quotePrefix="1" applyNumberFormat="1" applyFont="1" applyBorder="1" applyAlignment="1" applyProtection="1">
      <alignment horizontal="left" vertical="center"/>
    </xf>
    <xf numFmtId="0" fontId="18" fillId="0" borderId="16" xfId="0" applyNumberFormat="1" applyFont="1" applyBorder="1" applyAlignment="1">
      <alignment vertical="center"/>
    </xf>
    <xf numFmtId="0" fontId="15" fillId="0" borderId="0" xfId="12" applyNumberFormat="1" applyFont="1" applyBorder="1" applyAlignment="1" applyProtection="1">
      <alignment horizontal="left" vertical="center" indent="1"/>
    </xf>
    <xf numFmtId="0" fontId="18" fillId="0" borderId="19" xfId="12" applyNumberFormat="1" applyFont="1" applyBorder="1" applyAlignment="1" applyProtection="1">
      <alignment vertical="center"/>
    </xf>
    <xf numFmtId="0" fontId="15" fillId="0" borderId="20" xfId="12" applyNumberFormat="1" applyFont="1" applyBorder="1" applyAlignment="1" applyProtection="1">
      <alignment vertical="top"/>
    </xf>
    <xf numFmtId="0" fontId="15" fillId="0" borderId="20" xfId="12" quotePrefix="1" applyNumberFormat="1" applyFont="1" applyBorder="1" applyAlignment="1" applyProtection="1">
      <alignment horizontal="left" vertical="center"/>
    </xf>
    <xf numFmtId="0" fontId="18" fillId="0" borderId="11" xfId="12" applyNumberFormat="1" applyFont="1" applyBorder="1" applyAlignment="1" applyProtection="1">
      <alignment vertical="center"/>
    </xf>
    <xf numFmtId="0" fontId="40" fillId="0" borderId="18" xfId="0" applyFont="1" applyBorder="1" applyAlignment="1">
      <alignment horizontal="left" vertical="center" indent="1"/>
    </xf>
    <xf numFmtId="0" fontId="25" fillId="0" borderId="0" xfId="12" applyNumberFormat="1" applyFont="1" applyBorder="1" applyAlignment="1" applyProtection="1">
      <alignment horizontal="center" vertical="center"/>
    </xf>
    <xf numFmtId="0" fontId="20" fillId="0" borderId="0" xfId="12" applyNumberFormat="1" applyFont="1" applyBorder="1" applyAlignment="1" applyProtection="1">
      <alignment horizontal="left" vertical="center" indent="2"/>
    </xf>
    <xf numFmtId="0" fontId="25" fillId="0" borderId="2" xfId="12" applyFont="1" applyBorder="1" applyAlignment="1" applyProtection="1">
      <alignment horizontal="center" vertical="center"/>
      <protection locked="0"/>
    </xf>
    <xf numFmtId="0" fontId="25" fillId="0" borderId="2" xfId="12" applyNumberFormat="1" applyFont="1" applyBorder="1" applyAlignment="1" applyProtection="1">
      <alignment horizontal="center" vertical="center"/>
      <protection locked="0"/>
    </xf>
    <xf numFmtId="0" fontId="35" fillId="0" borderId="0" xfId="12" applyFont="1" applyBorder="1" applyAlignment="1" applyProtection="1">
      <alignment horizontal="left" vertical="center"/>
    </xf>
    <xf numFmtId="0" fontId="17" fillId="0" borderId="2" xfId="12" applyFont="1" applyBorder="1" applyAlignment="1" applyProtection="1">
      <alignment horizontal="center" vertical="center"/>
      <protection locked="0"/>
    </xf>
    <xf numFmtId="0" fontId="15" fillId="0" borderId="12" xfId="0" applyNumberFormat="1" applyFont="1" applyBorder="1" applyAlignment="1" applyProtection="1">
      <alignment horizontal="left" vertical="center"/>
    </xf>
    <xf numFmtId="0" fontId="17" fillId="0" borderId="16" xfId="0" applyFont="1" applyBorder="1" applyAlignment="1" applyProtection="1">
      <alignment horizontal="left" vertical="center"/>
    </xf>
    <xf numFmtId="49" fontId="17" fillId="0" borderId="16" xfId="0" applyNumberFormat="1" applyFont="1" applyBorder="1" applyAlignment="1" applyProtection="1">
      <alignment horizontal="left" vertical="center" wrapText="1"/>
    </xf>
    <xf numFmtId="49" fontId="17" fillId="0" borderId="10" xfId="0" applyNumberFormat="1" applyFont="1" applyBorder="1" applyAlignment="1" applyProtection="1">
      <alignment horizontal="left" vertical="center" wrapText="1"/>
    </xf>
    <xf numFmtId="0" fontId="17" fillId="0" borderId="12" xfId="12" applyNumberFormat="1" applyFont="1" applyFill="1" applyBorder="1" applyAlignment="1" applyProtection="1">
      <alignment horizontal="left" vertical="center" indent="1"/>
    </xf>
    <xf numFmtId="0" fontId="17" fillId="0" borderId="16" xfId="0" applyFont="1" applyBorder="1" applyAlignment="1" applyProtection="1">
      <alignment horizontal="left" vertical="center" indent="1"/>
    </xf>
    <xf numFmtId="0" fontId="18" fillId="0" borderId="0" xfId="12" applyFont="1" applyBorder="1" applyAlignment="1" applyProtection="1">
      <alignment horizontal="left" vertical="center" indent="1"/>
    </xf>
    <xf numFmtId="0" fontId="27" fillId="0" borderId="0" xfId="12" applyNumberFormat="1" applyFont="1" applyBorder="1" applyAlignment="1" applyProtection="1">
      <alignment horizontal="left" vertical="center" indent="1"/>
    </xf>
    <xf numFmtId="0" fontId="18" fillId="0" borderId="19" xfId="12" applyFont="1" applyBorder="1" applyAlignment="1" applyProtection="1">
      <alignment vertical="center"/>
    </xf>
    <xf numFmtId="0" fontId="17" fillId="0" borderId="0" xfId="0" applyFont="1" applyBorder="1" applyAlignment="1" applyProtection="1">
      <alignment horizontal="left" vertical="center" indent="1"/>
    </xf>
    <xf numFmtId="0" fontId="18" fillId="0" borderId="0" xfId="12" applyFont="1" applyFill="1" applyBorder="1" applyAlignment="1" applyProtection="1">
      <alignment vertical="center"/>
    </xf>
    <xf numFmtId="0" fontId="18" fillId="0" borderId="17" xfId="12" applyFont="1" applyBorder="1" applyAlignment="1" applyProtection="1">
      <alignment vertical="center"/>
    </xf>
    <xf numFmtId="0" fontId="20" fillId="0" borderId="20" xfId="12" applyNumberFormat="1" applyFont="1" applyBorder="1" applyAlignment="1" applyProtection="1">
      <alignment vertical="center"/>
    </xf>
    <xf numFmtId="0" fontId="15" fillId="0" borderId="0" xfId="12" applyNumberFormat="1" applyFont="1" applyBorder="1" applyAlignment="1" applyProtection="1">
      <alignment horizontal="center" vertical="center"/>
    </xf>
    <xf numFmtId="0" fontId="38" fillId="0" borderId="0" xfId="0" applyFont="1" applyBorder="1" applyAlignment="1" applyProtection="1">
      <alignment horizontal="left" vertical="center" indent="1"/>
    </xf>
    <xf numFmtId="0" fontId="18" fillId="0" borderId="12" xfId="12" applyFont="1" applyFill="1" applyBorder="1" applyAlignment="1" applyProtection="1">
      <alignment vertical="center"/>
    </xf>
    <xf numFmtId="0" fontId="18" fillId="0" borderId="16" xfId="12" applyFont="1" applyFill="1" applyBorder="1" applyAlignment="1" applyProtection="1">
      <alignment vertical="center"/>
    </xf>
    <xf numFmtId="0" fontId="18" fillId="0" borderId="10" xfId="12" applyFont="1" applyFill="1" applyBorder="1" applyAlignment="1" applyProtection="1">
      <alignment vertical="center"/>
    </xf>
    <xf numFmtId="0" fontId="18" fillId="0" borderId="18" xfId="0" applyNumberFormat="1" applyFont="1" applyBorder="1" applyAlignment="1" applyProtection="1">
      <alignment horizontal="left" vertical="center"/>
    </xf>
    <xf numFmtId="0" fontId="0" fillId="0" borderId="0" xfId="0" applyBorder="1" applyAlignment="1">
      <alignment horizontal="left" indent="2"/>
    </xf>
    <xf numFmtId="164" fontId="38" fillId="0" borderId="0" xfId="0" applyNumberFormat="1" applyFont="1" applyBorder="1" applyAlignment="1" applyProtection="1">
      <alignment horizontal="center" vertical="center"/>
    </xf>
    <xf numFmtId="0" fontId="18" fillId="0" borderId="16" xfId="0" applyNumberFormat="1" applyFont="1" applyBorder="1" applyAlignment="1">
      <alignment horizontal="left" vertical="center"/>
    </xf>
    <xf numFmtId="0" fontId="28" fillId="0" borderId="0" xfId="0" applyFont="1" applyFill="1"/>
    <xf numFmtId="168" fontId="19" fillId="0" borderId="0" xfId="0" applyNumberFormat="1" applyFont="1"/>
    <xf numFmtId="0" fontId="28" fillId="0" borderId="0" xfId="0" applyFont="1"/>
    <xf numFmtId="0" fontId="39" fillId="0" borderId="0" xfId="2" applyFont="1" applyBorder="1" applyAlignment="1" applyProtection="1"/>
    <xf numFmtId="0" fontId="23" fillId="0" borderId="0" xfId="0" applyFont="1" applyBorder="1" applyProtection="1"/>
    <xf numFmtId="0" fontId="23" fillId="0" borderId="18" xfId="0" applyFont="1" applyBorder="1" applyProtection="1"/>
    <xf numFmtId="0" fontId="45" fillId="0" borderId="0" xfId="0" applyFont="1" applyBorder="1" applyProtection="1"/>
    <xf numFmtId="0" fontId="0" fillId="0" borderId="19" xfId="0" applyBorder="1" applyProtection="1"/>
    <xf numFmtId="0" fontId="0" fillId="0" borderId="20" xfId="0" applyBorder="1" applyProtection="1"/>
    <xf numFmtId="0" fontId="17" fillId="0" borderId="22" xfId="0" applyFont="1" applyBorder="1" applyAlignment="1" applyProtection="1">
      <alignment horizontal="center"/>
      <protection locked="0"/>
    </xf>
    <xf numFmtId="0" fontId="21" fillId="0" borderId="0" xfId="12" applyFont="1" applyBorder="1" applyAlignment="1" applyProtection="1">
      <alignment horizontal="left" vertical="center" indent="1"/>
    </xf>
    <xf numFmtId="1" fontId="14" fillId="0" borderId="0" xfId="0" applyNumberFormat="1" applyFont="1" applyAlignment="1">
      <alignment horizontal="right"/>
    </xf>
    <xf numFmtId="1" fontId="14" fillId="0" borderId="0" xfId="0" applyNumberFormat="1" applyFont="1" applyFill="1" applyAlignment="1">
      <alignment horizontal="right"/>
    </xf>
    <xf numFmtId="0" fontId="18" fillId="0" borderId="0" xfId="0" applyFont="1" applyBorder="1" applyAlignment="1" applyProtection="1">
      <alignment horizontal="left" vertical="center" indent="1"/>
    </xf>
    <xf numFmtId="0" fontId="14" fillId="0" borderId="0" xfId="0" applyFont="1" applyBorder="1" applyAlignment="1" applyProtection="1">
      <alignment horizontal="left" vertical="center" indent="1"/>
    </xf>
    <xf numFmtId="0" fontId="15" fillId="0" borderId="0" xfId="0" applyFont="1" applyAlignment="1">
      <alignment horizontal="left" wrapText="1"/>
    </xf>
    <xf numFmtId="49" fontId="31" fillId="0" borderId="0" xfId="0" applyNumberFormat="1" applyFont="1" applyAlignment="1">
      <alignment horizontal="center" vertical="top"/>
    </xf>
    <xf numFmtId="49" fontId="31" fillId="0" borderId="0" xfId="0" applyNumberFormat="1" applyFont="1" applyAlignment="1">
      <alignment horizontal="right" vertical="top"/>
    </xf>
    <xf numFmtId="0" fontId="15" fillId="0" borderId="0" xfId="0" applyNumberFormat="1" applyFont="1" applyAlignment="1">
      <alignment horizontal="left" wrapText="1"/>
    </xf>
    <xf numFmtId="49" fontId="31" fillId="0" borderId="0" xfId="0" applyNumberFormat="1" applyFont="1" applyAlignment="1">
      <alignment horizontal="right" vertical="center"/>
    </xf>
    <xf numFmtId="0" fontId="54" fillId="0" borderId="0" xfId="0" applyFont="1" applyAlignment="1">
      <alignment horizontal="left" wrapText="1" indent="4"/>
    </xf>
    <xf numFmtId="0" fontId="24" fillId="0" borderId="2" xfId="12" applyNumberFormat="1" applyFont="1" applyBorder="1" applyAlignment="1" applyProtection="1">
      <alignment horizontal="center" vertical="center"/>
      <protection locked="0"/>
    </xf>
    <xf numFmtId="0" fontId="24" fillId="0" borderId="2" xfId="12" applyFont="1" applyBorder="1" applyAlignment="1" applyProtection="1">
      <alignment horizontal="center" vertical="center"/>
      <protection locked="0"/>
    </xf>
    <xf numFmtId="14" fontId="14" fillId="0" borderId="0" xfId="0" applyNumberFormat="1" applyFont="1" applyAlignment="1">
      <alignment horizontal="right"/>
    </xf>
    <xf numFmtId="0" fontId="38" fillId="0" borderId="17" xfId="12" applyNumberFormat="1" applyFont="1" applyFill="1" applyBorder="1" applyAlignment="1" applyProtection="1">
      <alignment horizontal="left" vertical="center" indent="1"/>
    </xf>
    <xf numFmtId="0" fontId="17" fillId="0" borderId="17" xfId="12" applyNumberFormat="1" applyFont="1" applyFill="1" applyBorder="1" applyAlignment="1" applyProtection="1">
      <alignment horizontal="left" vertical="center" indent="1"/>
    </xf>
    <xf numFmtId="0" fontId="20" fillId="0" borderId="17" xfId="12" applyNumberFormat="1" applyFont="1" applyBorder="1" applyAlignment="1" applyProtection="1">
      <alignment vertical="center"/>
    </xf>
    <xf numFmtId="0" fontId="18" fillId="0" borderId="125" xfId="12" applyNumberFormat="1" applyFont="1" applyBorder="1" applyAlignment="1" applyProtection="1">
      <alignment horizontal="right" vertical="center"/>
    </xf>
    <xf numFmtId="0" fontId="15" fillId="0" borderId="125" xfId="12" applyFont="1" applyBorder="1" applyAlignment="1" applyProtection="1">
      <alignment vertical="center"/>
    </xf>
    <xf numFmtId="0" fontId="18" fillId="0" borderId="128" xfId="12" applyFont="1" applyBorder="1" applyAlignment="1" applyProtection="1">
      <alignment vertical="center"/>
    </xf>
    <xf numFmtId="0" fontId="18" fillId="0" borderId="126" xfId="12" applyFont="1" applyBorder="1" applyAlignment="1" applyProtection="1">
      <alignment vertical="center"/>
    </xf>
    <xf numFmtId="1" fontId="14" fillId="0" borderId="0" xfId="0" applyNumberFormat="1" applyFont="1" applyAlignment="1">
      <alignment horizontal="center" vertical="center"/>
    </xf>
    <xf numFmtId="0" fontId="15" fillId="0" borderId="135" xfId="12" applyFont="1" applyBorder="1" applyAlignment="1" applyProtection="1">
      <alignment vertical="center"/>
    </xf>
    <xf numFmtId="0" fontId="15" fillId="0" borderId="12" xfId="12" applyFont="1" applyBorder="1" applyAlignment="1" applyProtection="1">
      <alignment horizontal="left" vertical="center"/>
    </xf>
    <xf numFmtId="0" fontId="58" fillId="0" borderId="47" xfId="0" applyFont="1" applyFill="1" applyBorder="1" applyAlignment="1">
      <alignment horizontal="left" vertical="center"/>
    </xf>
    <xf numFmtId="0" fontId="59" fillId="0" borderId="0" xfId="0" applyFont="1" applyBorder="1"/>
    <xf numFmtId="0" fontId="59" fillId="0" borderId="47" xfId="0" applyFont="1" applyBorder="1" applyAlignment="1">
      <alignment horizontal="centerContinuous" vertical="center"/>
    </xf>
    <xf numFmtId="0" fontId="59" fillId="0" borderId="25" xfId="0" applyFont="1" applyBorder="1"/>
    <xf numFmtId="0" fontId="58" fillId="0" borderId="25" xfId="0" applyFont="1" applyBorder="1" applyAlignment="1">
      <alignment horizontal="left" vertical="center"/>
    </xf>
    <xf numFmtId="0" fontId="58" fillId="0" borderId="25" xfId="0" applyFont="1" applyBorder="1" applyAlignment="1">
      <alignment horizontal="center" vertical="center" wrapText="1"/>
    </xf>
    <xf numFmtId="0" fontId="59" fillId="0" borderId="0" xfId="0" applyFont="1" applyBorder="1" applyAlignment="1">
      <alignment horizontal="left"/>
    </xf>
    <xf numFmtId="0" fontId="58" fillId="0" borderId="0" xfId="0" applyFont="1" applyBorder="1"/>
    <xf numFmtId="49" fontId="59" fillId="0" borderId="0" xfId="0" applyNumberFormat="1" applyFont="1" applyBorder="1" applyAlignment="1">
      <alignment horizontal="left"/>
    </xf>
    <xf numFmtId="49" fontId="60" fillId="0" borderId="0" xfId="2" applyNumberFormat="1" applyFont="1" applyBorder="1" applyAlignment="1" applyProtection="1">
      <alignment horizontal="center"/>
    </xf>
    <xf numFmtId="49" fontId="59" fillId="0" borderId="0" xfId="0" applyNumberFormat="1" applyFont="1" applyBorder="1" applyAlignment="1">
      <alignment horizontal="center"/>
    </xf>
    <xf numFmtId="0" fontId="59" fillId="0" borderId="0" xfId="0" applyFont="1" applyBorder="1" applyAlignment="1">
      <alignment horizontal="left" indent="1"/>
    </xf>
    <xf numFmtId="0" fontId="58" fillId="0" borderId="0" xfId="0" applyFont="1" applyBorder="1" applyAlignment="1">
      <alignment horizontal="left"/>
    </xf>
    <xf numFmtId="0" fontId="59" fillId="0" borderId="0" xfId="0" applyFont="1" applyBorder="1" applyAlignment="1">
      <alignment horizontal="centerContinuous" vertical="center"/>
    </xf>
    <xf numFmtId="0" fontId="59" fillId="0" borderId="0" xfId="0" applyFont="1" applyBorder="1" applyAlignment="1">
      <alignment vertical="center"/>
    </xf>
    <xf numFmtId="0" fontId="62" fillId="0" borderId="0" xfId="2" applyFont="1" applyBorder="1" applyAlignment="1" applyProtection="1">
      <alignment horizontal="left" indent="2"/>
    </xf>
    <xf numFmtId="0" fontId="63" fillId="0" borderId="0" xfId="0" applyFont="1" applyBorder="1"/>
    <xf numFmtId="0" fontId="66" fillId="0" borderId="0" xfId="0" applyFont="1" applyBorder="1"/>
    <xf numFmtId="164" fontId="68" fillId="0" borderId="0" xfId="0" applyNumberFormat="1" applyFont="1" applyBorder="1" applyAlignment="1" applyProtection="1">
      <alignment vertical="center"/>
    </xf>
    <xf numFmtId="0" fontId="61" fillId="0" borderId="0" xfId="0" applyFont="1" applyBorder="1"/>
    <xf numFmtId="0" fontId="61" fillId="0" borderId="0" xfId="0" applyFont="1" applyBorder="1" applyAlignment="1" applyProtection="1">
      <alignment vertical="center"/>
    </xf>
    <xf numFmtId="0" fontId="59" fillId="0" borderId="0" xfId="0" applyFont="1" applyBorder="1" applyAlignment="1" applyProtection="1">
      <alignment horizontal="left" vertical="top"/>
      <protection locked="0"/>
    </xf>
    <xf numFmtId="0" fontId="59" fillId="0" borderId="0" xfId="0" applyFont="1" applyFill="1" applyBorder="1"/>
    <xf numFmtId="0" fontId="66" fillId="0" borderId="0" xfId="0" applyFont="1" applyBorder="1" applyAlignment="1">
      <alignment vertical="center"/>
    </xf>
    <xf numFmtId="49" fontId="59" fillId="0" borderId="0" xfId="0" applyNumberFormat="1" applyFont="1" applyBorder="1" applyAlignment="1">
      <alignment horizontal="center" vertical="center"/>
    </xf>
    <xf numFmtId="49" fontId="59" fillId="0" borderId="0" xfId="0" applyNumberFormat="1" applyFont="1" applyBorder="1" applyAlignment="1">
      <alignment vertical="center"/>
    </xf>
    <xf numFmtId="49" fontId="71" fillId="0" borderId="0" xfId="0" applyNumberFormat="1" applyFont="1" applyBorder="1" applyAlignment="1">
      <alignment horizontal="left" vertical="center"/>
    </xf>
    <xf numFmtId="49" fontId="59" fillId="0" borderId="0" xfId="0" applyNumberFormat="1" applyFont="1" applyBorder="1" applyAlignment="1">
      <alignment horizontal="left" indent="2"/>
    </xf>
    <xf numFmtId="49" fontId="59" fillId="0" borderId="0" xfId="0" applyNumberFormat="1" applyFont="1" applyBorder="1"/>
    <xf numFmtId="49" fontId="59" fillId="0" borderId="0" xfId="0" applyNumberFormat="1" applyFont="1" applyBorder="1" applyAlignment="1">
      <alignment horizontal="left" indent="1"/>
    </xf>
    <xf numFmtId="49" fontId="62" fillId="0" borderId="0" xfId="2" applyNumberFormat="1" applyFont="1" applyBorder="1" applyAlignment="1" applyProtection="1">
      <alignment horizontal="left" indent="1"/>
    </xf>
    <xf numFmtId="49" fontId="59" fillId="0" borderId="0" xfId="0" applyNumberFormat="1" applyFont="1" applyFill="1" applyBorder="1" applyAlignment="1">
      <alignment horizontal="left" indent="1"/>
    </xf>
    <xf numFmtId="49" fontId="59" fillId="0" borderId="0" xfId="0" applyNumberFormat="1" applyFont="1" applyFill="1" applyBorder="1" applyAlignment="1">
      <alignment horizontal="left" indent="2"/>
    </xf>
    <xf numFmtId="49" fontId="59" fillId="0" borderId="0" xfId="0" applyNumberFormat="1" applyFont="1" applyFill="1" applyBorder="1" applyAlignment="1">
      <alignment horizontal="left" indent="3"/>
    </xf>
    <xf numFmtId="49" fontId="65" fillId="0" borderId="0" xfId="0" applyNumberFormat="1" applyFont="1" applyBorder="1" applyAlignment="1">
      <alignment horizontal="left" indent="2"/>
    </xf>
    <xf numFmtId="49" fontId="67" fillId="0" borderId="0" xfId="0" applyNumberFormat="1" applyFont="1" applyBorder="1" applyAlignment="1">
      <alignment horizontal="left" indent="5"/>
    </xf>
    <xf numFmtId="49" fontId="67" fillId="0" borderId="0" xfId="0" applyNumberFormat="1" applyFont="1" applyBorder="1" applyAlignment="1">
      <alignment horizontal="left" indent="3"/>
    </xf>
    <xf numFmtId="49" fontId="64" fillId="0" borderId="0" xfId="0" applyNumberFormat="1" applyFont="1" applyBorder="1" applyAlignment="1">
      <alignment horizontal="left"/>
    </xf>
    <xf numFmtId="49" fontId="62" fillId="0" borderId="0" xfId="2" applyNumberFormat="1" applyFont="1" applyBorder="1" applyAlignment="1" applyProtection="1">
      <alignment horizontal="left" indent="3"/>
    </xf>
    <xf numFmtId="49" fontId="59" fillId="0" borderId="0" xfId="0" applyNumberFormat="1" applyFont="1" applyFill="1" applyBorder="1"/>
    <xf numFmtId="49" fontId="62" fillId="0" borderId="0" xfId="2" applyNumberFormat="1" applyFont="1" applyBorder="1" applyAlignment="1" applyProtection="1">
      <alignment horizontal="left" indent="2"/>
    </xf>
    <xf numFmtId="0" fontId="61" fillId="0" borderId="0" xfId="0" applyFont="1" applyBorder="1" applyProtection="1"/>
    <xf numFmtId="0" fontId="61" fillId="0" borderId="0" xfId="0" applyFont="1" applyBorder="1" applyAlignment="1" applyProtection="1">
      <alignment horizontal="left"/>
    </xf>
    <xf numFmtId="164" fontId="66" fillId="0" borderId="0" xfId="0" applyNumberFormat="1" applyFont="1" applyBorder="1" applyAlignment="1" applyProtection="1">
      <alignment horizontal="left"/>
    </xf>
    <xf numFmtId="0" fontId="61" fillId="0" borderId="0" xfId="0" applyFont="1" applyBorder="1" applyAlignment="1" applyProtection="1">
      <alignment horizontal="center" vertical="top" textRotation="180"/>
    </xf>
    <xf numFmtId="0" fontId="61" fillId="0" borderId="0" xfId="0" applyFont="1" applyBorder="1" applyAlignment="1" applyProtection="1"/>
    <xf numFmtId="0" fontId="75" fillId="0" borderId="0" xfId="0" applyFont="1" applyBorder="1" applyAlignment="1" applyProtection="1">
      <alignment horizontal="centerContinuous" vertical="center"/>
    </xf>
    <xf numFmtId="164" fontId="68" fillId="0" borderId="0" xfId="0" applyNumberFormat="1" applyFont="1" applyBorder="1" applyAlignment="1" applyProtection="1">
      <alignment horizontal="left" vertical="center"/>
    </xf>
    <xf numFmtId="0" fontId="59" fillId="0" borderId="0" xfId="0" applyFont="1" applyBorder="1" applyAlignment="1" applyProtection="1">
      <alignment horizontal="left" vertical="center"/>
    </xf>
    <xf numFmtId="0" fontId="61" fillId="0" borderId="0" xfId="0" applyFont="1" applyBorder="1" applyAlignment="1"/>
    <xf numFmtId="0" fontId="75" fillId="0" borderId="0" xfId="0" applyFont="1" applyBorder="1" applyAlignment="1" applyProtection="1">
      <alignment horizontal="center" vertical="center"/>
    </xf>
    <xf numFmtId="0" fontId="66" fillId="0" borderId="0" xfId="0" applyFont="1" applyBorder="1" applyAlignment="1">
      <alignment horizontal="left" vertical="top"/>
    </xf>
    <xf numFmtId="164" fontId="66" fillId="0" borderId="0" xfId="0" applyNumberFormat="1" applyFont="1" applyBorder="1" applyAlignment="1">
      <alignment horizontal="left" vertical="top"/>
    </xf>
    <xf numFmtId="0" fontId="70" fillId="0" borderId="0" xfId="0" applyFont="1" applyBorder="1" applyAlignment="1" applyProtection="1">
      <alignment horizontal="left" vertical="center"/>
    </xf>
    <xf numFmtId="0" fontId="76" fillId="0" borderId="0" xfId="0" applyFont="1" applyBorder="1" applyAlignment="1">
      <alignment horizontal="left" vertical="top"/>
    </xf>
    <xf numFmtId="0" fontId="59" fillId="0" borderId="0" xfId="0" applyFont="1" applyBorder="1" applyProtection="1"/>
    <xf numFmtId="0" fontId="59" fillId="0" borderId="0" xfId="0" applyFont="1" applyBorder="1" applyAlignment="1" applyProtection="1">
      <alignment horizontal="left"/>
    </xf>
    <xf numFmtId="0" fontId="66" fillId="0" borderId="0" xfId="0" applyFont="1" applyBorder="1" applyProtection="1"/>
    <xf numFmtId="0" fontId="58" fillId="0" borderId="0" xfId="0" applyFont="1" applyBorder="1" applyAlignment="1" applyProtection="1">
      <alignment horizontal="center" vertical="center"/>
    </xf>
    <xf numFmtId="164" fontId="58" fillId="0" borderId="2" xfId="0" applyNumberFormat="1" applyFont="1" applyBorder="1" applyAlignment="1" applyProtection="1">
      <alignment horizontal="center" vertical="center"/>
      <protection locked="0"/>
    </xf>
    <xf numFmtId="0" fontId="66" fillId="0" borderId="0" xfId="0" applyFont="1" applyBorder="1" applyAlignment="1">
      <alignment horizontal="left" vertical="center"/>
    </xf>
    <xf numFmtId="0" fontId="59" fillId="0" borderId="0" xfId="0" applyFont="1" applyBorder="1" applyAlignment="1" applyProtection="1">
      <alignment vertical="center"/>
    </xf>
    <xf numFmtId="164" fontId="68" fillId="0" borderId="0" xfId="0" applyNumberFormat="1" applyFont="1" applyBorder="1" applyAlignment="1" applyProtection="1">
      <alignment horizontal="right" vertical="center"/>
    </xf>
    <xf numFmtId="164" fontId="66" fillId="0" borderId="0" xfId="0" applyNumberFormat="1" applyFont="1" applyBorder="1" applyAlignment="1" applyProtection="1">
      <alignment vertical="center"/>
    </xf>
    <xf numFmtId="0" fontId="66" fillId="0" borderId="0" xfId="0" applyFont="1" applyBorder="1" applyAlignment="1" applyProtection="1">
      <alignment horizontal="left" vertical="center" indent="1"/>
    </xf>
    <xf numFmtId="0" fontId="58" fillId="0" borderId="2" xfId="0" applyFont="1" applyBorder="1" applyAlignment="1" applyProtection="1">
      <alignment horizontal="center" vertical="center"/>
      <protection locked="0"/>
    </xf>
    <xf numFmtId="164" fontId="68" fillId="0" borderId="0" xfId="0" applyNumberFormat="1" applyFont="1" applyBorder="1" applyAlignment="1" applyProtection="1">
      <alignment horizontal="right" vertical="center" wrapText="1"/>
    </xf>
    <xf numFmtId="164" fontId="66" fillId="0" borderId="0" xfId="0" applyNumberFormat="1" applyFont="1" applyBorder="1" applyAlignment="1">
      <alignment horizontal="left" vertical="center"/>
    </xf>
    <xf numFmtId="0" fontId="58" fillId="0" borderId="0" xfId="0" applyFont="1" applyBorder="1" applyAlignment="1" applyProtection="1">
      <alignment horizontal="left" vertical="center"/>
    </xf>
    <xf numFmtId="164" fontId="77" fillId="0" borderId="0" xfId="0" applyNumberFormat="1" applyFont="1" applyBorder="1" applyAlignment="1" applyProtection="1">
      <alignment horizontal="left" vertical="center" indent="1"/>
    </xf>
    <xf numFmtId="0" fontId="66" fillId="0" borderId="0" xfId="0" applyFont="1" applyAlignment="1">
      <alignment horizontal="left" vertical="center"/>
    </xf>
    <xf numFmtId="0" fontId="66" fillId="0" borderId="0" xfId="0" applyFont="1" applyAlignment="1">
      <alignment horizontal="left" vertical="center" indent="1"/>
    </xf>
    <xf numFmtId="0" fontId="77" fillId="0" borderId="0" xfId="0" applyFont="1" applyAlignment="1">
      <alignment horizontal="left" vertical="center" indent="1"/>
    </xf>
    <xf numFmtId="0" fontId="58" fillId="0" borderId="21" xfId="0" applyFont="1" applyBorder="1" applyAlignment="1" applyProtection="1">
      <alignment horizontal="center" vertical="center"/>
      <protection locked="0"/>
    </xf>
    <xf numFmtId="0" fontId="66" fillId="0" borderId="0" xfId="0" applyFont="1" applyBorder="1" applyAlignment="1">
      <alignment horizontal="left" vertical="center" indent="1"/>
    </xf>
    <xf numFmtId="0" fontId="58" fillId="0" borderId="0" xfId="0" applyFont="1" applyBorder="1" applyAlignment="1" applyProtection="1">
      <alignment horizontal="center" vertical="center"/>
      <protection locked="0"/>
    </xf>
    <xf numFmtId="0" fontId="66" fillId="0" borderId="0" xfId="0" applyFont="1" applyBorder="1" applyAlignment="1" applyProtection="1">
      <alignment vertical="center"/>
    </xf>
    <xf numFmtId="0" fontId="77" fillId="0" borderId="0" xfId="0" applyFont="1" applyAlignment="1">
      <alignment horizontal="left" vertical="center"/>
    </xf>
    <xf numFmtId="0" fontId="66" fillId="0" borderId="0" xfId="0" applyFont="1" applyBorder="1" applyAlignment="1" applyProtection="1">
      <alignment horizontal="left" vertical="top"/>
    </xf>
    <xf numFmtId="0" fontId="66" fillId="0" borderId="0" xfId="0" applyFont="1" applyBorder="1" applyAlignment="1" applyProtection="1">
      <alignment horizontal="left" vertical="top" indent="1"/>
    </xf>
    <xf numFmtId="0" fontId="77" fillId="0" borderId="0" xfId="0" applyFont="1" applyBorder="1" applyAlignment="1" applyProtection="1">
      <alignment horizontal="left" vertical="top" indent="1"/>
    </xf>
    <xf numFmtId="0" fontId="66" fillId="0" borderId="0" xfId="0" applyFont="1" applyAlignment="1">
      <alignment vertical="top"/>
    </xf>
    <xf numFmtId="0" fontId="66" fillId="0" borderId="0" xfId="0" applyFont="1" applyBorder="1" applyAlignment="1" applyProtection="1">
      <alignment vertical="top"/>
    </xf>
    <xf numFmtId="0" fontId="69" fillId="0" borderId="2" xfId="0" applyFont="1" applyBorder="1" applyAlignment="1" applyProtection="1">
      <alignment horizontal="center"/>
      <protection locked="0"/>
    </xf>
    <xf numFmtId="164" fontId="68" fillId="0" borderId="0" xfId="0" applyNumberFormat="1" applyFont="1" applyBorder="1" applyAlignment="1" applyProtection="1">
      <alignment horizontal="right"/>
    </xf>
    <xf numFmtId="0" fontId="61" fillId="0" borderId="21" xfId="0" applyFont="1" applyBorder="1" applyAlignment="1" applyProtection="1">
      <alignment horizontal="left"/>
    </xf>
    <xf numFmtId="0" fontId="66" fillId="0" borderId="0" xfId="0" applyFont="1" applyBorder="1" applyAlignment="1" applyProtection="1">
      <alignment horizontal="left" vertical="center"/>
    </xf>
    <xf numFmtId="0" fontId="61" fillId="0" borderId="0" xfId="0" applyFont="1" applyBorder="1" applyAlignment="1" applyProtection="1">
      <alignment horizontal="left" vertical="center"/>
    </xf>
    <xf numFmtId="14" fontId="59" fillId="0" borderId="0" xfId="0" applyNumberFormat="1" applyFont="1" applyBorder="1" applyAlignment="1" applyProtection="1">
      <alignment horizontal="center" vertical="center"/>
    </xf>
    <xf numFmtId="14" fontId="69" fillId="0" borderId="78" xfId="0" applyNumberFormat="1" applyFont="1" applyBorder="1" applyAlignment="1" applyProtection="1">
      <alignment horizontal="center" vertical="center"/>
      <protection locked="0"/>
    </xf>
    <xf numFmtId="0" fontId="79" fillId="0" borderId="0" xfId="0" applyFont="1" applyAlignment="1">
      <alignment horizontal="left" vertical="center"/>
    </xf>
    <xf numFmtId="0" fontId="61" fillId="0" borderId="0" xfId="0" applyFont="1" applyAlignment="1">
      <alignment horizontal="left" vertical="center"/>
    </xf>
    <xf numFmtId="0" fontId="70" fillId="0" borderId="0" xfId="0" applyFont="1" applyBorder="1" applyAlignment="1" applyProtection="1">
      <alignment horizontal="left" vertical="center" wrapText="1"/>
    </xf>
    <xf numFmtId="0" fontId="58" fillId="0" borderId="0" xfId="0" applyFont="1" applyBorder="1" applyAlignment="1" applyProtection="1">
      <alignment horizontal="center" vertical="center" wrapText="1"/>
    </xf>
    <xf numFmtId="0" fontId="59" fillId="0" borderId="0" xfId="0" applyFont="1" applyBorder="1" applyAlignment="1" applyProtection="1">
      <alignment horizontal="left" vertical="top"/>
    </xf>
    <xf numFmtId="0" fontId="61" fillId="0" borderId="0" xfId="0" applyFont="1" applyBorder="1" applyAlignment="1">
      <alignment horizontal="left" vertical="top"/>
    </xf>
    <xf numFmtId="0" fontId="61" fillId="0" borderId="0" xfId="0" applyFont="1" applyBorder="1" applyAlignment="1">
      <alignment horizontal="center" vertical="top"/>
    </xf>
    <xf numFmtId="0" fontId="66" fillId="0" borderId="0" xfId="0" applyFont="1" applyAlignment="1">
      <alignment horizontal="left"/>
    </xf>
    <xf numFmtId="0" fontId="66" fillId="0" borderId="0" xfId="0" applyFont="1"/>
    <xf numFmtId="0" fontId="61" fillId="0" borderId="0" xfId="0" applyFont="1" applyBorder="1" applyAlignment="1" applyProtection="1">
      <alignment horizontal="right" vertical="center"/>
    </xf>
    <xf numFmtId="14" fontId="61" fillId="0" borderId="100" xfId="0" applyNumberFormat="1" applyFont="1" applyBorder="1" applyAlignment="1" applyProtection="1">
      <alignment vertical="center"/>
      <protection locked="0"/>
    </xf>
    <xf numFmtId="164" fontId="58" fillId="0" borderId="0" xfId="0" applyNumberFormat="1" applyFont="1" applyBorder="1" applyAlignment="1" applyProtection="1">
      <alignment horizontal="center" vertical="center"/>
    </xf>
    <xf numFmtId="0" fontId="80" fillId="9" borderId="101" xfId="0" applyFont="1" applyFill="1" applyBorder="1" applyAlignment="1">
      <alignment horizontal="center" vertical="center"/>
    </xf>
    <xf numFmtId="0" fontId="80" fillId="9" borderId="102" xfId="0" applyFont="1" applyFill="1" applyBorder="1" applyAlignment="1">
      <alignment horizontal="center" vertical="center"/>
    </xf>
    <xf numFmtId="0" fontId="58" fillId="17" borderId="121" xfId="0" applyFont="1" applyFill="1" applyBorder="1" applyAlignment="1" applyProtection="1">
      <alignment horizontal="left" vertical="center"/>
    </xf>
    <xf numFmtId="164" fontId="58" fillId="17" borderId="121" xfId="0" applyNumberFormat="1" applyFont="1" applyFill="1" applyBorder="1" applyAlignment="1" applyProtection="1">
      <alignment horizontal="center" vertical="center"/>
    </xf>
    <xf numFmtId="164" fontId="68" fillId="17" borderId="121" xfId="0" applyNumberFormat="1" applyFont="1" applyFill="1" applyBorder="1" applyAlignment="1" applyProtection="1">
      <alignment vertical="center"/>
    </xf>
    <xf numFmtId="0" fontId="81" fillId="10" borderId="122" xfId="0" applyFont="1" applyFill="1" applyBorder="1" applyAlignment="1">
      <alignment horizontal="left" vertical="center"/>
    </xf>
    <xf numFmtId="38" fontId="53" fillId="10" borderId="103" xfId="0" applyNumberFormat="1" applyFont="1" applyFill="1" applyBorder="1" applyAlignment="1">
      <alignment horizontal="right"/>
    </xf>
    <xf numFmtId="38" fontId="53" fillId="10" borderId="110" xfId="0" applyNumberFormat="1" applyFont="1" applyFill="1" applyBorder="1" applyAlignment="1">
      <alignment horizontal="right"/>
    </xf>
    <xf numFmtId="0" fontId="82" fillId="11" borderId="103" xfId="0" applyFont="1" applyFill="1" applyBorder="1" applyAlignment="1">
      <alignment vertical="center"/>
    </xf>
    <xf numFmtId="164" fontId="58" fillId="13" borderId="117" xfId="0" applyNumberFormat="1" applyFont="1" applyFill="1" applyBorder="1" applyAlignment="1" applyProtection="1">
      <alignment horizontal="center" vertical="center"/>
    </xf>
    <xf numFmtId="164" fontId="68" fillId="13" borderId="110" xfId="0" applyNumberFormat="1" applyFont="1" applyFill="1" applyBorder="1" applyAlignment="1" applyProtection="1">
      <alignment vertical="center"/>
    </xf>
    <xf numFmtId="0" fontId="61" fillId="13" borderId="103" xfId="0" applyFont="1" applyFill="1" applyBorder="1" applyAlignment="1" applyProtection="1">
      <alignment vertical="center"/>
    </xf>
    <xf numFmtId="38" fontId="53" fillId="11" borderId="120" xfId="0" applyNumberFormat="1" applyFont="1" applyFill="1" applyBorder="1" applyAlignment="1" applyProtection="1">
      <alignment horizontal="right"/>
      <protection locked="0"/>
    </xf>
    <xf numFmtId="38" fontId="53" fillId="11" borderId="103" xfId="0" applyNumberFormat="1" applyFont="1" applyFill="1" applyBorder="1" applyAlignment="1" applyProtection="1">
      <alignment horizontal="right"/>
      <protection locked="0"/>
    </xf>
    <xf numFmtId="38" fontId="53" fillId="11" borderId="110" xfId="0" applyNumberFormat="1" applyFont="1" applyFill="1" applyBorder="1" applyAlignment="1" applyProtection="1">
      <alignment horizontal="right"/>
      <protection locked="0"/>
    </xf>
    <xf numFmtId="0" fontId="58" fillId="17" borderId="110" xfId="0" applyFont="1" applyFill="1" applyBorder="1" applyAlignment="1" applyProtection="1">
      <alignment horizontal="center" vertical="center"/>
    </xf>
    <xf numFmtId="164" fontId="58" fillId="17" borderId="110" xfId="0" applyNumberFormat="1" applyFont="1" applyFill="1" applyBorder="1" applyAlignment="1" applyProtection="1">
      <alignment horizontal="center" vertical="center"/>
    </xf>
    <xf numFmtId="164" fontId="68" fillId="17" borderId="110" xfId="0" applyNumberFormat="1" applyFont="1" applyFill="1" applyBorder="1" applyAlignment="1" applyProtection="1">
      <alignment vertical="center"/>
    </xf>
    <xf numFmtId="0" fontId="81" fillId="10" borderId="103" xfId="0" applyFont="1" applyFill="1" applyBorder="1" applyAlignment="1">
      <alignment horizontal="left" vertical="center"/>
    </xf>
    <xf numFmtId="0" fontId="58" fillId="17" borderId="0" xfId="0" applyFont="1" applyFill="1" applyBorder="1" applyAlignment="1" applyProtection="1">
      <alignment horizontal="left" vertical="center"/>
    </xf>
    <xf numFmtId="164" fontId="58" fillId="17" borderId="0" xfId="0" applyNumberFormat="1" applyFont="1" applyFill="1" applyBorder="1" applyAlignment="1" applyProtection="1">
      <alignment horizontal="center" vertical="center"/>
    </xf>
    <xf numFmtId="164" fontId="68" fillId="17" borderId="0" xfId="0" applyNumberFormat="1" applyFont="1" applyFill="1" applyBorder="1" applyAlignment="1" applyProtection="1">
      <alignment vertical="center"/>
    </xf>
    <xf numFmtId="0" fontId="66" fillId="13" borderId="117" xfId="0" applyFont="1" applyFill="1" applyBorder="1" applyAlignment="1" applyProtection="1">
      <alignment horizontal="left" vertical="center"/>
    </xf>
    <xf numFmtId="164" fontId="58" fillId="13" borderId="110" xfId="0" applyNumberFormat="1" applyFont="1" applyFill="1" applyBorder="1" applyAlignment="1" applyProtection="1">
      <alignment horizontal="center" vertical="center"/>
    </xf>
    <xf numFmtId="164" fontId="66" fillId="13" borderId="110" xfId="0" applyNumberFormat="1" applyFont="1" applyFill="1" applyBorder="1" applyAlignment="1" applyProtection="1">
      <alignment vertical="center"/>
    </xf>
    <xf numFmtId="0" fontId="82" fillId="11" borderId="103" xfId="0" applyFont="1" applyFill="1" applyBorder="1" applyAlignment="1">
      <alignment horizontal="left" vertical="center"/>
    </xf>
    <xf numFmtId="0" fontId="58" fillId="13" borderId="118" xfId="0" applyFont="1" applyFill="1" applyBorder="1" applyAlignment="1" applyProtection="1">
      <alignment horizontal="center" vertical="center"/>
    </xf>
    <xf numFmtId="164" fontId="58" fillId="13" borderId="119" xfId="0" applyNumberFormat="1" applyFont="1" applyFill="1" applyBorder="1" applyAlignment="1" applyProtection="1">
      <alignment horizontal="center" vertical="center"/>
    </xf>
    <xf numFmtId="164" fontId="68" fillId="13" borderId="119" xfId="0" applyNumberFormat="1" applyFont="1" applyFill="1" applyBorder="1" applyAlignment="1" applyProtection="1">
      <alignment vertical="center"/>
    </xf>
    <xf numFmtId="38" fontId="53" fillId="11" borderId="110" xfId="0" applyNumberFormat="1" applyFont="1" applyFill="1" applyBorder="1" applyAlignment="1">
      <alignment horizontal="right"/>
    </xf>
    <xf numFmtId="0" fontId="81" fillId="10" borderId="104" xfId="0" applyFont="1" applyFill="1" applyBorder="1" applyAlignment="1">
      <alignment horizontal="left" vertical="center"/>
    </xf>
    <xf numFmtId="38" fontId="53" fillId="10" borderId="104" xfId="0" applyNumberFormat="1" applyFont="1" applyFill="1" applyBorder="1" applyAlignment="1">
      <alignment horizontal="right"/>
    </xf>
    <xf numFmtId="38" fontId="53" fillId="10" borderId="0" xfId="0" applyNumberFormat="1" applyFont="1" applyFill="1" applyBorder="1" applyAlignment="1" applyProtection="1">
      <alignment horizontal="right"/>
      <protection locked="0"/>
    </xf>
    <xf numFmtId="1" fontId="59" fillId="0" borderId="0" xfId="0" applyNumberFormat="1" applyFont="1" applyBorder="1" applyAlignment="1" applyProtection="1">
      <alignment horizontal="center" vertical="center"/>
    </xf>
    <xf numFmtId="0" fontId="61" fillId="0" borderId="0" xfId="0" applyFont="1" applyBorder="1" applyAlignment="1" applyProtection="1">
      <alignment horizontal="center" vertical="center"/>
    </xf>
    <xf numFmtId="164" fontId="59" fillId="0" borderId="0" xfId="0" applyNumberFormat="1" applyFont="1" applyBorder="1" applyAlignment="1" applyProtection="1">
      <alignment horizontal="left" vertical="center" indent="1"/>
    </xf>
    <xf numFmtId="0" fontId="70" fillId="0" borderId="0" xfId="3" applyFont="1" applyBorder="1" applyAlignment="1" applyProtection="1">
      <alignment horizontal="left" vertical="center"/>
    </xf>
    <xf numFmtId="0" fontId="79" fillId="0" borderId="0" xfId="3" applyFont="1" applyAlignment="1">
      <alignment horizontal="left" vertical="center"/>
    </xf>
    <xf numFmtId="0" fontId="68" fillId="0" borderId="0" xfId="3" applyFont="1" applyBorder="1" applyAlignment="1" applyProtection="1">
      <alignment horizontal="left" vertical="center"/>
    </xf>
    <xf numFmtId="0" fontId="61" fillId="0" borderId="0" xfId="3" applyFont="1" applyBorder="1" applyAlignment="1" applyProtection="1">
      <alignment horizontal="right" vertical="center"/>
    </xf>
    <xf numFmtId="1" fontId="59" fillId="0" borderId="0" xfId="3" applyNumberFormat="1" applyFont="1" applyBorder="1" applyAlignment="1" applyProtection="1">
      <alignment horizontal="center" vertical="center"/>
    </xf>
    <xf numFmtId="0" fontId="61" fillId="0" borderId="0" xfId="3" applyFont="1" applyBorder="1" applyAlignment="1" applyProtection="1">
      <alignment vertical="center"/>
    </xf>
    <xf numFmtId="0" fontId="61" fillId="0" borderId="0" xfId="3" applyFont="1" applyBorder="1" applyAlignment="1" applyProtection="1">
      <alignment horizontal="center" vertical="center"/>
    </xf>
    <xf numFmtId="0" fontId="61" fillId="0" borderId="0" xfId="3" applyNumberFormat="1" applyFont="1" applyBorder="1" applyAlignment="1" applyProtection="1">
      <alignment vertical="center"/>
    </xf>
    <xf numFmtId="0" fontId="66" fillId="0" borderId="0" xfId="3" applyFont="1" applyBorder="1" applyAlignment="1">
      <alignment horizontal="left" indent="1"/>
    </xf>
    <xf numFmtId="0" fontId="59" fillId="0" borderId="0" xfId="3" applyFont="1" applyBorder="1"/>
    <xf numFmtId="164" fontId="68" fillId="0" borderId="0" xfId="3" applyNumberFormat="1" applyFont="1" applyBorder="1" applyAlignment="1" applyProtection="1">
      <alignment vertical="center"/>
    </xf>
    <xf numFmtId="0" fontId="61" fillId="0" borderId="0" xfId="3" applyFont="1" applyBorder="1"/>
    <xf numFmtId="0" fontId="59" fillId="0" borderId="0" xfId="3" applyFont="1" applyBorder="1" applyAlignment="1" applyProtection="1">
      <alignment horizontal="left" vertical="top"/>
    </xf>
    <xf numFmtId="0" fontId="66" fillId="0" borderId="0" xfId="3" applyFont="1" applyBorder="1"/>
    <xf numFmtId="0" fontId="58" fillId="0" borderId="0" xfId="3" applyFont="1" applyBorder="1" applyAlignment="1" applyProtection="1">
      <alignment horizontal="center" vertical="center"/>
    </xf>
    <xf numFmtId="164" fontId="68" fillId="0" borderId="0" xfId="3" applyNumberFormat="1" applyFont="1" applyBorder="1" applyAlignment="1" applyProtection="1">
      <alignment horizontal="right" vertical="center"/>
    </xf>
    <xf numFmtId="0" fontId="83" fillId="0" borderId="0" xfId="3" applyFont="1" applyBorder="1"/>
    <xf numFmtId="0" fontId="61" fillId="0" borderId="0" xfId="3" applyFont="1"/>
    <xf numFmtId="0" fontId="61" fillId="0" borderId="0" xfId="3" applyFont="1" applyProtection="1"/>
    <xf numFmtId="0" fontId="77" fillId="0" borderId="0" xfId="3" applyFont="1" applyBorder="1"/>
    <xf numFmtId="0" fontId="77" fillId="0" borderId="0" xfId="3" applyFont="1" applyBorder="1" applyAlignment="1">
      <alignment horizontal="center" vertical="top"/>
    </xf>
    <xf numFmtId="171" fontId="61" fillId="0" borderId="0" xfId="3" applyNumberFormat="1" applyFont="1" applyBorder="1" applyAlignment="1" applyProtection="1">
      <alignment horizontal="center" vertical="center"/>
    </xf>
    <xf numFmtId="0" fontId="77" fillId="0" borderId="0" xfId="3" applyFont="1" applyBorder="1" applyAlignment="1">
      <alignment horizontal="center"/>
    </xf>
    <xf numFmtId="0" fontId="61" fillId="0" borderId="0" xfId="3" applyFont="1" applyBorder="1" applyProtection="1"/>
    <xf numFmtId="0" fontId="61" fillId="0" borderId="0" xfId="3" applyFont="1" applyProtection="1">
      <protection locked="0"/>
    </xf>
    <xf numFmtId="0" fontId="61" fillId="0" borderId="0" xfId="3" applyFont="1" applyBorder="1" applyProtection="1">
      <protection locked="0"/>
    </xf>
    <xf numFmtId="0" fontId="61" fillId="0" borderId="0" xfId="3" applyFont="1" applyBorder="1" applyAlignment="1">
      <alignment horizontal="center" vertical="center"/>
    </xf>
    <xf numFmtId="164" fontId="66" fillId="0" borderId="0" xfId="3" applyNumberFormat="1" applyFont="1" applyBorder="1"/>
    <xf numFmtId="0" fontId="77" fillId="0" borderId="15" xfId="3" applyFont="1" applyBorder="1" applyAlignment="1">
      <alignment horizontal="center"/>
    </xf>
    <xf numFmtId="0" fontId="59" fillId="0" borderId="0" xfId="3" applyFont="1" applyBorder="1" applyProtection="1"/>
    <xf numFmtId="0" fontId="61" fillId="0" borderId="0" xfId="0" applyFont="1"/>
    <xf numFmtId="0" fontId="77" fillId="0" borderId="0" xfId="0" applyFont="1" applyBorder="1"/>
    <xf numFmtId="0" fontId="77" fillId="0" borderId="0" xfId="0" applyFont="1" applyBorder="1" applyAlignment="1">
      <alignment horizontal="left" vertical="top" wrapText="1"/>
    </xf>
    <xf numFmtId="0" fontId="77" fillId="0" borderId="0" xfId="0" applyFont="1" applyBorder="1" applyAlignment="1">
      <alignment horizontal="center"/>
    </xf>
    <xf numFmtId="0" fontId="77" fillId="0" borderId="0" xfId="0" applyFont="1" applyBorder="1" applyAlignment="1" applyProtection="1">
      <alignment horizontal="center" vertical="top"/>
    </xf>
    <xf numFmtId="0" fontId="61" fillId="0" borderId="0" xfId="0" applyFont="1" applyBorder="1" applyAlignment="1">
      <alignment horizontal="center" vertical="center"/>
    </xf>
    <xf numFmtId="164" fontId="66" fillId="0" borderId="0" xfId="0" applyNumberFormat="1" applyFont="1" applyBorder="1"/>
    <xf numFmtId="0" fontId="58" fillId="0" borderId="0" xfId="0" applyFont="1" applyBorder="1" applyAlignment="1" applyProtection="1">
      <alignment horizontal="center"/>
    </xf>
    <xf numFmtId="0" fontId="77" fillId="0" borderId="0" xfId="0" applyFont="1" applyBorder="1" applyAlignment="1">
      <alignment horizontal="center" vertical="top"/>
    </xf>
    <xf numFmtId="171" fontId="61" fillId="0" borderId="0" xfId="0" applyNumberFormat="1" applyFont="1" applyBorder="1" applyAlignment="1" applyProtection="1">
      <alignment horizontal="center" vertical="center"/>
    </xf>
    <xf numFmtId="164" fontId="66" fillId="0" borderId="0" xfId="0" applyNumberFormat="1" applyFont="1" applyBorder="1" applyProtection="1"/>
    <xf numFmtId="0" fontId="84" fillId="0" borderId="0" xfId="0" applyFont="1" applyBorder="1" applyAlignment="1">
      <alignment horizontal="left" vertical="top" wrapText="1"/>
    </xf>
    <xf numFmtId="166" fontId="61" fillId="0" borderId="0" xfId="0" applyNumberFormat="1" applyFont="1" applyBorder="1" applyAlignment="1" applyProtection="1">
      <alignment horizontal="left" vertical="center"/>
    </xf>
    <xf numFmtId="164" fontId="66" fillId="0" borderId="0" xfId="0" applyNumberFormat="1" applyFont="1" applyBorder="1" applyAlignment="1" applyProtection="1">
      <alignment horizontal="left" vertical="center"/>
    </xf>
    <xf numFmtId="0" fontId="61" fillId="0" borderId="0" xfId="0" applyFont="1" applyAlignment="1">
      <alignment vertical="center"/>
    </xf>
    <xf numFmtId="0" fontId="68" fillId="0" borderId="0" xfId="0" applyFont="1" applyBorder="1" applyAlignment="1" applyProtection="1">
      <alignment vertical="center"/>
    </xf>
    <xf numFmtId="0" fontId="59" fillId="0" borderId="0" xfId="3" applyFont="1" applyBorder="1" applyAlignment="1">
      <alignment horizontal="left" indent="1"/>
    </xf>
    <xf numFmtId="0" fontId="64" fillId="0" borderId="0" xfId="0" applyFont="1" applyBorder="1" applyAlignment="1" applyProtection="1">
      <alignment horizontal="center" vertical="center"/>
    </xf>
    <xf numFmtId="0" fontId="59" fillId="0" borderId="0" xfId="0" applyFont="1" applyAlignment="1" applyProtection="1">
      <alignment vertical="center"/>
    </xf>
    <xf numFmtId="0" fontId="86" fillId="0" borderId="0" xfId="0" applyFont="1" applyBorder="1" applyAlignment="1" applyProtection="1">
      <alignment horizontal="left" vertical="center"/>
    </xf>
    <xf numFmtId="0" fontId="58" fillId="0" borderId="0" xfId="0" applyFont="1" applyBorder="1" applyAlignment="1" applyProtection="1">
      <alignment vertical="center"/>
    </xf>
    <xf numFmtId="0" fontId="87" fillId="0" borderId="0" xfId="0" applyFont="1" applyBorder="1" applyAlignment="1" applyProtection="1">
      <alignment vertical="center"/>
    </xf>
    <xf numFmtId="0" fontId="66" fillId="0" borderId="0" xfId="0" applyFont="1" applyBorder="1" applyAlignment="1" applyProtection="1">
      <alignment horizontal="left" vertical="center" indent="3"/>
    </xf>
    <xf numFmtId="38" fontId="61" fillId="0" borderId="2" xfId="0" applyNumberFormat="1" applyFont="1" applyBorder="1" applyAlignment="1" applyProtection="1">
      <alignment vertical="center"/>
      <protection locked="0"/>
    </xf>
    <xf numFmtId="0" fontId="68" fillId="0" borderId="0" xfId="0" applyFont="1" applyBorder="1" applyAlignment="1" applyProtection="1">
      <alignment horizontal="center" vertical="center"/>
    </xf>
    <xf numFmtId="0" fontId="68" fillId="0" borderId="0" xfId="0" applyFont="1" applyBorder="1" applyAlignment="1" applyProtection="1">
      <alignment horizontal="center" vertical="center" wrapText="1"/>
    </xf>
    <xf numFmtId="176" fontId="61" fillId="0" borderId="2" xfId="0" applyNumberFormat="1" applyFont="1" applyBorder="1" applyAlignment="1" applyProtection="1">
      <alignment vertical="center" wrapText="1"/>
      <protection locked="0"/>
    </xf>
    <xf numFmtId="0" fontId="59" fillId="0" borderId="0" xfId="0" applyFont="1" applyBorder="1" applyAlignment="1" applyProtection="1">
      <alignment horizontal="center" vertical="center"/>
    </xf>
    <xf numFmtId="0" fontId="89" fillId="0" borderId="0" xfId="0" applyFont="1" applyBorder="1" applyAlignment="1" applyProtection="1">
      <alignment horizontal="center" vertical="center" wrapText="1"/>
    </xf>
    <xf numFmtId="0" fontId="88" fillId="0" borderId="0" xfId="0" applyNumberFormat="1" applyFont="1" applyBorder="1" applyAlignment="1" applyProtection="1">
      <alignment horizontal="left" vertical="center" wrapText="1"/>
    </xf>
    <xf numFmtId="0" fontId="59" fillId="0" borderId="0" xfId="0" applyFont="1" applyAlignment="1">
      <alignment horizontal="left" vertical="center" wrapText="1"/>
    </xf>
    <xf numFmtId="0" fontId="68" fillId="0" borderId="0" xfId="0" applyFont="1" applyBorder="1" applyAlignment="1" applyProtection="1">
      <alignment horizontal="center"/>
    </xf>
    <xf numFmtId="0" fontId="59" fillId="0" borderId="0" xfId="0" applyFont="1" applyBorder="1" applyAlignment="1" applyProtection="1"/>
    <xf numFmtId="0" fontId="68" fillId="0" borderId="0" xfId="0" applyFont="1" applyBorder="1" applyAlignment="1" applyProtection="1">
      <alignment horizontal="center" wrapText="1"/>
    </xf>
    <xf numFmtId="0" fontId="59" fillId="0" borderId="0" xfId="0" applyFont="1" applyBorder="1" applyAlignment="1" applyProtection="1">
      <alignment horizontal="right" vertical="center"/>
    </xf>
    <xf numFmtId="0" fontId="85" fillId="0" borderId="0" xfId="0" applyFont="1" applyBorder="1" applyAlignment="1" applyProtection="1">
      <alignment vertical="center"/>
    </xf>
    <xf numFmtId="0" fontId="77" fillId="0" borderId="0" xfId="0" applyFont="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9" fillId="0" borderId="0" xfId="0" applyFont="1" applyAlignment="1" applyProtection="1">
      <alignment horizontal="right" vertical="center"/>
    </xf>
    <xf numFmtId="0" fontId="66" fillId="0" borderId="17" xfId="0" applyFont="1" applyFill="1" applyBorder="1" applyAlignment="1" applyProtection="1">
      <alignment vertical="center"/>
    </xf>
    <xf numFmtId="38" fontId="61" fillId="0" borderId="2" xfId="0" applyNumberFormat="1" applyFont="1" applyBorder="1" applyAlignment="1" applyProtection="1">
      <alignment horizontal="center" vertical="center"/>
      <protection locked="0"/>
    </xf>
    <xf numFmtId="0" fontId="59" fillId="0" borderId="17" xfId="0" applyFont="1" applyBorder="1" applyAlignment="1" applyProtection="1">
      <alignment horizontal="right" vertical="center"/>
    </xf>
    <xf numFmtId="40" fontId="66" fillId="0" borderId="0" xfId="0" applyNumberFormat="1" applyFont="1" applyBorder="1" applyAlignment="1" applyProtection="1">
      <alignment horizontal="center" vertical="center"/>
    </xf>
    <xf numFmtId="0" fontId="91" fillId="0" borderId="0" xfId="0" applyFont="1" applyBorder="1" applyAlignment="1" applyProtection="1">
      <alignment vertical="center"/>
    </xf>
    <xf numFmtId="0" fontId="59" fillId="0" borderId="20" xfId="0" applyFont="1" applyFill="1" applyBorder="1" applyAlignment="1" applyProtection="1">
      <alignment vertical="center"/>
    </xf>
    <xf numFmtId="0" fontId="66" fillId="0" borderId="0" xfId="0" applyFont="1" applyBorder="1" applyAlignment="1" applyProtection="1">
      <alignment horizontal="right" vertical="center"/>
    </xf>
    <xf numFmtId="0" fontId="66" fillId="0" borderId="2" xfId="0" applyFont="1" applyBorder="1" applyAlignment="1" applyProtection="1">
      <alignment vertical="center"/>
    </xf>
    <xf numFmtId="38" fontId="61" fillId="6" borderId="2" xfId="0" applyNumberFormat="1" applyFont="1" applyFill="1" applyBorder="1" applyAlignment="1" applyProtection="1">
      <alignment vertical="center"/>
    </xf>
    <xf numFmtId="0" fontId="59" fillId="3" borderId="2" xfId="0" applyFont="1" applyFill="1" applyBorder="1" applyAlignment="1" applyProtection="1">
      <alignment vertical="center"/>
    </xf>
    <xf numFmtId="0" fontId="69" fillId="0" borderId="2" xfId="0" applyNumberFormat="1" applyFont="1" applyBorder="1" applyAlignment="1" applyProtection="1">
      <alignment horizontal="center" vertical="center"/>
      <protection locked="0"/>
    </xf>
    <xf numFmtId="38" fontId="61" fillId="0" borderId="0" xfId="0" applyNumberFormat="1" applyFont="1" applyBorder="1" applyAlignment="1" applyProtection="1">
      <alignment horizontal="center" vertical="center"/>
    </xf>
    <xf numFmtId="0" fontId="61" fillId="0" borderId="0" xfId="0" applyFont="1" applyBorder="1" applyAlignment="1" applyProtection="1">
      <alignment horizontal="left" vertical="top"/>
    </xf>
    <xf numFmtId="0" fontId="85" fillId="0" borderId="0" xfId="0" applyFont="1" applyBorder="1" applyAlignment="1" applyProtection="1">
      <alignment horizontal="left"/>
    </xf>
    <xf numFmtId="0" fontId="85" fillId="0" borderId="0" xfId="0" applyFont="1" applyBorder="1" applyAlignment="1" applyProtection="1"/>
    <xf numFmtId="0" fontId="92" fillId="0" borderId="0" xfId="0" applyFont="1" applyBorder="1" applyAlignment="1" applyProtection="1">
      <alignment horizontal="right" vertical="center"/>
    </xf>
    <xf numFmtId="0" fontId="61" fillId="0" borderId="0" xfId="0" applyFont="1" applyProtection="1"/>
    <xf numFmtId="0" fontId="59" fillId="0" borderId="0" xfId="0" applyFont="1" applyProtection="1"/>
    <xf numFmtId="0" fontId="93" fillId="0" borderId="0" xfId="2" applyFont="1" applyAlignment="1" applyProtection="1">
      <alignment horizontal="centerContinuous" vertical="center"/>
    </xf>
    <xf numFmtId="0" fontId="61" fillId="0" borderId="0" xfId="0" applyFont="1" applyAlignment="1">
      <alignment horizontal="centerContinuous" vertical="center"/>
    </xf>
    <xf numFmtId="0" fontId="59" fillId="0" borderId="0" xfId="0" applyFont="1" applyAlignment="1" applyProtection="1">
      <alignment horizontal="centerContinuous" vertical="center"/>
    </xf>
    <xf numFmtId="0" fontId="69" fillId="0" borderId="0" xfId="0" applyFont="1"/>
    <xf numFmtId="0" fontId="59" fillId="0" borderId="0" xfId="0" applyNumberFormat="1" applyFont="1" applyAlignment="1">
      <alignment horizontal="left"/>
    </xf>
    <xf numFmtId="0" fontId="61" fillId="0" borderId="0" xfId="0" applyFont="1" applyAlignment="1">
      <alignment horizontal="left"/>
    </xf>
    <xf numFmtId="174" fontId="59" fillId="0" borderId="0" xfId="0" applyNumberFormat="1" applyFont="1" applyAlignment="1">
      <alignment horizontal="left"/>
    </xf>
    <xf numFmtId="174" fontId="61" fillId="0" borderId="0" xfId="0" applyNumberFormat="1" applyFont="1" applyAlignment="1">
      <alignment horizontal="left"/>
    </xf>
    <xf numFmtId="0" fontId="59" fillId="0" borderId="0" xfId="0" applyNumberFormat="1" applyFont="1" applyBorder="1" applyAlignment="1" applyProtection="1">
      <alignment horizontal="left"/>
    </xf>
    <xf numFmtId="0" fontId="59" fillId="0" borderId="0" xfId="0" applyFont="1" applyBorder="1" applyAlignment="1" applyProtection="1">
      <alignment horizontal="right"/>
    </xf>
    <xf numFmtId="49" fontId="59" fillId="0" borderId="0" xfId="0" applyNumberFormat="1" applyFont="1" applyBorder="1" applyAlignment="1" applyProtection="1">
      <alignment horizontal="left" vertical="center"/>
    </xf>
    <xf numFmtId="49" fontId="58" fillId="0" borderId="0" xfId="0" applyNumberFormat="1" applyFont="1" applyBorder="1" applyAlignment="1" applyProtection="1">
      <alignment horizontal="left" vertical="center"/>
    </xf>
    <xf numFmtId="0" fontId="58" fillId="0" borderId="0" xfId="0" applyFont="1" applyBorder="1" applyProtection="1"/>
    <xf numFmtId="0" fontId="58" fillId="0" borderId="0" xfId="0" applyFont="1" applyBorder="1" applyAlignment="1" applyProtection="1">
      <alignment horizontal="right"/>
    </xf>
    <xf numFmtId="0" fontId="61" fillId="0" borderId="0" xfId="5" applyNumberFormat="1" applyFont="1" applyBorder="1" applyAlignment="1" applyProtection="1">
      <alignment horizontal="right"/>
    </xf>
    <xf numFmtId="49" fontId="66" fillId="0" borderId="0" xfId="0" applyNumberFormat="1" applyFont="1" applyBorder="1" applyAlignment="1" applyProtection="1">
      <alignment horizontal="left" vertical="center"/>
    </xf>
    <xf numFmtId="0" fontId="66" fillId="0" borderId="0" xfId="0" applyFont="1" applyFill="1" applyBorder="1" applyProtection="1"/>
    <xf numFmtId="40" fontId="66" fillId="0" borderId="0" xfId="0" applyNumberFormat="1" applyFont="1" applyBorder="1" applyAlignment="1" applyProtection="1">
      <alignment horizontal="right"/>
    </xf>
    <xf numFmtId="37" fontId="66" fillId="0" borderId="0" xfId="0" applyNumberFormat="1" applyFont="1" applyBorder="1" applyProtection="1"/>
    <xf numFmtId="175" fontId="66" fillId="0" borderId="0" xfId="0" applyNumberFormat="1" applyFont="1" applyFill="1" applyBorder="1" applyAlignment="1" applyProtection="1">
      <alignment horizontal="right"/>
    </xf>
    <xf numFmtId="173" fontId="66" fillId="0" borderId="0" xfId="0" applyNumberFormat="1" applyFont="1" applyBorder="1" applyProtection="1"/>
    <xf numFmtId="0" fontId="66" fillId="0" borderId="0" xfId="5" applyNumberFormat="1" applyFont="1" applyBorder="1" applyAlignment="1" applyProtection="1">
      <alignment horizontal="right"/>
    </xf>
    <xf numFmtId="0" fontId="66" fillId="0" borderId="0" xfId="0" applyFont="1" applyProtection="1"/>
    <xf numFmtId="0" fontId="66" fillId="0" borderId="0" xfId="0" applyFont="1" applyBorder="1" applyAlignment="1" applyProtection="1">
      <alignment vertical="center" wrapText="1"/>
    </xf>
    <xf numFmtId="0" fontId="66" fillId="0" borderId="0" xfId="0" applyFont="1" applyBorder="1" applyAlignment="1" applyProtection="1">
      <alignment horizontal="right"/>
    </xf>
    <xf numFmtId="2" fontId="66" fillId="0" borderId="0" xfId="0" applyNumberFormat="1" applyFont="1" applyBorder="1" applyAlignment="1" applyProtection="1">
      <alignment horizontal="right"/>
    </xf>
    <xf numFmtId="0" fontId="94" fillId="0" borderId="0" xfId="0" applyFont="1" applyAlignment="1" applyProtection="1">
      <alignment horizontal="left"/>
    </xf>
    <xf numFmtId="0" fontId="66" fillId="0" borderId="0" xfId="0" applyFont="1" applyAlignment="1">
      <alignment wrapText="1"/>
    </xf>
    <xf numFmtId="0" fontId="59" fillId="0" borderId="0" xfId="0" applyFont="1" applyFill="1" applyBorder="1" applyProtection="1"/>
    <xf numFmtId="0" fontId="59" fillId="0" borderId="0" xfId="0" applyFont="1" applyBorder="1" applyAlignment="1" applyProtection="1">
      <alignment horizontal="center"/>
    </xf>
    <xf numFmtId="175" fontId="66" fillId="0" borderId="0" xfId="0" quotePrefix="1" applyNumberFormat="1" applyFont="1" applyBorder="1" applyAlignment="1" applyProtection="1">
      <alignment horizontal="right"/>
    </xf>
    <xf numFmtId="0" fontId="68" fillId="0" borderId="0" xfId="0" applyFont="1" applyProtection="1"/>
    <xf numFmtId="0" fontId="66" fillId="0" borderId="0" xfId="5" quotePrefix="1" applyNumberFormat="1" applyFont="1" applyBorder="1" applyAlignment="1" applyProtection="1">
      <alignment horizontal="right"/>
    </xf>
    <xf numFmtId="0" fontId="66" fillId="0" borderId="0" xfId="0" applyFont="1" applyBorder="1" applyAlignment="1" applyProtection="1">
      <alignment vertical="top" wrapText="1"/>
    </xf>
    <xf numFmtId="37" fontId="66" fillId="0" borderId="0" xfId="0" applyNumberFormat="1" applyFont="1" applyBorder="1" applyAlignment="1" applyProtection="1">
      <alignment horizontal="right"/>
    </xf>
    <xf numFmtId="175" fontId="66" fillId="8" borderId="0" xfId="0" quotePrefix="1" applyNumberFormat="1" applyFont="1" applyFill="1" applyBorder="1" applyAlignment="1" applyProtection="1">
      <alignment horizontal="right"/>
    </xf>
    <xf numFmtId="38" fontId="66" fillId="0" borderId="0" xfId="0" applyNumberFormat="1" applyFont="1" applyBorder="1" applyProtection="1"/>
    <xf numFmtId="40" fontId="66" fillId="0" borderId="0" xfId="0" applyNumberFormat="1" applyFont="1" applyFill="1" applyBorder="1" applyAlignment="1" applyProtection="1">
      <alignment horizontal="right"/>
    </xf>
    <xf numFmtId="1" fontId="66" fillId="0" borderId="0" xfId="0" applyNumberFormat="1" applyFont="1" applyBorder="1" applyProtection="1"/>
    <xf numFmtId="39" fontId="66" fillId="0" borderId="0" xfId="0" applyNumberFormat="1" applyFont="1" applyBorder="1" applyProtection="1"/>
    <xf numFmtId="1" fontId="61" fillId="0" borderId="0" xfId="5" applyNumberFormat="1" applyFont="1" applyBorder="1" applyAlignment="1" applyProtection="1">
      <alignment horizontal="right"/>
    </xf>
    <xf numFmtId="40" fontId="66" fillId="0" borderId="0" xfId="0" applyNumberFormat="1" applyFont="1" applyBorder="1" applyAlignment="1" applyProtection="1">
      <alignment horizontal="right" vertical="center"/>
    </xf>
    <xf numFmtId="3" fontId="66" fillId="0" borderId="0" xfId="0" applyNumberFormat="1" applyFont="1" applyBorder="1" applyAlignment="1" applyProtection="1">
      <alignment horizontal="right" vertical="center"/>
    </xf>
    <xf numFmtId="173" fontId="66" fillId="0" borderId="0" xfId="0" applyNumberFormat="1" applyFont="1" applyBorder="1" applyAlignment="1" applyProtection="1">
      <alignment horizontal="right"/>
    </xf>
    <xf numFmtId="2" fontId="66" fillId="0" borderId="0" xfId="0" applyNumberFormat="1" applyFont="1" applyBorder="1" applyAlignment="1" applyProtection="1">
      <alignment horizontal="right" vertical="center"/>
    </xf>
    <xf numFmtId="40" fontId="66" fillId="0" borderId="0" xfId="0" applyNumberFormat="1" applyFont="1" applyFill="1" applyBorder="1" applyAlignment="1" applyProtection="1">
      <alignment horizontal="right" vertical="center"/>
    </xf>
    <xf numFmtId="49" fontId="66" fillId="0" borderId="0" xfId="0" applyNumberFormat="1" applyFont="1" applyBorder="1" applyProtection="1"/>
    <xf numFmtId="0" fontId="66" fillId="0" borderId="0" xfId="0" applyFont="1" applyBorder="1" applyAlignment="1" applyProtection="1">
      <alignment horizontal="center"/>
    </xf>
    <xf numFmtId="172" fontId="66" fillId="0" borderId="0" xfId="0" applyNumberFormat="1" applyFont="1" applyBorder="1" applyAlignment="1" applyProtection="1">
      <alignment horizontal="right"/>
    </xf>
    <xf numFmtId="0" fontId="68" fillId="0" borderId="0" xfId="0" applyFont="1" applyFill="1" applyBorder="1" applyAlignment="1" applyProtection="1">
      <alignment horizontal="center"/>
    </xf>
    <xf numFmtId="0" fontId="59" fillId="0" borderId="0" xfId="0" applyFont="1" applyFill="1" applyBorder="1" applyAlignment="1" applyProtection="1">
      <alignment horizontal="right"/>
    </xf>
    <xf numFmtId="0" fontId="58" fillId="0" borderId="0" xfId="0" applyFont="1" applyFill="1" applyBorder="1" applyAlignment="1" applyProtection="1">
      <alignment horizontal="left"/>
    </xf>
    <xf numFmtId="0" fontId="69" fillId="0" borderId="0" xfId="0" applyFont="1" applyFill="1" applyBorder="1" applyAlignment="1" applyProtection="1">
      <alignment horizontal="right"/>
    </xf>
    <xf numFmtId="2" fontId="69" fillId="0" borderId="0" xfId="0" applyNumberFormat="1" applyFont="1" applyFill="1" applyBorder="1" applyAlignment="1" applyProtection="1">
      <alignment horizontal="right"/>
    </xf>
    <xf numFmtId="0" fontId="92" fillId="0" borderId="0" xfId="0" applyFont="1" applyProtection="1"/>
    <xf numFmtId="0" fontId="59" fillId="0" borderId="0" xfId="0" applyFont="1" applyFill="1" applyBorder="1" applyAlignment="1" applyProtection="1">
      <alignment horizontal="center"/>
    </xf>
    <xf numFmtId="0" fontId="70" fillId="0" borderId="0" xfId="5" applyNumberFormat="1" applyFont="1" applyFill="1" applyBorder="1" applyAlignment="1" applyProtection="1">
      <alignment horizontal="right"/>
    </xf>
    <xf numFmtId="49" fontId="92" fillId="0" borderId="0" xfId="0" applyNumberFormat="1" applyFont="1" applyAlignment="1" applyProtection="1">
      <alignment horizontal="right" vertical="top"/>
    </xf>
    <xf numFmtId="0" fontId="66" fillId="0" borderId="0" xfId="0" applyFont="1" applyBorder="1" applyAlignment="1" applyProtection="1">
      <alignment horizontal="left"/>
    </xf>
    <xf numFmtId="49" fontId="59" fillId="0" borderId="0" xfId="0" applyNumberFormat="1" applyFont="1" applyBorder="1" applyAlignment="1" applyProtection="1">
      <alignment horizontal="left" vertical="top"/>
    </xf>
    <xf numFmtId="0" fontId="66" fillId="0" borderId="0" xfId="0" applyFont="1" applyAlignment="1" applyProtection="1">
      <alignment horizontal="left"/>
    </xf>
    <xf numFmtId="49" fontId="59" fillId="0" borderId="0" xfId="0" applyNumberFormat="1" applyFont="1" applyAlignment="1" applyProtection="1">
      <alignment horizontal="left" vertical="center"/>
    </xf>
    <xf numFmtId="49" fontId="59" fillId="0" borderId="0" xfId="0" applyNumberFormat="1" applyFont="1" applyAlignment="1" applyProtection="1">
      <alignment horizontal="left" vertical="top"/>
    </xf>
    <xf numFmtId="0" fontId="59" fillId="0" borderId="0" xfId="0" applyFont="1" applyAlignment="1" applyProtection="1">
      <alignment horizontal="right"/>
    </xf>
    <xf numFmtId="0" fontId="66" fillId="0" borderId="0" xfId="0" applyFont="1" applyAlignment="1" applyProtection="1">
      <alignment horizontal="right"/>
    </xf>
    <xf numFmtId="49" fontId="90" fillId="0" borderId="0" xfId="0" applyNumberFormat="1" applyFont="1" applyAlignment="1" applyProtection="1">
      <alignment horizontal="right" vertical="top"/>
    </xf>
    <xf numFmtId="0" fontId="66" fillId="0" borderId="3" xfId="0"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1" fillId="0" borderId="3" xfId="0" applyNumberFormat="1" applyFont="1" applyBorder="1" applyAlignment="1" applyProtection="1">
      <alignment horizontal="center" vertical="center"/>
    </xf>
    <xf numFmtId="49" fontId="69" fillId="0" borderId="12" xfId="0" applyNumberFormat="1" applyFont="1" applyBorder="1" applyAlignment="1" applyProtection="1">
      <alignment horizontal="centerContinuous" vertical="center"/>
    </xf>
    <xf numFmtId="49" fontId="61" fillId="0" borderId="10" xfId="0" applyNumberFormat="1" applyFont="1" applyBorder="1" applyAlignment="1" applyProtection="1">
      <alignment horizontal="centerContinuous" vertical="center"/>
    </xf>
    <xf numFmtId="0" fontId="61" fillId="0" borderId="0" xfId="0" applyFont="1" applyAlignment="1" applyProtection="1">
      <alignment vertical="center"/>
    </xf>
    <xf numFmtId="1" fontId="68" fillId="0" borderId="4" xfId="0" applyNumberFormat="1" applyFont="1" applyBorder="1" applyAlignment="1" applyProtection="1">
      <alignment horizontal="center" vertical="center" wrapText="1"/>
    </xf>
    <xf numFmtId="3" fontId="68" fillId="0" borderId="4" xfId="0" applyNumberFormat="1" applyFont="1" applyBorder="1" applyAlignment="1" applyProtection="1">
      <alignment horizontal="center" vertical="center" wrapText="1"/>
    </xf>
    <xf numFmtId="0" fontId="68" fillId="0" borderId="4" xfId="0" applyFont="1" applyBorder="1" applyAlignment="1" applyProtection="1">
      <alignment horizontal="center" vertical="center" wrapText="1"/>
    </xf>
    <xf numFmtId="43" fontId="68" fillId="0" borderId="2" xfId="1" applyFont="1" applyBorder="1" applyAlignment="1" applyProtection="1">
      <alignment horizontal="center" vertical="center" wrapText="1"/>
    </xf>
    <xf numFmtId="0" fontId="68" fillId="0" borderId="2" xfId="0" applyFont="1" applyBorder="1" applyAlignment="1" applyProtection="1">
      <alignment horizontal="center" vertical="center" wrapText="1"/>
    </xf>
    <xf numFmtId="0" fontId="66" fillId="0" borderId="21" xfId="0" applyFont="1" applyBorder="1" applyAlignment="1" applyProtection="1">
      <alignment horizontal="left" vertical="center" indent="1"/>
    </xf>
    <xf numFmtId="0" fontId="66" fillId="0" borderId="14" xfId="0" applyFont="1" applyBorder="1" applyAlignment="1" applyProtection="1">
      <alignment horizontal="center" vertical="center"/>
    </xf>
    <xf numFmtId="38" fontId="59" fillId="0" borderId="2"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3" borderId="26" xfId="0" applyNumberFormat="1" applyFont="1" applyFill="1" applyBorder="1" applyAlignment="1" applyProtection="1">
      <alignment horizontal="right"/>
    </xf>
    <xf numFmtId="38" fontId="59" fillId="3" borderId="18" xfId="0" applyNumberFormat="1" applyFont="1" applyFill="1" applyBorder="1" applyAlignment="1" applyProtection="1">
      <alignment horizontal="right"/>
    </xf>
    <xf numFmtId="0" fontId="66" fillId="0" borderId="2" xfId="0" applyFont="1" applyBorder="1" applyAlignment="1" applyProtection="1">
      <alignment horizontal="center" vertical="center"/>
    </xf>
    <xf numFmtId="38" fontId="59" fillId="0" borderId="0" xfId="0" applyNumberFormat="1" applyFont="1" applyBorder="1" applyAlignment="1" applyProtection="1">
      <alignment horizontal="right"/>
      <protection locked="0"/>
    </xf>
    <xf numFmtId="0" fontId="66" fillId="0" borderId="14" xfId="0" applyFont="1" applyBorder="1" applyAlignment="1" applyProtection="1">
      <alignment horizontal="left" vertical="center" indent="1"/>
    </xf>
    <xf numFmtId="38" fontId="59" fillId="6" borderId="3" xfId="0" applyNumberFormat="1" applyFont="1" applyFill="1" applyBorder="1" applyAlignment="1" applyProtection="1">
      <alignment horizontal="right"/>
    </xf>
    <xf numFmtId="38" fontId="59" fillId="6" borderId="26" xfId="0" applyNumberFormat="1" applyFont="1" applyFill="1" applyBorder="1" applyAlignment="1" applyProtection="1">
      <alignment horizontal="right"/>
    </xf>
    <xf numFmtId="38" fontId="59" fillId="0" borderId="4" xfId="0" applyNumberFormat="1" applyFont="1" applyFill="1" applyBorder="1" applyAlignment="1" applyProtection="1">
      <alignment horizontal="right"/>
      <protection locked="0"/>
    </xf>
    <xf numFmtId="38" fontId="59" fillId="0" borderId="26" xfId="0" applyNumberFormat="1" applyFont="1" applyFill="1" applyBorder="1" applyAlignment="1" applyProtection="1">
      <alignment horizontal="right"/>
      <protection locked="0"/>
    </xf>
    <xf numFmtId="38" fontId="59" fillId="6" borderId="4" xfId="0" applyNumberFormat="1" applyFont="1" applyFill="1" applyBorder="1" applyAlignment="1" applyProtection="1">
      <alignment horizontal="right"/>
    </xf>
    <xf numFmtId="38" fontId="59" fillId="0" borderId="4" xfId="0" applyNumberFormat="1" applyFont="1" applyBorder="1" applyAlignment="1" applyProtection="1">
      <alignment horizontal="right"/>
      <protection locked="0"/>
    </xf>
    <xf numFmtId="164" fontId="66" fillId="0" borderId="2" xfId="0" applyNumberFormat="1" applyFont="1" applyFill="1" applyBorder="1" applyAlignment="1" applyProtection="1">
      <alignment horizontal="left" vertical="center"/>
    </xf>
    <xf numFmtId="0" fontId="66" fillId="0" borderId="2" xfId="0" applyFont="1" applyFill="1" applyBorder="1" applyAlignment="1" applyProtection="1">
      <alignment horizontal="center" vertical="center"/>
    </xf>
    <xf numFmtId="38" fontId="59" fillId="6" borderId="18" xfId="0" applyNumberFormat="1" applyFont="1" applyFill="1" applyBorder="1" applyAlignment="1" applyProtection="1">
      <alignment horizontal="right"/>
    </xf>
    <xf numFmtId="0" fontId="61" fillId="0" borderId="0" xfId="0" applyFont="1" applyFill="1" applyAlignment="1" applyProtection="1">
      <alignment vertical="center"/>
    </xf>
    <xf numFmtId="38" fontId="59" fillId="6" borderId="0" xfId="0" applyNumberFormat="1" applyFont="1" applyFill="1" applyBorder="1" applyAlignment="1" applyProtection="1">
      <alignment horizontal="right"/>
    </xf>
    <xf numFmtId="38" fontId="59" fillId="0" borderId="2" xfId="0" applyNumberFormat="1" applyFont="1" applyFill="1" applyBorder="1" applyAlignment="1" applyProtection="1">
      <alignment horizontal="right"/>
    </xf>
    <xf numFmtId="0" fontId="66" fillId="0" borderId="11" xfId="0" applyFont="1" applyBorder="1" applyAlignment="1" applyProtection="1">
      <alignment horizontal="left" vertical="center" indent="1"/>
    </xf>
    <xf numFmtId="0" fontId="66" fillId="0" borderId="4" xfId="0" applyFont="1" applyBorder="1" applyAlignment="1" applyProtection="1">
      <alignment horizontal="center" vertical="center"/>
    </xf>
    <xf numFmtId="0" fontId="66" fillId="0" borderId="20" xfId="0" applyFont="1" applyBorder="1" applyAlignment="1" applyProtection="1">
      <alignment horizontal="left" vertical="center" indent="1"/>
    </xf>
    <xf numFmtId="0" fontId="66" fillId="0" borderId="14" xfId="0" applyFont="1" applyBorder="1" applyAlignment="1" applyProtection="1">
      <alignment horizontal="left" vertical="center" wrapText="1" indent="1"/>
    </xf>
    <xf numFmtId="38" fontId="59" fillId="0" borderId="4" xfId="0" applyNumberFormat="1" applyFont="1" applyBorder="1" applyAlignment="1" applyProtection="1">
      <alignment horizontal="right"/>
    </xf>
    <xf numFmtId="0" fontId="66" fillId="0" borderId="2" xfId="0" applyFont="1" applyFill="1" applyBorder="1" applyAlignment="1" applyProtection="1">
      <alignment horizontal="left" vertical="center" indent="1"/>
    </xf>
    <xf numFmtId="38" fontId="61" fillId="6" borderId="26" xfId="0" applyNumberFormat="1" applyFont="1" applyFill="1" applyBorder="1" applyAlignment="1">
      <alignment horizontal="right"/>
    </xf>
    <xf numFmtId="0" fontId="66" fillId="0" borderId="16" xfId="0" applyFont="1" applyFill="1" applyBorder="1" applyAlignment="1" applyProtection="1">
      <alignment horizontal="left" vertical="center" indent="1"/>
    </xf>
    <xf numFmtId="0" fontId="66" fillId="0" borderId="10" xfId="0" applyFont="1" applyFill="1" applyBorder="1" applyAlignment="1" applyProtection="1">
      <alignment horizontal="center" vertical="center"/>
    </xf>
    <xf numFmtId="38" fontId="59" fillId="6" borderId="3" xfId="0" applyNumberFormat="1" applyFont="1" applyFill="1" applyBorder="1" applyAlignment="1">
      <alignment horizontal="right"/>
    </xf>
    <xf numFmtId="0" fontId="66" fillId="0" borderId="0" xfId="0" applyFont="1" applyAlignment="1" applyProtection="1">
      <alignment vertical="center"/>
    </xf>
    <xf numFmtId="0" fontId="66" fillId="0" borderId="0" xfId="0" applyFont="1" applyAlignment="1" applyProtection="1">
      <alignment horizontal="center" vertical="center"/>
    </xf>
    <xf numFmtId="38" fontId="61" fillId="0" borderId="0" xfId="0" applyNumberFormat="1" applyFont="1" applyAlignment="1" applyProtection="1">
      <alignment vertical="center"/>
    </xf>
    <xf numFmtId="49" fontId="68" fillId="0" borderId="3" xfId="0" applyNumberFormat="1" applyFont="1" applyBorder="1" applyAlignment="1" applyProtection="1">
      <alignment horizontal="center" vertical="center"/>
    </xf>
    <xf numFmtId="0" fontId="61" fillId="0" borderId="0" xfId="0" applyFont="1" applyAlignment="1" applyProtection="1">
      <alignment horizontal="center" vertical="center"/>
    </xf>
    <xf numFmtId="0" fontId="59" fillId="0" borderId="0" xfId="0" applyFont="1" applyFill="1" applyAlignment="1" applyProtection="1">
      <alignment horizontal="center" vertical="center"/>
    </xf>
    <xf numFmtId="0" fontId="61" fillId="0" borderId="0" xfId="0" applyFont="1" applyFill="1" applyAlignment="1" applyProtection="1">
      <alignment horizontal="center" vertical="center"/>
    </xf>
    <xf numFmtId="38" fontId="59" fillId="3" borderId="21" xfId="0" applyNumberFormat="1" applyFont="1" applyFill="1" applyBorder="1" applyAlignment="1" applyProtection="1">
      <alignment horizontal="right"/>
    </xf>
    <xf numFmtId="38" fontId="59" fillId="3" borderId="0" xfId="0" applyNumberFormat="1" applyFont="1" applyFill="1" applyBorder="1" applyAlignment="1" applyProtection="1">
      <alignment horizontal="right"/>
    </xf>
    <xf numFmtId="38" fontId="59" fillId="3" borderId="3" xfId="0" applyNumberFormat="1" applyFont="1" applyFill="1" applyBorder="1" applyAlignment="1" applyProtection="1">
      <alignment horizontal="right"/>
    </xf>
    <xf numFmtId="38" fontId="59" fillId="3" borderId="13" xfId="0" applyNumberFormat="1" applyFont="1" applyFill="1" applyBorder="1" applyAlignment="1" applyProtection="1">
      <alignment horizontal="right"/>
    </xf>
    <xf numFmtId="38" fontId="59" fillId="3" borderId="2" xfId="0" applyNumberFormat="1" applyFont="1" applyFill="1" applyBorder="1" applyAlignment="1" applyProtection="1">
      <alignment horizontal="right"/>
    </xf>
    <xf numFmtId="3" fontId="61" fillId="0" borderId="0" xfId="0" applyNumberFormat="1" applyFont="1" applyAlignment="1" applyProtection="1">
      <alignment vertical="center"/>
    </xf>
    <xf numFmtId="0" fontId="77" fillId="0" borderId="20" xfId="0" applyFont="1" applyBorder="1" applyAlignment="1" applyProtection="1">
      <alignment horizontal="left" indent="2"/>
    </xf>
    <xf numFmtId="0" fontId="66" fillId="0" borderId="11" xfId="0" applyFont="1" applyBorder="1" applyAlignment="1" applyProtection="1">
      <alignment horizontal="center" vertical="center"/>
    </xf>
    <xf numFmtId="38" fontId="59" fillId="0" borderId="19" xfId="0" applyNumberFormat="1" applyFont="1" applyBorder="1" applyAlignment="1" applyProtection="1">
      <alignment horizontal="right"/>
      <protection locked="0"/>
    </xf>
    <xf numFmtId="38" fontId="59" fillId="0" borderId="11" xfId="0" applyNumberFormat="1" applyFont="1" applyBorder="1" applyAlignment="1" applyProtection="1">
      <alignment horizontal="right"/>
      <protection locked="0"/>
    </xf>
    <xf numFmtId="0" fontId="58" fillId="0" borderId="0" xfId="0" applyFont="1" applyAlignment="1" applyProtection="1">
      <alignment vertical="center"/>
    </xf>
    <xf numFmtId="0" fontId="69" fillId="0" borderId="0" xfId="0" applyFont="1" applyAlignment="1" applyProtection="1">
      <alignment vertical="center"/>
    </xf>
    <xf numFmtId="38" fontId="59" fillId="3" borderId="11" xfId="0" applyNumberFormat="1" applyFont="1" applyFill="1" applyBorder="1" applyAlignment="1" applyProtection="1">
      <alignment horizontal="right"/>
    </xf>
    <xf numFmtId="38" fontId="59" fillId="3" borderId="4" xfId="0" applyNumberFormat="1" applyFont="1" applyFill="1" applyBorder="1" applyAlignment="1" applyProtection="1">
      <alignment horizontal="right"/>
    </xf>
    <xf numFmtId="38" fontId="59" fillId="3" borderId="19" xfId="0" applyNumberFormat="1" applyFont="1" applyFill="1" applyBorder="1" applyAlignment="1" applyProtection="1">
      <alignment horizontal="right"/>
    </xf>
    <xf numFmtId="38" fontId="59" fillId="3" borderId="14" xfId="0" applyNumberFormat="1" applyFont="1" applyFill="1" applyBorder="1" applyAlignment="1" applyProtection="1">
      <alignment horizontal="right"/>
    </xf>
    <xf numFmtId="0" fontId="59" fillId="0" borderId="0" xfId="0" applyFont="1" applyFill="1" applyAlignment="1" applyProtection="1">
      <alignment vertical="center"/>
    </xf>
    <xf numFmtId="0" fontId="66" fillId="0" borderId="4" xfId="0" applyFont="1" applyFill="1" applyBorder="1" applyAlignment="1" applyProtection="1">
      <alignment horizontal="center" vertical="center"/>
    </xf>
    <xf numFmtId="38" fontId="59" fillId="6" borderId="2" xfId="0" applyNumberFormat="1" applyFont="1" applyFill="1" applyBorder="1" applyAlignment="1" applyProtection="1">
      <alignment horizontal="right"/>
    </xf>
    <xf numFmtId="0" fontId="66" fillId="0" borderId="2" xfId="0" applyFont="1" applyFill="1" applyBorder="1" applyAlignment="1" applyProtection="1">
      <alignment horizontal="center" vertical="top"/>
    </xf>
    <xf numFmtId="38" fontId="59" fillId="6" borderId="28" xfId="0" applyNumberFormat="1" applyFont="1" applyFill="1" applyBorder="1" applyAlignment="1" applyProtection="1">
      <alignment horizontal="right"/>
    </xf>
    <xf numFmtId="0" fontId="59" fillId="0" borderId="0" xfId="0" applyFont="1" applyFill="1" applyBorder="1" applyAlignment="1" applyProtection="1">
      <alignment vertical="center"/>
    </xf>
    <xf numFmtId="38" fontId="59" fillId="0" borderId="33" xfId="0" applyNumberFormat="1" applyFont="1" applyFill="1" applyBorder="1" applyAlignment="1" applyProtection="1">
      <alignment horizontal="right"/>
      <protection locked="0"/>
    </xf>
    <xf numFmtId="38" fontId="59" fillId="0" borderId="0" xfId="0" applyNumberFormat="1" applyFont="1" applyAlignment="1" applyProtection="1"/>
    <xf numFmtId="0" fontId="66" fillId="0" borderId="11" xfId="0" applyFont="1" applyFill="1" applyBorder="1" applyAlignment="1" applyProtection="1">
      <alignment horizontal="center" vertical="center"/>
    </xf>
    <xf numFmtId="0" fontId="66" fillId="0" borderId="49" xfId="0" applyFont="1" applyBorder="1" applyAlignment="1" applyProtection="1">
      <alignment horizontal="left" vertical="center" indent="4"/>
    </xf>
    <xf numFmtId="0" fontId="66" fillId="0" borderId="31" xfId="0" applyFont="1" applyBorder="1" applyAlignment="1" applyProtection="1">
      <alignment horizontal="center" vertical="center"/>
    </xf>
    <xf numFmtId="40" fontId="59" fillId="7" borderId="33" xfId="0" applyNumberFormat="1" applyFont="1" applyFill="1" applyBorder="1" applyAlignment="1" applyProtection="1">
      <alignment horizontal="right" vertical="center"/>
    </xf>
    <xf numFmtId="0" fontId="66" fillId="0" borderId="13" xfId="0" applyFont="1" applyBorder="1" applyAlignment="1" applyProtection="1">
      <alignment horizontal="left" vertical="center" indent="4"/>
    </xf>
    <xf numFmtId="9" fontId="59" fillId="7" borderId="33" xfId="0" applyNumberFormat="1" applyFont="1" applyFill="1" applyBorder="1" applyAlignment="1" applyProtection="1">
      <alignment horizontal="right" vertical="center"/>
    </xf>
    <xf numFmtId="1" fontId="58" fillId="0" borderId="4" xfId="0" applyNumberFormat="1" applyFont="1" applyBorder="1" applyAlignment="1" applyProtection="1">
      <alignment horizontal="center" vertical="center" wrapText="1"/>
    </xf>
    <xf numFmtId="3" fontId="58" fillId="0" borderId="4" xfId="0" applyNumberFormat="1" applyFont="1" applyBorder="1" applyAlignment="1" applyProtection="1">
      <alignment horizontal="center" vertical="center" wrapText="1"/>
    </xf>
    <xf numFmtId="3" fontId="59" fillId="3" borderId="4" xfId="0" applyNumberFormat="1" applyFont="1" applyFill="1" applyBorder="1" applyAlignment="1" applyProtection="1">
      <alignment horizontal="center"/>
    </xf>
    <xf numFmtId="3" fontId="61" fillId="3" borderId="11" xfId="0" applyNumberFormat="1" applyFont="1" applyFill="1" applyBorder="1" applyAlignment="1" applyProtection="1">
      <alignment horizontal="center"/>
    </xf>
    <xf numFmtId="38" fontId="61" fillId="3" borderId="4" xfId="0" applyNumberFormat="1" applyFont="1" applyFill="1" applyBorder="1" applyAlignment="1" applyProtection="1">
      <alignment horizontal="center"/>
    </xf>
    <xf numFmtId="3" fontId="61" fillId="3" borderId="4" xfId="0" applyNumberFormat="1" applyFont="1" applyFill="1" applyBorder="1" applyAlignment="1" applyProtection="1">
      <alignment horizontal="center"/>
    </xf>
    <xf numFmtId="0" fontId="66" fillId="0" borderId="14" xfId="0" applyFont="1" applyBorder="1" applyAlignment="1" applyProtection="1">
      <alignment horizontal="center"/>
    </xf>
    <xf numFmtId="0" fontId="66" fillId="0" borderId="2" xfId="0" applyFont="1" applyBorder="1" applyAlignment="1" applyProtection="1">
      <alignment horizontal="center"/>
    </xf>
    <xf numFmtId="0" fontId="66" fillId="0" borderId="2" xfId="0" applyFont="1" applyBorder="1" applyAlignment="1" applyProtection="1">
      <alignment horizontal="center" vertical="center" wrapText="1"/>
    </xf>
    <xf numFmtId="38" fontId="61" fillId="0" borderId="0" xfId="0" applyNumberFormat="1" applyFont="1" applyProtection="1"/>
    <xf numFmtId="38" fontId="59" fillId="3" borderId="17" xfId="0" applyNumberFormat="1" applyFont="1" applyFill="1" applyBorder="1" applyAlignment="1" applyProtection="1">
      <alignment horizontal="right"/>
    </xf>
    <xf numFmtId="37" fontId="59" fillId="3" borderId="17" xfId="0" applyNumberFormat="1" applyFont="1" applyFill="1" applyBorder="1" applyAlignment="1" applyProtection="1">
      <alignment horizontal="right"/>
    </xf>
    <xf numFmtId="37" fontId="59" fillId="3" borderId="26" xfId="0" applyNumberFormat="1" applyFont="1" applyFill="1" applyBorder="1" applyAlignment="1" applyProtection="1">
      <alignment horizontal="right"/>
    </xf>
    <xf numFmtId="0" fontId="66" fillId="0" borderId="26" xfId="0" applyFont="1" applyFill="1" applyBorder="1" applyAlignment="1" applyProtection="1">
      <alignment horizontal="center" vertical="center"/>
    </xf>
    <xf numFmtId="0" fontId="66" fillId="0" borderId="2" xfId="0" applyFont="1" applyBorder="1" applyAlignment="1" applyProtection="1">
      <alignment horizontal="center" vertical="top"/>
    </xf>
    <xf numFmtId="0" fontId="66" fillId="0" borderId="26" xfId="0" applyFont="1" applyFill="1" applyBorder="1" applyAlignment="1" applyProtection="1">
      <alignment horizontal="center" vertical="top"/>
    </xf>
    <xf numFmtId="0" fontId="66" fillId="0" borderId="18" xfId="0" applyFont="1" applyFill="1" applyBorder="1" applyAlignment="1" applyProtection="1">
      <alignment horizontal="center" vertical="center"/>
    </xf>
    <xf numFmtId="38" fontId="59" fillId="0" borderId="19" xfId="0" applyNumberFormat="1" applyFont="1" applyFill="1" applyBorder="1" applyAlignment="1" applyProtection="1">
      <alignment horizontal="right"/>
      <protection locked="0"/>
    </xf>
    <xf numFmtId="38" fontId="59" fillId="3" borderId="0" xfId="0" applyNumberFormat="1" applyFont="1" applyFill="1" applyAlignment="1" applyProtection="1">
      <alignment horizontal="right"/>
    </xf>
    <xf numFmtId="1" fontId="66" fillId="0" borderId="2" xfId="0" applyNumberFormat="1" applyFont="1" applyBorder="1" applyAlignment="1" applyProtection="1">
      <alignment horizontal="center" vertical="center"/>
    </xf>
    <xf numFmtId="0" fontId="66" fillId="0" borderId="21" xfId="0" applyFont="1" applyBorder="1" applyAlignment="1" applyProtection="1">
      <alignment horizontal="left" vertical="top" wrapText="1" indent="1"/>
    </xf>
    <xf numFmtId="1" fontId="66" fillId="0" borderId="2" xfId="0" applyNumberFormat="1" applyFont="1" applyBorder="1" applyAlignment="1" applyProtection="1">
      <alignment horizontal="center" vertical="top"/>
    </xf>
    <xf numFmtId="38" fontId="59" fillId="3" borderId="38" xfId="0" applyNumberFormat="1" applyFont="1" applyFill="1" applyBorder="1" applyAlignment="1" applyProtection="1">
      <alignment horizontal="right"/>
    </xf>
    <xf numFmtId="38" fontId="59" fillId="3" borderId="28" xfId="0" applyNumberFormat="1" applyFont="1" applyFill="1" applyBorder="1" applyAlignment="1" applyProtection="1">
      <alignment horizontal="right"/>
    </xf>
    <xf numFmtId="1" fontId="66" fillId="0" borderId="4" xfId="0" applyNumberFormat="1" applyFont="1" applyBorder="1" applyAlignment="1" applyProtection="1">
      <alignment horizontal="center" vertical="center"/>
    </xf>
    <xf numFmtId="1" fontId="66" fillId="0" borderId="127" xfId="0" applyNumberFormat="1" applyFont="1" applyBorder="1" applyAlignment="1" applyProtection="1">
      <alignment horizontal="center" vertical="center"/>
    </xf>
    <xf numFmtId="38" fontId="59" fillId="3" borderId="127" xfId="0" applyNumberFormat="1" applyFont="1" applyFill="1" applyBorder="1" applyAlignment="1" applyProtection="1">
      <alignment horizontal="right"/>
    </xf>
    <xf numFmtId="38" fontId="59" fillId="3" borderId="29" xfId="0" applyNumberFormat="1" applyFont="1" applyFill="1" applyBorder="1" applyAlignment="1" applyProtection="1">
      <alignment horizontal="right"/>
    </xf>
    <xf numFmtId="1" fontId="66" fillId="0" borderId="32" xfId="0" applyNumberFormat="1" applyFont="1" applyBorder="1" applyAlignment="1" applyProtection="1">
      <alignment horizontal="center" vertical="center"/>
    </xf>
    <xf numFmtId="1" fontId="66" fillId="0" borderId="33" xfId="0" applyNumberFormat="1" applyFont="1" applyBorder="1" applyAlignment="1" applyProtection="1">
      <alignment horizontal="center" vertical="center"/>
    </xf>
    <xf numFmtId="38" fontId="59" fillId="0" borderId="33" xfId="0" applyNumberFormat="1" applyFont="1" applyBorder="1" applyAlignment="1" applyProtection="1">
      <alignment horizontal="right"/>
      <protection locked="0"/>
    </xf>
    <xf numFmtId="38" fontId="59" fillId="0" borderId="27" xfId="0" applyNumberFormat="1" applyFont="1" applyFill="1" applyBorder="1" applyAlignment="1" applyProtection="1">
      <alignment horizontal="right" vertical="center"/>
      <protection locked="0"/>
    </xf>
    <xf numFmtId="0" fontId="66" fillId="0" borderId="2" xfId="0" applyFont="1" applyBorder="1" applyAlignment="1" applyProtection="1">
      <alignment horizontal="center" vertical="top" wrapText="1"/>
    </xf>
    <xf numFmtId="38" fontId="59" fillId="3" borderId="39" xfId="0" applyNumberFormat="1" applyFont="1" applyFill="1" applyBorder="1" applyAlignment="1" applyProtection="1">
      <alignment horizontal="right"/>
    </xf>
    <xf numFmtId="38" fontId="59" fillId="0" borderId="2" xfId="0" applyNumberFormat="1" applyFont="1" applyFill="1" applyBorder="1" applyAlignment="1" applyProtection="1">
      <alignment horizontal="right" vertical="center"/>
      <protection locked="0"/>
    </xf>
    <xf numFmtId="38" fontId="59" fillId="6" borderId="2" xfId="0" applyNumberFormat="1" applyFont="1" applyFill="1" applyBorder="1" applyAlignment="1" applyProtection="1">
      <alignment horizontal="right" vertical="center"/>
    </xf>
    <xf numFmtId="0" fontId="66" fillId="0" borderId="26" xfId="0" applyFont="1" applyBorder="1" applyAlignment="1" applyProtection="1">
      <alignment horizontal="center" vertical="center"/>
    </xf>
    <xf numFmtId="0" fontId="66" fillId="0" borderId="130" xfId="0" applyFont="1" applyFill="1" applyBorder="1" applyAlignment="1" applyProtection="1">
      <alignment horizontal="center" vertical="center"/>
    </xf>
    <xf numFmtId="0" fontId="66" fillId="0" borderId="100" xfId="0" applyFont="1" applyFill="1" applyBorder="1" applyAlignment="1" applyProtection="1">
      <alignment horizontal="center" vertical="center"/>
    </xf>
    <xf numFmtId="0" fontId="61" fillId="0" borderId="0" xfId="0" applyFont="1" applyAlignment="1" applyProtection="1"/>
    <xf numFmtId="0" fontId="66" fillId="0" borderId="0" xfId="0" applyFont="1" applyAlignment="1" applyProtection="1">
      <alignment horizontal="left" vertical="center" wrapText="1"/>
    </xf>
    <xf numFmtId="0" fontId="66" fillId="0" borderId="0" xfId="0" applyFont="1" applyAlignment="1" applyProtection="1">
      <alignment horizontal="center" vertical="center" wrapText="1"/>
    </xf>
    <xf numFmtId="0" fontId="61" fillId="0" borderId="0" xfId="0" applyFont="1" applyAlignment="1" applyProtection="1">
      <alignment wrapText="1"/>
    </xf>
    <xf numFmtId="0" fontId="61" fillId="0" borderId="0" xfId="0" applyFont="1" applyAlignment="1"/>
    <xf numFmtId="38" fontId="59" fillId="3" borderId="31" xfId="0" applyNumberFormat="1" applyFont="1" applyFill="1" applyBorder="1" applyAlignment="1" applyProtection="1">
      <alignment horizontal="right" vertical="center"/>
    </xf>
    <xf numFmtId="38" fontId="59" fillId="3" borderId="28" xfId="0" applyNumberFormat="1" applyFont="1" applyFill="1" applyBorder="1" applyAlignment="1" applyProtection="1">
      <alignment horizontal="right" vertical="center"/>
    </xf>
    <xf numFmtId="38" fontId="59" fillId="3" borderId="0" xfId="0" applyNumberFormat="1" applyFont="1" applyFill="1" applyAlignment="1" applyProtection="1">
      <alignment horizontal="right" vertical="center"/>
    </xf>
    <xf numFmtId="38" fontId="59" fillId="3" borderId="26" xfId="0" applyNumberFormat="1" applyFont="1" applyFill="1" applyBorder="1" applyAlignment="1" applyProtection="1">
      <alignment horizontal="right" vertical="center"/>
    </xf>
    <xf numFmtId="49" fontId="66" fillId="0" borderId="3" xfId="0" applyNumberFormat="1" applyFont="1" applyBorder="1" applyAlignment="1">
      <alignment horizontal="center" vertical="center"/>
    </xf>
    <xf numFmtId="49" fontId="58" fillId="0" borderId="3" xfId="0" applyNumberFormat="1" applyFont="1" applyBorder="1" applyAlignment="1">
      <alignment horizontal="center" vertical="center"/>
    </xf>
    <xf numFmtId="49" fontId="59" fillId="0" borderId="3" xfId="0" applyNumberFormat="1" applyFont="1" applyBorder="1" applyAlignment="1">
      <alignment horizontal="center" vertical="center"/>
    </xf>
    <xf numFmtId="49" fontId="68" fillId="0" borderId="26" xfId="0" applyNumberFormat="1" applyFont="1" applyBorder="1" applyAlignment="1">
      <alignment horizontal="center" vertical="center" wrapText="1"/>
    </xf>
    <xf numFmtId="3" fontId="58" fillId="0" borderId="26" xfId="0" applyNumberFormat="1" applyFont="1" applyBorder="1" applyAlignment="1">
      <alignment horizontal="center" vertical="center"/>
    </xf>
    <xf numFmtId="3" fontId="58" fillId="0" borderId="26" xfId="0" applyNumberFormat="1" applyFont="1" applyBorder="1" applyAlignment="1">
      <alignment horizontal="center" vertical="center" wrapText="1"/>
    </xf>
    <xf numFmtId="0" fontId="61" fillId="0" borderId="0" xfId="0" applyFont="1" applyAlignment="1">
      <alignment horizontal="center" vertical="top" wrapText="1"/>
    </xf>
    <xf numFmtId="0" fontId="61" fillId="0" borderId="0" xfId="0" applyFont="1" applyBorder="1" applyAlignment="1">
      <alignment vertical="center"/>
    </xf>
    <xf numFmtId="3" fontId="59" fillId="3" borderId="127" xfId="0" applyNumberFormat="1" applyFont="1" applyFill="1" applyBorder="1" applyAlignment="1">
      <alignment horizontal="center"/>
    </xf>
    <xf numFmtId="3" fontId="59" fillId="3" borderId="26" xfId="0" applyNumberFormat="1" applyFont="1" applyFill="1" applyBorder="1" applyAlignment="1">
      <alignment horizontal="center"/>
    </xf>
    <xf numFmtId="3" fontId="59" fillId="3" borderId="127" xfId="0" applyNumberFormat="1" applyFont="1" applyFill="1" applyBorder="1" applyAlignment="1">
      <alignment horizontal="right"/>
    </xf>
    <xf numFmtId="0" fontId="66" fillId="0" borderId="0" xfId="0" applyFont="1" applyBorder="1" applyAlignment="1"/>
    <xf numFmtId="49" fontId="66" fillId="0" borderId="2" xfId="0" applyNumberFormat="1" applyFont="1" applyBorder="1" applyAlignment="1">
      <alignment horizontal="center" vertical="center"/>
    </xf>
    <xf numFmtId="38" fontId="59" fillId="2" borderId="2" xfId="0" applyNumberFormat="1" applyFont="1" applyFill="1" applyBorder="1" applyAlignment="1">
      <alignment horizontal="right"/>
    </xf>
    <xf numFmtId="38" fontId="59" fillId="3" borderId="26" xfId="0" applyNumberFormat="1" applyFont="1" applyFill="1" applyBorder="1" applyAlignment="1">
      <alignment horizontal="right"/>
    </xf>
    <xf numFmtId="49" fontId="68" fillId="2" borderId="27" xfId="0" applyNumberFormat="1" applyFont="1" applyFill="1" applyBorder="1" applyAlignment="1">
      <alignment horizontal="center" vertical="center"/>
    </xf>
    <xf numFmtId="38" fontId="59" fillId="3" borderId="28" xfId="0" applyNumberFormat="1" applyFont="1" applyFill="1" applyBorder="1" applyAlignment="1">
      <alignment horizontal="right"/>
    </xf>
    <xf numFmtId="0" fontId="66" fillId="0" borderId="0" xfId="0" applyFont="1" applyFill="1" applyBorder="1" applyAlignment="1"/>
    <xf numFmtId="0" fontId="66" fillId="0" borderId="0" xfId="0" applyFont="1" applyFill="1"/>
    <xf numFmtId="3" fontId="68" fillId="3" borderId="13" xfId="0" applyNumberFormat="1" applyFont="1" applyFill="1" applyBorder="1" applyAlignment="1">
      <alignment horizontal="left" vertical="center" wrapText="1" indent="1"/>
    </xf>
    <xf numFmtId="49" fontId="68" fillId="3" borderId="14" xfId="0" applyNumberFormat="1" applyFont="1" applyFill="1" applyBorder="1" applyAlignment="1">
      <alignment horizontal="center" vertical="center"/>
    </xf>
    <xf numFmtId="38" fontId="59" fillId="3" borderId="4" xfId="0" applyNumberFormat="1" applyFont="1" applyFill="1" applyBorder="1" applyAlignment="1">
      <alignment horizontal="right"/>
    </xf>
    <xf numFmtId="164" fontId="68" fillId="3" borderId="125" xfId="0" applyNumberFormat="1" applyFont="1" applyFill="1" applyBorder="1" applyAlignment="1">
      <alignment horizontal="left" vertical="center" wrapText="1" indent="1"/>
    </xf>
    <xf numFmtId="49" fontId="68" fillId="3" borderId="31" xfId="0" applyNumberFormat="1" applyFont="1" applyFill="1" applyBorder="1" applyAlignment="1">
      <alignment horizontal="center" vertical="center"/>
    </xf>
    <xf numFmtId="38" fontId="59" fillId="3" borderId="29" xfId="0" applyNumberFormat="1" applyFont="1" applyFill="1" applyBorder="1" applyAlignment="1">
      <alignment horizontal="right"/>
    </xf>
    <xf numFmtId="49" fontId="66" fillId="0" borderId="3" xfId="0" applyNumberFormat="1" applyFont="1" applyBorder="1" applyAlignment="1">
      <alignment horizontal="center" vertical="center" wrapText="1"/>
    </xf>
    <xf numFmtId="49" fontId="66" fillId="0" borderId="2" xfId="0" applyNumberFormat="1" applyFont="1" applyBorder="1" applyAlignment="1">
      <alignment horizontal="center" vertical="top"/>
    </xf>
    <xf numFmtId="38" fontId="59" fillId="3" borderId="31" xfId="0" applyNumberFormat="1" applyFont="1" applyFill="1" applyBorder="1" applyAlignment="1">
      <alignment horizontal="right"/>
    </xf>
    <xf numFmtId="49" fontId="66" fillId="0" borderId="4" xfId="0" applyNumberFormat="1" applyFont="1" applyBorder="1" applyAlignment="1">
      <alignment horizontal="center" vertical="center"/>
    </xf>
    <xf numFmtId="49" fontId="68" fillId="3" borderId="11" xfId="0" applyNumberFormat="1" applyFont="1" applyFill="1" applyBorder="1" applyAlignment="1">
      <alignment horizontal="center" vertical="center"/>
    </xf>
    <xf numFmtId="49" fontId="66" fillId="0" borderId="33" xfId="0" applyNumberFormat="1" applyFont="1" applyFill="1" applyBorder="1" applyAlignment="1">
      <alignment horizontal="center" vertical="center"/>
    </xf>
    <xf numFmtId="0" fontId="66" fillId="0" borderId="0" xfId="0" applyFont="1" applyAlignment="1">
      <alignment vertical="center"/>
    </xf>
    <xf numFmtId="38" fontId="59" fillId="5" borderId="4" xfId="0" applyNumberFormat="1" applyFont="1" applyFill="1" applyBorder="1" applyAlignment="1" applyProtection="1">
      <alignment horizontal="right"/>
      <protection locked="0"/>
    </xf>
    <xf numFmtId="0" fontId="66" fillId="0" borderId="29" xfId="0" applyFont="1" applyFill="1" applyBorder="1" applyAlignment="1">
      <alignment horizontal="center" vertical="center"/>
    </xf>
    <xf numFmtId="38" fontId="59" fillId="6" borderId="28" xfId="0" applyNumberFormat="1" applyFont="1" applyFill="1" applyBorder="1" applyAlignment="1">
      <alignment horizontal="right"/>
    </xf>
    <xf numFmtId="0" fontId="66" fillId="0" borderId="4" xfId="0" applyFont="1" applyFill="1" applyBorder="1" applyAlignment="1">
      <alignment horizontal="center" vertical="center"/>
    </xf>
    <xf numFmtId="38" fontId="59" fillId="6" borderId="26" xfId="0" applyNumberFormat="1" applyFont="1" applyFill="1" applyBorder="1" applyAlignment="1">
      <alignment horizontal="right"/>
    </xf>
    <xf numFmtId="0" fontId="66" fillId="0" borderId="2" xfId="0" applyFont="1" applyFill="1" applyBorder="1" applyAlignment="1">
      <alignment horizontal="center" vertical="center"/>
    </xf>
    <xf numFmtId="0" fontId="66" fillId="0" borderId="127" xfId="0" applyFont="1" applyFill="1" applyBorder="1" applyAlignment="1">
      <alignment horizontal="center" vertical="center"/>
    </xf>
    <xf numFmtId="38" fontId="59" fillId="6" borderId="4" xfId="0" applyNumberFormat="1" applyFont="1" applyFill="1" applyBorder="1" applyAlignment="1">
      <alignment horizontal="right"/>
    </xf>
    <xf numFmtId="49" fontId="66" fillId="0" borderId="4" xfId="0" applyNumberFormat="1" applyFont="1" applyFill="1" applyBorder="1" applyAlignment="1">
      <alignment horizontal="center" vertical="center"/>
    </xf>
    <xf numFmtId="164" fontId="68" fillId="6" borderId="13" xfId="0" applyNumberFormat="1" applyFont="1" applyFill="1" applyBorder="1" applyAlignment="1">
      <alignment horizontal="left" vertical="center" wrapText="1" indent="1"/>
    </xf>
    <xf numFmtId="49" fontId="68" fillId="6" borderId="14" xfId="0" applyNumberFormat="1" applyFont="1" applyFill="1" applyBorder="1" applyAlignment="1">
      <alignment horizontal="center" vertical="center"/>
    </xf>
    <xf numFmtId="0" fontId="66" fillId="0" borderId="0" xfId="0" applyFont="1" applyAlignment="1"/>
    <xf numFmtId="49" fontId="68" fillId="0" borderId="29" xfId="0" applyNumberFormat="1" applyFont="1" applyFill="1" applyBorder="1" applyAlignment="1">
      <alignment horizontal="center" vertical="center"/>
    </xf>
    <xf numFmtId="3" fontId="68" fillId="0" borderId="13" xfId="0" applyNumberFormat="1" applyFont="1" applyBorder="1" applyAlignment="1">
      <alignment horizontal="left" vertical="top" wrapText="1" indent="2"/>
    </xf>
    <xf numFmtId="49" fontId="66" fillId="0" borderId="21" xfId="0" applyNumberFormat="1" applyFont="1" applyFill="1" applyBorder="1" applyAlignment="1">
      <alignment horizontal="left" vertical="top" indent="1"/>
    </xf>
    <xf numFmtId="38" fontId="59" fillId="0" borderId="21" xfId="0" applyNumberFormat="1" applyFont="1" applyFill="1" applyBorder="1" applyAlignment="1">
      <alignment horizontal="right"/>
    </xf>
    <xf numFmtId="0" fontId="59" fillId="0" borderId="0" xfId="0" applyFont="1" applyAlignment="1">
      <alignment vertical="center"/>
    </xf>
    <xf numFmtId="3" fontId="68" fillId="3" borderId="12" xfId="0" applyNumberFormat="1" applyFont="1" applyFill="1" applyBorder="1" applyAlignment="1">
      <alignment horizontal="left" vertical="center" wrapText="1" indent="1"/>
    </xf>
    <xf numFmtId="164" fontId="68" fillId="3" borderId="13" xfId="0" applyNumberFormat="1" applyFont="1" applyFill="1" applyBorder="1" applyAlignment="1">
      <alignment horizontal="left" vertical="center" wrapText="1" indent="1"/>
    </xf>
    <xf numFmtId="38" fontId="59" fillId="3" borderId="2" xfId="0" applyNumberFormat="1" applyFont="1" applyFill="1" applyBorder="1" applyAlignment="1">
      <alignment horizontal="right"/>
    </xf>
    <xf numFmtId="49" fontId="66" fillId="0" borderId="29" xfId="0" applyNumberFormat="1" applyFont="1" applyFill="1" applyBorder="1" applyAlignment="1">
      <alignment horizontal="center" vertical="center"/>
    </xf>
    <xf numFmtId="164" fontId="68" fillId="3" borderId="13" xfId="0" applyNumberFormat="1" applyFont="1" applyFill="1" applyBorder="1" applyAlignment="1" applyProtection="1">
      <alignment horizontal="left" vertical="center" wrapText="1" indent="1"/>
    </xf>
    <xf numFmtId="49" fontId="68" fillId="3" borderId="14" xfId="0" applyNumberFormat="1" applyFont="1" applyFill="1" applyBorder="1" applyAlignment="1" applyProtection="1">
      <alignment horizontal="center" vertical="center"/>
    </xf>
    <xf numFmtId="49" fontId="68" fillId="7" borderId="27" xfId="0" applyNumberFormat="1" applyFont="1" applyFill="1" applyBorder="1" applyAlignment="1">
      <alignment horizontal="center" vertical="center"/>
    </xf>
    <xf numFmtId="3" fontId="68" fillId="6" borderId="17" xfId="0" applyNumberFormat="1" applyFont="1" applyFill="1" applyBorder="1" applyAlignment="1">
      <alignment horizontal="left" vertical="center" wrapText="1" indent="1"/>
    </xf>
    <xf numFmtId="49" fontId="68" fillId="6" borderId="26" xfId="0" applyNumberFormat="1" applyFont="1" applyFill="1" applyBorder="1" applyAlignment="1">
      <alignment horizontal="center" vertical="center"/>
    </xf>
    <xf numFmtId="38" fontId="59" fillId="6" borderId="29" xfId="0" applyNumberFormat="1" applyFont="1" applyFill="1" applyBorder="1" applyAlignment="1">
      <alignment horizontal="right"/>
    </xf>
    <xf numFmtId="3" fontId="68" fillId="0" borderId="13" xfId="0" applyNumberFormat="1" applyFont="1" applyFill="1" applyBorder="1" applyAlignment="1">
      <alignment horizontal="left" vertical="top" wrapText="1" indent="2"/>
    </xf>
    <xf numFmtId="0" fontId="61" fillId="0" borderId="21" xfId="0" applyFont="1" applyFill="1" applyBorder="1" applyAlignment="1">
      <alignment horizontal="left" vertical="top" wrapText="1" indent="2"/>
    </xf>
    <xf numFmtId="0" fontId="61" fillId="0" borderId="0" xfId="0" applyFont="1" applyFill="1" applyBorder="1" applyAlignment="1"/>
    <xf numFmtId="0" fontId="61" fillId="0" borderId="0" xfId="0" applyFont="1" applyFill="1" applyBorder="1"/>
    <xf numFmtId="0" fontId="59" fillId="0" borderId="0" xfId="0" applyFont="1" applyBorder="1" applyAlignment="1"/>
    <xf numFmtId="0" fontId="59" fillId="0" borderId="0" xfId="0" applyFont="1"/>
    <xf numFmtId="3" fontId="68" fillId="3" borderId="125" xfId="0" applyNumberFormat="1" applyFont="1" applyFill="1" applyBorder="1" applyAlignment="1">
      <alignment horizontal="left" vertical="center" wrapText="1" indent="1"/>
    </xf>
    <xf numFmtId="49" fontId="68" fillId="3" borderId="29" xfId="0" applyNumberFormat="1" applyFont="1" applyFill="1" applyBorder="1" applyAlignment="1">
      <alignment horizontal="center" vertical="center"/>
    </xf>
    <xf numFmtId="49" fontId="68" fillId="3" borderId="4" xfId="0" applyNumberFormat="1" applyFont="1" applyFill="1" applyBorder="1" applyAlignment="1">
      <alignment horizontal="center" vertical="top"/>
    </xf>
    <xf numFmtId="49" fontId="68" fillId="3" borderId="2" xfId="0" applyNumberFormat="1" applyFont="1" applyFill="1" applyBorder="1" applyAlignment="1">
      <alignment horizontal="center" vertical="top"/>
    </xf>
    <xf numFmtId="49" fontId="66" fillId="0" borderId="21" xfId="0" applyNumberFormat="1" applyFont="1" applyFill="1" applyBorder="1" applyAlignment="1">
      <alignment horizontal="center" vertical="top"/>
    </xf>
    <xf numFmtId="0" fontId="61" fillId="0" borderId="0" xfId="0" applyFont="1" applyFill="1"/>
    <xf numFmtId="0" fontId="68" fillId="3" borderId="13" xfId="0" applyFont="1" applyFill="1" applyBorder="1" applyAlignment="1">
      <alignment horizontal="left" vertical="center" wrapText="1" indent="1"/>
    </xf>
    <xf numFmtId="49" fontId="68" fillId="3" borderId="126" xfId="0" applyNumberFormat="1" applyFont="1" applyFill="1" applyBorder="1" applyAlignment="1">
      <alignment horizontal="center" vertical="center"/>
    </xf>
    <xf numFmtId="49" fontId="66" fillId="0" borderId="127" xfId="0" applyNumberFormat="1" applyFont="1" applyBorder="1" applyAlignment="1">
      <alignment horizontal="center" vertical="center"/>
    </xf>
    <xf numFmtId="49" fontId="68" fillId="3" borderId="4" xfId="0" applyNumberFormat="1" applyFont="1" applyFill="1" applyBorder="1" applyAlignment="1">
      <alignment horizontal="center" vertical="center"/>
    </xf>
    <xf numFmtId="3" fontId="68" fillId="6" borderId="29" xfId="0" applyNumberFormat="1" applyFont="1" applyFill="1" applyBorder="1" applyAlignment="1">
      <alignment horizontal="left" vertical="center" wrapText="1" indent="1"/>
    </xf>
    <xf numFmtId="49" fontId="68" fillId="6" borderId="29" xfId="0" applyNumberFormat="1" applyFont="1" applyFill="1" applyBorder="1" applyAlignment="1">
      <alignment horizontal="center" vertical="center"/>
    </xf>
    <xf numFmtId="3" fontId="68" fillId="3" borderId="2" xfId="0" applyNumberFormat="1" applyFont="1" applyFill="1" applyBorder="1" applyAlignment="1">
      <alignment horizontal="left" vertical="center" wrapText="1" indent="1"/>
    </xf>
    <xf numFmtId="49" fontId="68" fillId="3" borderId="11" xfId="0" applyNumberFormat="1" applyFont="1" applyFill="1" applyBorder="1" applyAlignment="1">
      <alignment horizontal="center" vertical="center" wrapText="1"/>
    </xf>
    <xf numFmtId="49" fontId="66" fillId="0" borderId="3" xfId="0" applyNumberFormat="1" applyFont="1" applyBorder="1" applyAlignment="1">
      <alignment horizontal="center" vertical="top"/>
    </xf>
    <xf numFmtId="49" fontId="68" fillId="3" borderId="31" xfId="0" applyNumberFormat="1" applyFont="1" applyFill="1" applyBorder="1" applyAlignment="1">
      <alignment horizontal="center" vertical="center" wrapText="1"/>
    </xf>
    <xf numFmtId="49" fontId="66" fillId="0" borderId="2" xfId="0" applyNumberFormat="1" applyFont="1" applyBorder="1" applyAlignment="1">
      <alignment horizontal="center" vertical="center" wrapText="1"/>
    </xf>
    <xf numFmtId="38" fontId="59" fillId="3" borderId="127" xfId="0" applyNumberFormat="1" applyFont="1" applyFill="1" applyBorder="1" applyAlignment="1">
      <alignment horizontal="right"/>
    </xf>
    <xf numFmtId="38" fontId="59" fillId="3" borderId="3" xfId="0" applyNumberFormat="1" applyFont="1" applyFill="1" applyBorder="1" applyAlignment="1">
      <alignment horizontal="right"/>
    </xf>
    <xf numFmtId="164" fontId="68" fillId="3" borderId="17" xfId="0" applyNumberFormat="1" applyFont="1" applyFill="1" applyBorder="1" applyAlignment="1">
      <alignment horizontal="left" vertical="center" wrapText="1" indent="1"/>
    </xf>
    <xf numFmtId="0" fontId="66" fillId="0" borderId="2" xfId="0" applyFont="1" applyBorder="1" applyAlignment="1">
      <alignment horizontal="center" vertical="center"/>
    </xf>
    <xf numFmtId="49" fontId="66" fillId="0" borderId="2" xfId="0" applyNumberFormat="1" applyFont="1" applyFill="1" applyBorder="1" applyAlignment="1">
      <alignment horizontal="center" vertical="center"/>
    </xf>
    <xf numFmtId="3" fontId="68" fillId="0" borderId="125" xfId="0" applyNumberFormat="1" applyFont="1" applyFill="1" applyBorder="1" applyAlignment="1">
      <alignment horizontal="left" vertical="top" wrapText="1" indent="1"/>
    </xf>
    <xf numFmtId="0" fontId="61" fillId="0" borderId="20" xfId="0" applyFont="1" applyFill="1" applyBorder="1" applyAlignment="1">
      <alignment horizontal="left" vertical="top" wrapText="1"/>
    </xf>
    <xf numFmtId="38" fontId="59" fillId="0" borderId="20" xfId="0" applyNumberFormat="1" applyFont="1" applyFill="1" applyBorder="1" applyAlignment="1">
      <alignment horizontal="right"/>
    </xf>
    <xf numFmtId="38" fontId="59" fillId="0" borderId="0" xfId="0" applyNumberFormat="1" applyFont="1" applyFill="1" applyBorder="1" applyAlignment="1">
      <alignment horizontal="right"/>
    </xf>
    <xf numFmtId="0" fontId="68" fillId="6" borderId="12" xfId="0"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49" fontId="66" fillId="0" borderId="14" xfId="0" applyNumberFormat="1" applyFont="1" applyFill="1" applyBorder="1" applyAlignment="1">
      <alignment horizontal="center" vertical="center"/>
    </xf>
    <xf numFmtId="49" fontId="66" fillId="0" borderId="14" xfId="0" applyNumberFormat="1" applyFont="1" applyFill="1" applyBorder="1" applyAlignment="1">
      <alignment horizontal="center" vertical="top"/>
    </xf>
    <xf numFmtId="164" fontId="68" fillId="3" borderId="13" xfId="0" applyNumberFormat="1" applyFont="1" applyFill="1" applyBorder="1" applyAlignment="1">
      <alignment horizontal="left" vertical="top" wrapText="1" indent="1"/>
    </xf>
    <xf numFmtId="49" fontId="68" fillId="3" borderId="14" xfId="0" applyNumberFormat="1" applyFont="1" applyFill="1" applyBorder="1" applyAlignment="1">
      <alignment horizontal="center" vertical="top"/>
    </xf>
    <xf numFmtId="0" fontId="61" fillId="6" borderId="0" xfId="0" applyFont="1" applyFill="1" applyAlignment="1">
      <alignment vertical="center"/>
    </xf>
    <xf numFmtId="49" fontId="68" fillId="6" borderId="2" xfId="7" applyNumberFormat="1" applyFont="1" applyFill="1" applyBorder="1" applyAlignment="1">
      <alignment horizontal="left" vertical="center" wrapText="1" indent="1"/>
    </xf>
    <xf numFmtId="0" fontId="68" fillId="6" borderId="2" xfId="8" applyNumberFormat="1" applyFont="1" applyFill="1" applyBorder="1" applyAlignment="1">
      <alignment horizontal="center" vertical="top"/>
    </xf>
    <xf numFmtId="38" fontId="59" fillId="6" borderId="0" xfId="8" applyNumberFormat="1" applyFont="1" applyFill="1" applyBorder="1" applyAlignment="1" applyProtection="1">
      <alignment horizontal="right"/>
    </xf>
    <xf numFmtId="38" fontId="59" fillId="6" borderId="26" xfId="8" applyNumberFormat="1" applyFont="1" applyFill="1" applyBorder="1" applyAlignment="1" applyProtection="1">
      <alignment horizontal="right"/>
    </xf>
    <xf numFmtId="0" fontId="85" fillId="0" borderId="0" xfId="6" applyFont="1"/>
    <xf numFmtId="0" fontId="66" fillId="0" borderId="17" xfId="0" applyFont="1" applyBorder="1" applyAlignment="1">
      <alignment horizontal="left" vertical="center" wrapText="1"/>
    </xf>
    <xf numFmtId="49" fontId="66" fillId="0" borderId="0" xfId="0" applyNumberFormat="1" applyFont="1" applyAlignment="1">
      <alignment horizontal="center" vertical="center"/>
    </xf>
    <xf numFmtId="0" fontId="61" fillId="0" borderId="0" xfId="0" applyFont="1" applyAlignment="1">
      <alignment horizontal="right" vertical="center"/>
    </xf>
    <xf numFmtId="38" fontId="61" fillId="0" borderId="0" xfId="0" applyNumberFormat="1" applyFont="1" applyAlignment="1">
      <alignment horizontal="right" vertical="center"/>
    </xf>
    <xf numFmtId="38" fontId="61" fillId="0" borderId="0" xfId="0" applyNumberFormat="1" applyFont="1" applyFill="1" applyAlignment="1">
      <alignment horizontal="right" vertical="center"/>
    </xf>
    <xf numFmtId="38" fontId="68" fillId="6" borderId="3" xfId="0" applyNumberFormat="1" applyFont="1" applyFill="1" applyBorder="1" applyAlignment="1">
      <alignment horizontal="center" vertical="center" wrapText="1"/>
    </xf>
    <xf numFmtId="0" fontId="66" fillId="0" borderId="2" xfId="0" applyFont="1" applyBorder="1" applyAlignment="1">
      <alignment horizontal="left" vertical="center" wrapText="1" indent="1"/>
    </xf>
    <xf numFmtId="38" fontId="61" fillId="0" borderId="0" xfId="0" applyNumberFormat="1" applyFont="1"/>
    <xf numFmtId="0" fontId="77" fillId="0" borderId="0" xfId="0" applyFont="1" applyAlignment="1">
      <alignment horizontal="left" indent="2"/>
    </xf>
    <xf numFmtId="0" fontId="77" fillId="0" borderId="0" xfId="0" applyFont="1" applyAlignment="1">
      <alignment horizontal="left"/>
    </xf>
    <xf numFmtId="0" fontId="77" fillId="0" borderId="0" xfId="0" applyFont="1" applyAlignment="1">
      <alignment horizontal="left" vertical="top" indent="2"/>
    </xf>
    <xf numFmtId="0" fontId="77" fillId="0" borderId="0" xfId="0" applyFont="1" applyAlignment="1">
      <alignment horizontal="left" vertical="top"/>
    </xf>
    <xf numFmtId="49" fontId="66" fillId="0" borderId="0" xfId="0" applyNumberFormat="1" applyFont="1" applyFill="1" applyBorder="1" applyAlignment="1" applyProtection="1">
      <alignment horizontal="left" vertical="center"/>
    </xf>
    <xf numFmtId="49" fontId="66" fillId="0" borderId="0" xfId="0" applyNumberFormat="1" applyFont="1" applyAlignment="1" applyProtection="1">
      <alignment horizontal="left" vertical="center"/>
    </xf>
    <xf numFmtId="49" fontId="68" fillId="0" borderId="2" xfId="0" applyNumberFormat="1" applyFont="1" applyFill="1" applyBorder="1" applyAlignment="1" applyProtection="1">
      <alignment horizontal="center" vertical="center" wrapText="1"/>
    </xf>
    <xf numFmtId="49" fontId="66" fillId="0" borderId="13" xfId="0" applyNumberFormat="1" applyFont="1" applyBorder="1" applyAlignment="1" applyProtection="1">
      <alignment horizontal="left" vertical="center" indent="1"/>
    </xf>
    <xf numFmtId="49" fontId="66" fillId="0" borderId="21" xfId="0" applyNumberFormat="1" applyFont="1" applyBorder="1" applyAlignment="1" applyProtection="1">
      <alignment horizontal="left" vertical="center"/>
    </xf>
    <xf numFmtId="38" fontId="59" fillId="0" borderId="2" xfId="0" applyNumberFormat="1" applyFont="1" applyBorder="1" applyAlignment="1" applyProtection="1">
      <alignment horizontal="right" vertical="center"/>
      <protection locked="0"/>
    </xf>
    <xf numFmtId="38" fontId="59" fillId="3" borderId="0" xfId="0" applyNumberFormat="1" applyFont="1" applyFill="1" applyBorder="1" applyAlignment="1" applyProtection="1">
      <alignment horizontal="right" vertical="center"/>
    </xf>
    <xf numFmtId="38" fontId="59" fillId="3" borderId="18" xfId="0" applyNumberFormat="1" applyFont="1" applyFill="1" applyBorder="1" applyAlignment="1" applyProtection="1">
      <alignment horizontal="right" vertical="center"/>
    </xf>
    <xf numFmtId="0" fontId="85" fillId="0" borderId="0" xfId="9" applyFont="1" applyFill="1"/>
    <xf numFmtId="49" fontId="68" fillId="0" borderId="2" xfId="9" applyNumberFormat="1" applyFont="1" applyFill="1" applyBorder="1" applyAlignment="1">
      <alignment horizontal="center" vertical="center" wrapText="1"/>
    </xf>
    <xf numFmtId="0" fontId="61" fillId="0" borderId="0" xfId="9" applyFont="1" applyFill="1"/>
    <xf numFmtId="164" fontId="66" fillId="0" borderId="2" xfId="9" applyNumberFormat="1" applyFont="1" applyFill="1" applyBorder="1" applyAlignment="1" applyProtection="1">
      <alignment horizontal="left" vertical="center"/>
      <protection locked="0"/>
    </xf>
    <xf numFmtId="177" fontId="66" fillId="0" borderId="2" xfId="9" applyNumberFormat="1" applyFont="1" applyFill="1" applyBorder="1" applyAlignment="1" applyProtection="1">
      <alignment horizontal="right"/>
      <protection locked="0"/>
    </xf>
    <xf numFmtId="38" fontId="59" fillId="0" borderId="2" xfId="9" applyNumberFormat="1" applyFont="1" applyFill="1" applyBorder="1" applyAlignment="1" applyProtection="1">
      <alignment horizontal="right"/>
      <protection locked="0"/>
    </xf>
    <xf numFmtId="3" fontId="59" fillId="0" borderId="2" xfId="9" applyNumberFormat="1" applyFont="1" applyFill="1" applyBorder="1" applyAlignment="1" applyProtection="1">
      <alignment horizontal="right" vertical="center"/>
      <protection locked="0"/>
    </xf>
    <xf numFmtId="0" fontId="61" fillId="0" borderId="0" xfId="9" applyFont="1" applyFill="1" applyAlignment="1"/>
    <xf numFmtId="0" fontId="66" fillId="0" borderId="0" xfId="9" applyFont="1" applyFill="1" applyAlignment="1"/>
    <xf numFmtId="38" fontId="59" fillId="0" borderId="2" xfId="9" applyNumberFormat="1" applyFont="1" applyFill="1" applyBorder="1" applyAlignment="1" applyProtection="1">
      <alignment horizontal="right" vertical="center"/>
      <protection locked="0"/>
    </xf>
    <xf numFmtId="0" fontId="85" fillId="0" borderId="0" xfId="9" applyFont="1" applyFill="1" applyAlignment="1">
      <alignment vertical="top"/>
    </xf>
    <xf numFmtId="0" fontId="59" fillId="0" borderId="2" xfId="0" applyFont="1" applyFill="1" applyBorder="1" applyAlignment="1" applyProtection="1">
      <alignment horizontal="right"/>
      <protection locked="0"/>
    </xf>
    <xf numFmtId="0" fontId="59" fillId="0" borderId="2" xfId="9" applyFont="1" applyFill="1" applyBorder="1" applyAlignment="1" applyProtection="1">
      <alignment horizontal="right" vertical="top"/>
      <protection locked="0"/>
    </xf>
    <xf numFmtId="38" fontId="59" fillId="0" borderId="2" xfId="9" applyNumberFormat="1" applyFont="1" applyFill="1" applyBorder="1" applyAlignment="1" applyProtection="1">
      <alignment horizontal="right" vertical="top"/>
      <protection locked="0"/>
    </xf>
    <xf numFmtId="38" fontId="59" fillId="0" borderId="2" xfId="9" quotePrefix="1" applyNumberFormat="1" applyFont="1" applyFill="1" applyBorder="1" applyAlignment="1" applyProtection="1">
      <alignment horizontal="right"/>
      <protection locked="0"/>
    </xf>
    <xf numFmtId="0" fontId="66" fillId="0" borderId="0" xfId="9" applyFont="1" applyFill="1" applyBorder="1" applyAlignment="1"/>
    <xf numFmtId="38" fontId="59" fillId="6" borderId="2" xfId="9" applyNumberFormat="1" applyFont="1" applyFill="1" applyBorder="1" applyAlignment="1" applyProtection="1">
      <alignment horizontal="right"/>
    </xf>
    <xf numFmtId="0" fontId="85" fillId="0" borderId="0" xfId="9" applyFont="1" applyFill="1" applyAlignment="1"/>
    <xf numFmtId="0" fontId="66" fillId="0" borderId="0" xfId="9" applyFont="1" applyFill="1" applyAlignment="1">
      <alignment vertical="top"/>
    </xf>
    <xf numFmtId="0" fontId="66" fillId="0" borderId="0" xfId="9" applyFont="1" applyFill="1" applyAlignment="1">
      <alignment horizontal="left" indent="1"/>
    </xf>
    <xf numFmtId="49" fontId="66" fillId="0" borderId="0" xfId="9" applyNumberFormat="1" applyFont="1" applyFill="1" applyAlignment="1">
      <alignment horizontal="right" vertical="center"/>
    </xf>
    <xf numFmtId="0" fontId="66" fillId="0" borderId="0" xfId="9" applyFont="1" applyFill="1" applyAlignment="1">
      <alignment horizontal="left" vertical="center" indent="1"/>
    </xf>
    <xf numFmtId="0" fontId="66" fillId="0" borderId="0" xfId="9" applyFont="1" applyFill="1" applyAlignment="1">
      <alignment vertical="center"/>
    </xf>
    <xf numFmtId="0" fontId="66" fillId="0" borderId="0" xfId="9" applyFont="1" applyFill="1" applyAlignment="1">
      <alignment horizontal="left" vertical="top" indent="1"/>
    </xf>
    <xf numFmtId="0" fontId="66" fillId="0" borderId="0" xfId="9" applyFont="1" applyFill="1" applyAlignment="1">
      <alignment horizontal="left"/>
    </xf>
    <xf numFmtId="0" fontId="85" fillId="0" borderId="0" xfId="9" applyFont="1" applyFill="1" applyBorder="1" applyAlignment="1">
      <alignment horizontal="left" vertical="center"/>
    </xf>
    <xf numFmtId="0" fontId="66" fillId="0" borderId="0" xfId="9" applyFont="1" applyFill="1" applyBorder="1" applyAlignment="1">
      <alignment horizontal="left"/>
    </xf>
    <xf numFmtId="49" fontId="66" fillId="0" borderId="0" xfId="9" applyNumberFormat="1" applyFont="1" applyFill="1" applyBorder="1" applyAlignment="1">
      <alignment horizontal="right"/>
    </xf>
    <xf numFmtId="0" fontId="61" fillId="0" borderId="15" xfId="9" applyFont="1" applyFill="1" applyBorder="1" applyAlignment="1" applyProtection="1">
      <protection locked="0"/>
    </xf>
    <xf numFmtId="49" fontId="66" fillId="0" borderId="0" xfId="9" applyNumberFormat="1" applyFont="1" applyFill="1" applyAlignment="1">
      <alignment horizontal="left" vertical="center"/>
    </xf>
    <xf numFmtId="49" fontId="77" fillId="0" borderId="0" xfId="9" applyNumberFormat="1" applyFont="1" applyFill="1" applyAlignment="1">
      <alignment horizontal="left" vertical="center"/>
    </xf>
    <xf numFmtId="0" fontId="68" fillId="0" borderId="9" xfId="0" applyFont="1" applyBorder="1" applyAlignment="1" applyProtection="1">
      <alignment horizontal="center" vertical="center" wrapText="1"/>
    </xf>
    <xf numFmtId="0" fontId="68" fillId="0" borderId="22" xfId="0" applyFont="1" applyFill="1" applyBorder="1" applyAlignment="1" applyProtection="1">
      <alignment horizontal="center" vertical="center"/>
    </xf>
    <xf numFmtId="0" fontId="68" fillId="0" borderId="22" xfId="0" applyFont="1" applyFill="1" applyBorder="1" applyAlignment="1" applyProtection="1">
      <alignment horizontal="center" vertical="center" wrapText="1"/>
    </xf>
    <xf numFmtId="0" fontId="61" fillId="0" borderId="7" xfId="0" applyFont="1" applyBorder="1" applyAlignment="1" applyProtection="1">
      <alignment vertical="center"/>
    </xf>
    <xf numFmtId="38" fontId="59" fillId="0" borderId="22" xfId="0" applyNumberFormat="1" applyFont="1" applyBorder="1" applyAlignment="1" applyProtection="1">
      <alignment vertical="center"/>
      <protection locked="0"/>
    </xf>
    <xf numFmtId="38" fontId="59" fillId="0" borderId="22" xfId="0" applyNumberFormat="1" applyFont="1" applyFill="1" applyBorder="1" applyAlignment="1" applyProtection="1">
      <alignment horizontal="right" vertical="center"/>
      <protection locked="0"/>
    </xf>
    <xf numFmtId="0" fontId="61" fillId="6" borderId="7" xfId="0" applyFont="1" applyFill="1" applyBorder="1" applyAlignment="1" applyProtection="1">
      <alignment vertical="center"/>
    </xf>
    <xf numFmtId="38" fontId="59" fillId="6" borderId="45" xfId="0" applyNumberFormat="1" applyFont="1" applyFill="1" applyBorder="1" applyAlignment="1" applyProtection="1">
      <alignment vertical="center"/>
    </xf>
    <xf numFmtId="38" fontId="59" fillId="6" borderId="22" xfId="0" applyNumberFormat="1" applyFont="1" applyFill="1" applyBorder="1" applyAlignment="1" applyProtection="1">
      <alignment vertical="center"/>
    </xf>
    <xf numFmtId="38" fontId="59" fillId="6" borderId="45" xfId="0" applyNumberFormat="1" applyFont="1" applyFill="1" applyBorder="1" applyAlignment="1" applyProtection="1">
      <alignment horizontal="right" vertical="center"/>
    </xf>
    <xf numFmtId="49" fontId="66" fillId="0" borderId="7" xfId="0" applyNumberFormat="1" applyFont="1" applyBorder="1" applyAlignment="1" applyProtection="1">
      <alignment horizontal="center" vertical="center" wrapText="1"/>
    </xf>
    <xf numFmtId="38" fontId="59" fillId="6" borderId="8" xfId="0" applyNumberFormat="1" applyFont="1" applyFill="1" applyBorder="1" applyAlignment="1" applyProtection="1">
      <alignment vertical="center"/>
    </xf>
    <xf numFmtId="38" fontId="59" fillId="0" borderId="22" xfId="0" applyNumberFormat="1" applyFont="1" applyFill="1" applyBorder="1" applyAlignment="1" applyProtection="1">
      <alignment vertical="center"/>
      <protection locked="0"/>
    </xf>
    <xf numFmtId="38" fontId="59" fillId="6" borderId="8" xfId="0" applyNumberFormat="1" applyFont="1" applyFill="1" applyBorder="1" applyAlignment="1" applyProtection="1">
      <alignment horizontal="right" vertical="center"/>
    </xf>
    <xf numFmtId="0" fontId="66" fillId="0" borderId="46" xfId="0" applyFont="1" applyBorder="1" applyAlignment="1" applyProtection="1">
      <alignment horizontal="left" indent="1"/>
    </xf>
    <xf numFmtId="0" fontId="66" fillId="0" borderId="6" xfId="0" applyFont="1" applyBorder="1" applyAlignment="1" applyProtection="1">
      <alignment horizontal="left" indent="1"/>
    </xf>
    <xf numFmtId="0" fontId="61" fillId="0" borderId="7" xfId="0" applyFont="1" applyBorder="1" applyAlignment="1">
      <alignment horizontal="left" indent="1"/>
    </xf>
    <xf numFmtId="49" fontId="66" fillId="0" borderId="7" xfId="0" applyNumberFormat="1" applyFont="1" applyBorder="1" applyAlignment="1" applyProtection="1">
      <alignment horizontal="center" vertical="center"/>
    </xf>
    <xf numFmtId="0" fontId="66" fillId="0" borderId="46" xfId="0" applyFont="1" applyBorder="1" applyAlignment="1" applyProtection="1">
      <alignment horizontal="left" vertical="center" indent="1"/>
    </xf>
    <xf numFmtId="0" fontId="66" fillId="0" borderId="6" xfId="0" applyFont="1" applyBorder="1" applyAlignment="1" applyProtection="1">
      <alignment horizontal="left" vertical="center" wrapText="1" indent="1"/>
    </xf>
    <xf numFmtId="0" fontId="61" fillId="0" borderId="7" xfId="0" applyFont="1" applyBorder="1" applyAlignment="1">
      <alignment horizontal="left" wrapText="1" indent="1"/>
    </xf>
    <xf numFmtId="38" fontId="59" fillId="6" borderId="22" xfId="0" applyNumberFormat="1" applyFont="1" applyFill="1" applyBorder="1" applyAlignment="1" applyProtection="1">
      <alignment horizontal="right" vertical="center"/>
    </xf>
    <xf numFmtId="38" fontId="59" fillId="6" borderId="44" xfId="0" applyNumberFormat="1" applyFont="1" applyFill="1" applyBorder="1" applyAlignment="1" applyProtection="1">
      <alignment vertical="center"/>
    </xf>
    <xf numFmtId="49" fontId="66" fillId="0" borderId="6" xfId="0" applyNumberFormat="1" applyFont="1" applyBorder="1" applyAlignment="1" applyProtection="1">
      <alignment horizontal="center" vertical="center"/>
    </xf>
    <xf numFmtId="38" fontId="59" fillId="0" borderId="7" xfId="0" applyNumberFormat="1" applyFont="1" applyBorder="1" applyAlignment="1" applyProtection="1">
      <alignment vertical="center"/>
      <protection locked="0"/>
    </xf>
    <xf numFmtId="49" fontId="66" fillId="6" borderId="59" xfId="0" applyNumberFormat="1" applyFont="1" applyFill="1" applyBorder="1" applyAlignment="1" applyProtection="1">
      <alignment horizontal="center" vertical="center"/>
    </xf>
    <xf numFmtId="0" fontId="59" fillId="6" borderId="42" xfId="0" applyFont="1" applyFill="1" applyBorder="1" applyAlignment="1" applyProtection="1">
      <alignment horizontal="right" vertical="center"/>
    </xf>
    <xf numFmtId="0" fontId="59" fillId="6" borderId="43" xfId="0" applyFont="1" applyFill="1" applyBorder="1" applyAlignment="1" applyProtection="1">
      <alignment horizontal="right" vertical="center"/>
    </xf>
    <xf numFmtId="0" fontId="59" fillId="6" borderId="40" xfId="0" applyFont="1" applyFill="1" applyBorder="1" applyAlignment="1" applyProtection="1">
      <alignment horizontal="right" vertical="center"/>
    </xf>
    <xf numFmtId="49" fontId="66" fillId="0" borderId="22" xfId="0" applyNumberFormat="1" applyFont="1" applyBorder="1" applyAlignment="1" applyProtection="1">
      <alignment horizontal="center" vertical="center"/>
    </xf>
    <xf numFmtId="49" fontId="66" fillId="3" borderId="22" xfId="0" applyNumberFormat="1" applyFont="1" applyFill="1" applyBorder="1" applyAlignment="1" applyProtection="1">
      <alignment horizontal="center" vertical="center"/>
    </xf>
    <xf numFmtId="38" fontId="59" fillId="3" borderId="45" xfId="0" applyNumberFormat="1" applyFont="1" applyFill="1" applyBorder="1" applyAlignment="1" applyProtection="1">
      <alignment vertical="center"/>
    </xf>
    <xf numFmtId="38" fontId="59" fillId="3" borderId="44" xfId="0" applyNumberFormat="1" applyFont="1" applyFill="1" applyBorder="1" applyAlignment="1" applyProtection="1">
      <alignment vertical="center"/>
    </xf>
    <xf numFmtId="38" fontId="59" fillId="3" borderId="8" xfId="0" applyNumberFormat="1" applyFont="1" applyFill="1" applyBorder="1" applyAlignment="1" applyProtection="1">
      <alignment horizontal="right" vertical="center"/>
    </xf>
    <xf numFmtId="38" fontId="59" fillId="3" borderId="44" xfId="0" applyNumberFormat="1" applyFont="1" applyFill="1" applyBorder="1" applyAlignment="1" applyProtection="1">
      <alignment horizontal="right" vertical="center"/>
    </xf>
    <xf numFmtId="38" fontId="59" fillId="6" borderId="44" xfId="0" applyNumberFormat="1" applyFont="1" applyFill="1" applyBorder="1" applyAlignment="1" applyProtection="1">
      <alignment horizontal="right" vertical="center"/>
    </xf>
    <xf numFmtId="38" fontId="59" fillId="3" borderId="8" xfId="0" applyNumberFormat="1" applyFont="1" applyFill="1" applyBorder="1" applyAlignment="1" applyProtection="1">
      <alignment vertical="center"/>
    </xf>
    <xf numFmtId="38" fontId="59" fillId="0" borderId="8" xfId="0" applyNumberFormat="1" applyFont="1" applyFill="1" applyBorder="1" applyAlignment="1" applyProtection="1">
      <alignment horizontal="right" vertical="center"/>
      <protection locked="0"/>
    </xf>
    <xf numFmtId="0" fontId="68" fillId="0" borderId="46" xfId="0" applyFont="1" applyFill="1" applyBorder="1" applyAlignment="1">
      <alignment horizontal="left" indent="2"/>
    </xf>
    <xf numFmtId="0" fontId="68" fillId="0" borderId="6" xfId="0" applyFont="1" applyFill="1" applyBorder="1" applyAlignment="1" applyProtection="1">
      <alignment horizontal="left" vertical="center"/>
    </xf>
    <xf numFmtId="0" fontId="61" fillId="0" borderId="7" xfId="0" applyFont="1" applyBorder="1" applyAlignment="1" applyProtection="1"/>
    <xf numFmtId="0" fontId="66" fillId="0" borderId="22" xfId="0" applyFont="1" applyFill="1" applyBorder="1" applyAlignment="1">
      <alignment horizontal="center" wrapText="1"/>
    </xf>
    <xf numFmtId="38" fontId="59" fillId="0" borderId="8" xfId="0" applyNumberFormat="1" applyFont="1" applyFill="1" applyBorder="1" applyAlignment="1" applyProtection="1">
      <alignment vertical="center"/>
      <protection locked="0"/>
    </xf>
    <xf numFmtId="0" fontId="59" fillId="0" borderId="50" xfId="0" applyFont="1" applyBorder="1" applyAlignment="1" applyProtection="1">
      <alignment vertical="center"/>
    </xf>
    <xf numFmtId="0" fontId="61" fillId="0" borderId="9" xfId="0" applyFont="1" applyBorder="1" applyProtection="1"/>
    <xf numFmtId="0" fontId="61" fillId="0" borderId="40" xfId="0" applyFont="1" applyBorder="1" applyProtection="1"/>
    <xf numFmtId="0" fontId="69" fillId="0" borderId="0" xfId="0" applyFont="1" applyBorder="1" applyAlignment="1" applyProtection="1">
      <alignment horizontal="center"/>
    </xf>
    <xf numFmtId="0" fontId="69" fillId="0" borderId="22" xfId="0" applyFont="1" applyBorder="1" applyAlignment="1" applyProtection="1">
      <alignment horizontal="center"/>
      <protection locked="0"/>
    </xf>
    <xf numFmtId="0" fontId="66" fillId="0" borderId="0" xfId="0" applyFont="1" applyAlignment="1" applyProtection="1">
      <alignment horizontal="left" vertical="center" indent="1"/>
    </xf>
    <xf numFmtId="0" fontId="66" fillId="0" borderId="5" xfId="0" applyFont="1" applyBorder="1" applyAlignment="1" applyProtection="1">
      <alignment vertical="center"/>
    </xf>
    <xf numFmtId="0" fontId="66" fillId="0" borderId="0" xfId="0" applyFont="1" applyAlignment="1" applyProtection="1">
      <alignment horizontal="left" indent="1"/>
    </xf>
    <xf numFmtId="0" fontId="66" fillId="0" borderId="22" xfId="0" applyFont="1" applyBorder="1" applyAlignment="1" applyProtection="1">
      <alignment horizontal="left" vertical="center"/>
    </xf>
    <xf numFmtId="0" fontId="77" fillId="0" borderId="5" xfId="0" applyFont="1" applyBorder="1" applyAlignment="1" applyProtection="1"/>
    <xf numFmtId="0" fontId="59" fillId="0" borderId="40" xfId="0" applyFont="1" applyBorder="1" applyAlignment="1" applyProtection="1">
      <alignment vertical="center"/>
    </xf>
    <xf numFmtId="0" fontId="77" fillId="0" borderId="5" xfId="0" applyFont="1" applyBorder="1" applyAlignment="1" applyProtection="1">
      <alignment vertical="top"/>
    </xf>
    <xf numFmtId="0" fontId="61" fillId="6" borderId="6" xfId="0" applyFont="1" applyFill="1" applyBorder="1" applyProtection="1"/>
    <xf numFmtId="0" fontId="59" fillId="6" borderId="22" xfId="0" applyFont="1" applyFill="1" applyBorder="1" applyAlignment="1" applyProtection="1">
      <alignment vertical="center"/>
    </xf>
    <xf numFmtId="0" fontId="98" fillId="0" borderId="0" xfId="0" applyFont="1" applyAlignment="1" applyProtection="1">
      <alignment horizontal="left" indent="2"/>
    </xf>
    <xf numFmtId="0" fontId="66" fillId="0" borderId="6" xfId="0" applyFont="1" applyBorder="1" applyAlignment="1" applyProtection="1">
      <alignment vertical="center"/>
    </xf>
    <xf numFmtId="0" fontId="66" fillId="0" borderId="7" xfId="0" applyFont="1" applyBorder="1" applyAlignment="1" applyProtection="1">
      <alignment vertical="center"/>
    </xf>
    <xf numFmtId="0" fontId="66" fillId="0" borderId="6" xfId="0" applyFont="1" applyBorder="1" applyAlignment="1" applyProtection="1">
      <alignment horizontal="left" vertical="center" indent="1"/>
    </xf>
    <xf numFmtId="0" fontId="98" fillId="0" borderId="0" xfId="0" applyFont="1" applyAlignment="1" applyProtection="1">
      <alignment horizontal="left" vertical="top"/>
    </xf>
    <xf numFmtId="0" fontId="66" fillId="0" borderId="0" xfId="0" applyFont="1" applyAlignment="1" applyProtection="1">
      <alignment vertical="top"/>
    </xf>
    <xf numFmtId="0" fontId="61" fillId="0" borderId="0" xfId="0" applyFont="1" applyAlignment="1" applyProtection="1">
      <alignment vertical="top"/>
    </xf>
    <xf numFmtId="0" fontId="61" fillId="0" borderId="0" xfId="0" applyFont="1" applyBorder="1" applyAlignment="1" applyProtection="1">
      <alignment vertical="top"/>
    </xf>
    <xf numFmtId="0" fontId="68" fillId="6" borderId="46" xfId="0" applyFont="1" applyFill="1" applyBorder="1" applyAlignment="1" applyProtection="1">
      <alignment vertical="center"/>
    </xf>
    <xf numFmtId="0" fontId="83" fillId="0" borderId="50" xfId="0" applyFont="1" applyFill="1" applyBorder="1" applyAlignment="1" applyProtection="1">
      <alignment horizontal="left" indent="2"/>
    </xf>
    <xf numFmtId="0" fontId="61" fillId="0" borderId="9" xfId="0" applyFont="1" applyBorder="1" applyAlignment="1">
      <alignment horizontal="left" vertical="center"/>
    </xf>
    <xf numFmtId="0" fontId="61" fillId="0" borderId="9" xfId="0" applyFont="1" applyFill="1" applyBorder="1" applyAlignment="1" applyProtection="1">
      <alignment vertical="center"/>
    </xf>
    <xf numFmtId="0" fontId="58" fillId="0" borderId="9" xfId="0" applyFont="1" applyFill="1" applyBorder="1" applyAlignment="1" applyProtection="1">
      <alignment horizontal="left" vertical="center"/>
    </xf>
    <xf numFmtId="0" fontId="61" fillId="0" borderId="9" xfId="0" applyFont="1" applyFill="1" applyBorder="1" applyAlignment="1">
      <alignment horizontal="left" vertical="center"/>
    </xf>
    <xf numFmtId="0" fontId="68" fillId="0" borderId="50" xfId="0" applyFont="1" applyBorder="1" applyAlignment="1" applyProtection="1">
      <alignment horizontal="center" vertical="center" wrapText="1"/>
    </xf>
    <xf numFmtId="0" fontId="68" fillId="0" borderId="8" xfId="0" applyFont="1" applyBorder="1" applyAlignment="1" applyProtection="1">
      <alignment horizontal="center" vertical="center" wrapText="1"/>
    </xf>
    <xf numFmtId="0" fontId="58" fillId="0" borderId="8" xfId="0" applyFont="1" applyBorder="1" applyAlignment="1" applyProtection="1">
      <alignment horizontal="center" vertical="center" wrapText="1"/>
    </xf>
    <xf numFmtId="0" fontId="61" fillId="0" borderId="0" xfId="0" applyFont="1" applyAlignment="1" applyProtection="1">
      <alignment horizontal="center" vertical="center" wrapText="1"/>
    </xf>
    <xf numFmtId="38" fontId="59" fillId="0" borderId="44" xfId="0" applyNumberFormat="1" applyFont="1" applyFill="1" applyBorder="1" applyAlignment="1" applyProtection="1">
      <alignment horizontal="right" vertical="center"/>
      <protection locked="0"/>
    </xf>
    <xf numFmtId="0" fontId="68" fillId="6" borderId="44" xfId="0" applyFont="1" applyFill="1" applyBorder="1" applyAlignment="1" applyProtection="1">
      <alignment horizontal="center" vertical="center" wrapText="1"/>
    </xf>
    <xf numFmtId="38" fontId="68" fillId="6" borderId="44" xfId="0" quotePrefix="1" applyNumberFormat="1" applyFont="1" applyFill="1" applyBorder="1" applyAlignment="1" applyProtection="1">
      <alignment horizontal="center" vertical="center"/>
    </xf>
    <xf numFmtId="49" fontId="59" fillId="6" borderId="45" xfId="0" applyNumberFormat="1" applyFont="1" applyFill="1" applyBorder="1" applyAlignment="1" applyProtection="1">
      <alignment horizontal="right" vertical="center"/>
    </xf>
    <xf numFmtId="49" fontId="59" fillId="6" borderId="44" xfId="0" applyNumberFormat="1" applyFont="1" applyFill="1" applyBorder="1" applyAlignment="1" applyProtection="1">
      <alignment horizontal="right" vertical="center"/>
    </xf>
    <xf numFmtId="0" fontId="66" fillId="0" borderId="22" xfId="0" applyFont="1" applyBorder="1" applyAlignment="1" applyProtection="1">
      <alignment horizontal="center" vertical="center"/>
    </xf>
    <xf numFmtId="38" fontId="59" fillId="0" borderId="8" xfId="0" applyNumberFormat="1" applyFont="1" applyBorder="1" applyAlignment="1" applyProtection="1">
      <alignment horizontal="right" vertical="center"/>
      <protection locked="0"/>
    </xf>
    <xf numFmtId="49" fontId="59" fillId="3" borderId="8" xfId="0" applyNumberFormat="1" applyFont="1" applyFill="1" applyBorder="1" applyAlignment="1" applyProtection="1">
      <alignment horizontal="right" vertical="center"/>
    </xf>
    <xf numFmtId="38" fontId="68" fillId="6" borderId="44" xfId="0" applyNumberFormat="1" applyFont="1" applyFill="1" applyBorder="1" applyAlignment="1" applyProtection="1">
      <alignment horizontal="center" vertical="center"/>
    </xf>
    <xf numFmtId="38" fontId="59" fillId="0" borderId="22" xfId="0" applyNumberFormat="1" applyFont="1" applyBorder="1" applyAlignment="1" applyProtection="1">
      <alignment horizontal="right" vertical="center"/>
      <protection locked="0"/>
    </xf>
    <xf numFmtId="0" fontId="66" fillId="0" borderId="46" xfId="0" applyFont="1" applyBorder="1" applyAlignment="1" applyProtection="1">
      <alignment horizontal="left" vertical="center" wrapText="1" indent="1"/>
    </xf>
    <xf numFmtId="38" fontId="59" fillId="0" borderId="22" xfId="0" applyNumberFormat="1" applyFont="1" applyBorder="1" applyAlignment="1" applyProtection="1">
      <alignment horizontal="right"/>
      <protection locked="0"/>
    </xf>
    <xf numFmtId="38" fontId="59" fillId="0" borderId="22" xfId="0" applyNumberFormat="1" applyFont="1" applyFill="1" applyBorder="1" applyAlignment="1" applyProtection="1">
      <alignment horizontal="right"/>
      <protection locked="0"/>
    </xf>
    <xf numFmtId="0" fontId="66" fillId="0" borderId="46" xfId="0" applyFont="1" applyBorder="1" applyAlignment="1" applyProtection="1">
      <alignment horizontal="left" vertical="center" wrapText="1" indent="2"/>
    </xf>
    <xf numFmtId="49" fontId="68" fillId="6" borderId="44" xfId="0" applyNumberFormat="1" applyFont="1" applyFill="1" applyBorder="1" applyAlignment="1" applyProtection="1">
      <alignment horizontal="center" vertical="center"/>
    </xf>
    <xf numFmtId="38" fontId="59" fillId="6" borderId="43" xfId="0" applyNumberFormat="1" applyFont="1" applyFill="1" applyBorder="1" applyAlignment="1" applyProtection="1">
      <alignment horizontal="right" vertical="center"/>
    </xf>
    <xf numFmtId="0" fontId="61" fillId="6" borderId="8" xfId="0" applyFont="1" applyFill="1" applyBorder="1" applyAlignment="1" applyProtection="1">
      <alignment vertical="center"/>
    </xf>
    <xf numFmtId="0" fontId="61" fillId="0" borderId="0" xfId="0" applyFont="1" applyAlignment="1" applyProtection="1">
      <alignment horizontal="right" vertical="center" indent="1"/>
    </xf>
    <xf numFmtId="0" fontId="66" fillId="0" borderId="0" xfId="0" applyFont="1" applyAlignment="1" applyProtection="1">
      <alignment horizontal="right" vertical="center" indent="1"/>
    </xf>
    <xf numFmtId="0" fontId="66" fillId="0" borderId="0" xfId="0" applyFont="1" applyBorder="1" applyAlignment="1" applyProtection="1">
      <alignment horizontal="right" vertical="center" indent="1"/>
    </xf>
    <xf numFmtId="0" fontId="66" fillId="0" borderId="56" xfId="10" applyFont="1" applyFill="1" applyBorder="1" applyAlignment="1">
      <alignment vertical="center"/>
    </xf>
    <xf numFmtId="0" fontId="66" fillId="0" borderId="0" xfId="10" applyFont="1" applyAlignment="1">
      <alignment vertical="center"/>
    </xf>
    <xf numFmtId="0" fontId="66" fillId="0" borderId="56" xfId="10" applyFont="1" applyFill="1" applyBorder="1" applyAlignment="1">
      <alignment horizontal="centerContinuous" vertical="center"/>
    </xf>
    <xf numFmtId="0" fontId="100" fillId="0" borderId="0" xfId="10" applyFont="1" applyBorder="1" applyAlignment="1">
      <alignment vertical="top"/>
    </xf>
    <xf numFmtId="0" fontId="66" fillId="0" borderId="0" xfId="10" applyFont="1" applyBorder="1" applyAlignment="1">
      <alignment vertical="center"/>
    </xf>
    <xf numFmtId="0" fontId="66" fillId="0" borderId="0" xfId="10" applyFont="1" applyBorder="1" applyAlignment="1">
      <alignment horizontal="right" vertical="center"/>
    </xf>
    <xf numFmtId="0" fontId="72" fillId="0" borderId="0" xfId="10" applyFont="1" applyFill="1" applyAlignment="1">
      <alignment horizontal="left" vertical="center" indent="1"/>
    </xf>
    <xf numFmtId="0" fontId="72" fillId="0" borderId="0" xfId="10" applyFont="1" applyAlignment="1">
      <alignment horizontal="center" vertical="center"/>
    </xf>
    <xf numFmtId="0" fontId="66" fillId="0" borderId="0" xfId="10" applyFont="1" applyAlignment="1">
      <alignment horizontal="right" vertical="center"/>
    </xf>
    <xf numFmtId="0" fontId="72" fillId="0" borderId="0" xfId="10" applyFont="1" applyAlignment="1">
      <alignment vertical="center"/>
    </xf>
    <xf numFmtId="0" fontId="66" fillId="0" borderId="0" xfId="10" applyFont="1" applyFill="1" applyAlignment="1">
      <alignment vertical="center"/>
    </xf>
    <xf numFmtId="0" fontId="68" fillId="0" borderId="0" xfId="10" applyFont="1" applyFill="1" applyBorder="1" applyAlignment="1">
      <alignment horizontal="left"/>
    </xf>
    <xf numFmtId="0" fontId="66" fillId="0" borderId="0" xfId="10" applyFont="1" applyFill="1" applyBorder="1" applyAlignment="1">
      <alignment vertical="center"/>
    </xf>
    <xf numFmtId="0" fontId="66" fillId="0" borderId="0" xfId="10" applyFont="1" applyFill="1" applyBorder="1" applyAlignment="1">
      <alignment horizontal="right" vertical="center"/>
    </xf>
    <xf numFmtId="0" fontId="66" fillId="0" borderId="0" xfId="10" applyFont="1" applyFill="1" applyAlignment="1">
      <alignment horizontal="left" vertical="center"/>
    </xf>
    <xf numFmtId="49" fontId="66" fillId="0" borderId="0" xfId="10" applyNumberFormat="1" applyFont="1" applyFill="1" applyAlignment="1">
      <alignment horizontal="left" vertical="center"/>
    </xf>
    <xf numFmtId="0" fontId="66" fillId="0" borderId="0" xfId="10" applyFont="1" applyFill="1" applyAlignment="1">
      <alignment horizontal="right" vertical="center"/>
    </xf>
    <xf numFmtId="3" fontId="66" fillId="0" borderId="0" xfId="10" applyNumberFormat="1" applyFont="1" applyFill="1" applyAlignment="1">
      <alignment vertical="center"/>
    </xf>
    <xf numFmtId="3" fontId="66" fillId="0" borderId="0" xfId="10" applyNumberFormat="1" applyFont="1" applyFill="1" applyBorder="1" applyAlignment="1">
      <alignment vertical="center"/>
    </xf>
    <xf numFmtId="0" fontId="68" fillId="0" borderId="0" xfId="10" applyFont="1" applyFill="1" applyBorder="1" applyAlignment="1">
      <alignment horizontal="left" vertical="center"/>
    </xf>
    <xf numFmtId="0" fontId="66" fillId="0" borderId="0" xfId="10" applyFont="1" applyFill="1" applyAlignment="1">
      <alignment horizontal="center" vertical="center"/>
    </xf>
    <xf numFmtId="0" fontId="66" fillId="0" borderId="0" xfId="10" applyFont="1" applyFill="1" applyAlignment="1">
      <alignment vertical="center" wrapText="1"/>
    </xf>
    <xf numFmtId="0" fontId="66" fillId="0" borderId="0" xfId="10" applyFont="1" applyFill="1" applyAlignment="1">
      <alignment horizontal="center" vertical="top"/>
    </xf>
    <xf numFmtId="0" fontId="66" fillId="0" borderId="0" xfId="10" applyFont="1" applyFill="1" applyAlignment="1">
      <alignment vertical="top" wrapText="1"/>
    </xf>
    <xf numFmtId="0" fontId="66" fillId="0" borderId="0" xfId="10" applyFont="1" applyFill="1" applyBorder="1" applyAlignment="1">
      <alignment horizontal="right" vertical="top"/>
    </xf>
    <xf numFmtId="1" fontId="66" fillId="0" borderId="0" xfId="10" applyNumberFormat="1" applyFont="1" applyFill="1" applyAlignment="1">
      <alignment horizontal="center" vertical="center"/>
    </xf>
    <xf numFmtId="1" fontId="66" fillId="0" borderId="0" xfId="10" applyNumberFormat="1" applyFont="1" applyFill="1" applyAlignment="1">
      <alignment horizontal="left" vertical="center"/>
    </xf>
    <xf numFmtId="38" fontId="66" fillId="0" borderId="0" xfId="10" applyNumberFormat="1" applyFont="1" applyFill="1" applyAlignment="1">
      <alignment horizontal="right"/>
    </xf>
    <xf numFmtId="0" fontId="66" fillId="0" borderId="0" xfId="10" quotePrefix="1" applyFont="1" applyFill="1" applyAlignment="1">
      <alignment horizontal="left" vertical="center" wrapText="1"/>
    </xf>
    <xf numFmtId="167" fontId="66" fillId="0" borderId="0" xfId="10" applyNumberFormat="1" applyFont="1" applyFill="1" applyBorder="1" applyAlignment="1" applyProtection="1">
      <alignment horizontal="right" vertical="center"/>
    </xf>
    <xf numFmtId="0" fontId="66" fillId="0" borderId="0" xfId="10" applyFont="1" applyFill="1" applyAlignment="1">
      <alignment horizontal="left" vertical="center" wrapText="1"/>
    </xf>
    <xf numFmtId="49" fontId="66" fillId="0" borderId="0" xfId="10" applyNumberFormat="1" applyFont="1" applyFill="1" applyAlignment="1">
      <alignment horizontal="center" vertical="center"/>
    </xf>
    <xf numFmtId="3" fontId="66" fillId="0" borderId="0" xfId="10" quotePrefix="1" applyNumberFormat="1" applyFont="1" applyFill="1" applyAlignment="1">
      <alignment horizontal="left" vertical="center" wrapText="1"/>
    </xf>
    <xf numFmtId="3" fontId="66" fillId="0" borderId="0" xfId="10" applyNumberFormat="1" applyFont="1" applyFill="1" applyAlignment="1">
      <alignment vertical="center" wrapText="1"/>
    </xf>
    <xf numFmtId="0" fontId="66" fillId="0" borderId="0" xfId="10" applyNumberFormat="1" applyFont="1" applyFill="1" applyAlignment="1">
      <alignment horizontal="center" vertical="center"/>
    </xf>
    <xf numFmtId="3" fontId="66" fillId="0" borderId="0" xfId="10" applyNumberFormat="1" applyFont="1" applyFill="1" applyAlignment="1">
      <alignment horizontal="center" vertical="center" wrapText="1"/>
    </xf>
    <xf numFmtId="3" fontId="66" fillId="0" borderId="0" xfId="10" applyNumberFormat="1" applyFont="1" applyAlignment="1">
      <alignment vertical="center"/>
    </xf>
    <xf numFmtId="3" fontId="66" fillId="0" borderId="0" xfId="10" applyNumberFormat="1" applyFont="1" applyFill="1" applyAlignment="1">
      <alignment horizontal="left" vertical="center" wrapText="1"/>
    </xf>
    <xf numFmtId="0" fontId="66" fillId="0" borderId="0" xfId="10" applyFont="1" applyAlignment="1">
      <alignment horizontal="left" vertical="center"/>
    </xf>
    <xf numFmtId="0" fontId="66" fillId="0" borderId="0" xfId="10" applyFont="1" applyAlignment="1">
      <alignment horizontal="center" vertical="center"/>
    </xf>
    <xf numFmtId="0" fontId="66" fillId="0" borderId="0" xfId="10" applyFont="1" applyFill="1" applyAlignment="1">
      <alignment horizontal="left" vertical="top"/>
    </xf>
    <xf numFmtId="49" fontId="66" fillId="0" borderId="0" xfId="10" applyNumberFormat="1" applyFont="1" applyFill="1" applyAlignment="1">
      <alignment horizontal="center" vertical="top"/>
    </xf>
    <xf numFmtId="3" fontId="66" fillId="0" borderId="0" xfId="10" applyNumberFormat="1" applyFont="1" applyFill="1" applyAlignment="1">
      <alignment horizontal="left" vertical="top" wrapText="1"/>
    </xf>
    <xf numFmtId="40" fontId="66" fillId="0" borderId="9" xfId="10" applyNumberFormat="1" applyFont="1" applyFill="1" applyBorder="1" applyAlignment="1" applyProtection="1">
      <alignment horizontal="right"/>
      <protection locked="0"/>
    </xf>
    <xf numFmtId="0" fontId="66" fillId="0" borderId="0" xfId="10" applyFont="1" applyFill="1" applyBorder="1" applyAlignment="1">
      <alignment horizontal="left" vertical="center"/>
    </xf>
    <xf numFmtId="0" fontId="68" fillId="0" borderId="0" xfId="10" quotePrefix="1" applyFont="1" applyFill="1" applyAlignment="1">
      <alignment horizontal="left" vertical="center"/>
    </xf>
    <xf numFmtId="0" fontId="68" fillId="0" borderId="0" xfId="10" applyFont="1" applyFill="1" applyAlignment="1">
      <alignment horizontal="right" vertical="center"/>
    </xf>
    <xf numFmtId="4" fontId="68" fillId="0" borderId="0" xfId="10" applyNumberFormat="1" applyFont="1" applyFill="1" applyBorder="1" applyAlignment="1" applyProtection="1">
      <alignment vertical="center"/>
    </xf>
    <xf numFmtId="0" fontId="66" fillId="0" borderId="0" xfId="10" applyFont="1" applyFill="1" applyAlignment="1" applyProtection="1">
      <alignment horizontal="left" vertical="center"/>
    </xf>
    <xf numFmtId="0" fontId="68" fillId="0" borderId="0" xfId="11" applyFont="1" applyFill="1" applyBorder="1" applyAlignment="1">
      <alignment vertical="center"/>
    </xf>
    <xf numFmtId="0" fontId="66" fillId="0" borderId="0" xfId="11" applyFont="1" applyFill="1" applyBorder="1" applyAlignment="1">
      <alignment vertical="center"/>
    </xf>
    <xf numFmtId="0" fontId="66" fillId="0" borderId="0" xfId="11" applyFont="1" applyFill="1" applyBorder="1" applyAlignment="1">
      <alignment horizontal="right" vertical="center"/>
    </xf>
    <xf numFmtId="0" fontId="89" fillId="0" borderId="0" xfId="0" quotePrefix="1" applyFont="1" applyFill="1" applyBorder="1" applyAlignment="1">
      <alignment horizontal="left" vertical="center"/>
    </xf>
    <xf numFmtId="0" fontId="66" fillId="0" borderId="0" xfId="11" applyFont="1" applyFill="1" applyAlignment="1">
      <alignment horizontal="left" vertical="center"/>
    </xf>
    <xf numFmtId="49" fontId="66" fillId="0" borderId="0" xfId="11" applyNumberFormat="1" applyFont="1" applyFill="1" applyAlignment="1">
      <alignment horizontal="left" vertical="center"/>
    </xf>
    <xf numFmtId="0" fontId="66" fillId="0" borderId="0" xfId="11" applyFont="1" applyFill="1" applyAlignment="1">
      <alignment horizontal="center" vertical="center"/>
    </xf>
    <xf numFmtId="0" fontId="66" fillId="0" borderId="0" xfId="11" applyFont="1" applyFill="1" applyAlignment="1">
      <alignment vertical="center" wrapText="1"/>
    </xf>
    <xf numFmtId="0" fontId="66" fillId="0" borderId="0" xfId="11" applyFont="1" applyFill="1" applyAlignment="1">
      <alignment vertical="center"/>
    </xf>
    <xf numFmtId="0" fontId="66" fillId="0" borderId="0" xfId="11" applyNumberFormat="1" applyFont="1" applyFill="1" applyAlignment="1">
      <alignment horizontal="center" vertical="center"/>
    </xf>
    <xf numFmtId="3" fontId="66" fillId="0" borderId="0" xfId="11" applyNumberFormat="1" applyFont="1" applyFill="1" applyAlignment="1">
      <alignment vertical="center"/>
    </xf>
    <xf numFmtId="0" fontId="66" fillId="0" borderId="0" xfId="11" applyFont="1" applyFill="1" applyAlignment="1">
      <alignment horizontal="center" vertical="top"/>
    </xf>
    <xf numFmtId="3" fontId="66" fillId="0" borderId="0" xfId="11" applyNumberFormat="1" applyFont="1" applyFill="1" applyBorder="1" applyAlignment="1">
      <alignment vertical="center"/>
    </xf>
    <xf numFmtId="38" fontId="66" fillId="0" borderId="0" xfId="11" applyNumberFormat="1" applyFont="1" applyFill="1" applyAlignment="1">
      <alignment horizontal="left" vertical="center" wrapText="1"/>
    </xf>
    <xf numFmtId="0" fontId="66" fillId="0" borderId="0" xfId="11" applyFont="1" applyFill="1" applyAlignment="1">
      <alignment horizontal="left" vertical="center" wrapText="1"/>
    </xf>
    <xf numFmtId="0" fontId="66" fillId="0" borderId="0" xfId="11" quotePrefix="1" applyFont="1" applyFill="1" applyAlignment="1">
      <alignment horizontal="left" vertical="center" wrapText="1"/>
    </xf>
    <xf numFmtId="1" fontId="66" fillId="0" borderId="0" xfId="11" applyNumberFormat="1" applyFont="1" applyFill="1" applyAlignment="1">
      <alignment horizontal="center" vertical="center"/>
    </xf>
    <xf numFmtId="0" fontId="66" fillId="0" borderId="0" xfId="11" quotePrefix="1" applyFont="1" applyFill="1" applyAlignment="1">
      <alignment horizontal="left" vertical="center"/>
    </xf>
    <xf numFmtId="1" fontId="66" fillId="0" borderId="0" xfId="11" quotePrefix="1" applyNumberFormat="1" applyFont="1" applyFill="1" applyAlignment="1">
      <alignment horizontal="center" vertical="center"/>
    </xf>
    <xf numFmtId="0" fontId="66" fillId="0" borderId="0" xfId="11" applyFont="1" applyFill="1" applyAlignment="1">
      <alignment horizontal="left" vertical="top"/>
    </xf>
    <xf numFmtId="1" fontId="66" fillId="0" borderId="0" xfId="11" applyNumberFormat="1" applyFont="1" applyFill="1" applyAlignment="1">
      <alignment horizontal="center" vertical="top"/>
    </xf>
    <xf numFmtId="0" fontId="66" fillId="0" borderId="0" xfId="11" applyFont="1" applyFill="1" applyAlignment="1">
      <alignment vertical="top" wrapText="1"/>
    </xf>
    <xf numFmtId="0" fontId="66" fillId="0" borderId="0" xfId="11" applyFont="1" applyFill="1" applyBorder="1" applyAlignment="1">
      <alignment horizontal="right" vertical="top"/>
    </xf>
    <xf numFmtId="0" fontId="66" fillId="0" borderId="0" xfId="11" applyFont="1" applyAlignment="1">
      <alignment horizontal="left" vertical="center"/>
    </xf>
    <xf numFmtId="1" fontId="66" fillId="0" borderId="0" xfId="11" applyNumberFormat="1" applyFont="1" applyAlignment="1">
      <alignment horizontal="center" vertical="center"/>
    </xf>
    <xf numFmtId="0" fontId="66" fillId="0" borderId="0" xfId="11" applyFont="1" applyAlignment="1">
      <alignment vertical="center" wrapText="1"/>
    </xf>
    <xf numFmtId="0" fontId="66" fillId="0" borderId="0" xfId="11" applyFont="1" applyAlignment="1">
      <alignment vertical="center"/>
    </xf>
    <xf numFmtId="167" fontId="66" fillId="0" borderId="0" xfId="11" applyNumberFormat="1" applyFont="1" applyFill="1" applyBorder="1" applyAlignment="1" applyProtection="1">
      <alignment horizontal="right" vertical="center"/>
    </xf>
    <xf numFmtId="0" fontId="66" fillId="0" borderId="0" xfId="11" applyFont="1" applyAlignment="1">
      <alignment horizontal="center" vertical="center"/>
    </xf>
    <xf numFmtId="0" fontId="66" fillId="0" borderId="0" xfId="11" applyFont="1" applyAlignment="1">
      <alignment horizontal="left" vertical="center" wrapText="1"/>
    </xf>
    <xf numFmtId="49" fontId="66" fillId="4" borderId="0" xfId="11" applyNumberFormat="1" applyFont="1" applyFill="1" applyBorder="1" applyAlignment="1">
      <alignment horizontal="left" vertical="center"/>
    </xf>
    <xf numFmtId="49" fontId="66" fillId="4" borderId="0" xfId="11" applyNumberFormat="1" applyFont="1" applyFill="1" applyBorder="1" applyAlignment="1">
      <alignment horizontal="center" vertical="center"/>
    </xf>
    <xf numFmtId="0" fontId="66" fillId="4" borderId="0" xfId="11" applyNumberFormat="1" applyFont="1" applyFill="1" applyBorder="1" applyAlignment="1">
      <alignment vertical="center" wrapText="1"/>
    </xf>
    <xf numFmtId="49" fontId="66" fillId="4" borderId="0" xfId="11" applyNumberFormat="1" applyFont="1" applyFill="1" applyBorder="1" applyAlignment="1">
      <alignment horizontal="right" vertical="center"/>
    </xf>
    <xf numFmtId="49" fontId="66" fillId="0" borderId="0" xfId="11" applyNumberFormat="1" applyFont="1" applyFill="1" applyBorder="1" applyAlignment="1">
      <alignment horizontal="left" vertical="center"/>
    </xf>
    <xf numFmtId="49" fontId="66" fillId="0" borderId="0" xfId="11" applyNumberFormat="1" applyFont="1" applyFill="1" applyBorder="1" applyAlignment="1">
      <alignment horizontal="left" vertical="center" wrapText="1"/>
    </xf>
    <xf numFmtId="49" fontId="66" fillId="0" borderId="0" xfId="11" applyNumberFormat="1" applyFont="1" applyFill="1" applyBorder="1" applyAlignment="1">
      <alignment horizontal="center" vertical="center"/>
    </xf>
    <xf numFmtId="0" fontId="66" fillId="0" borderId="0" xfId="11" applyNumberFormat="1" applyFont="1" applyFill="1" applyBorder="1" applyAlignment="1">
      <alignment vertical="center" wrapText="1"/>
    </xf>
    <xf numFmtId="49" fontId="66" fillId="0" borderId="0" xfId="11" applyNumberFormat="1" applyFont="1" applyFill="1" applyBorder="1" applyAlignment="1">
      <alignment horizontal="right" vertical="center"/>
    </xf>
    <xf numFmtId="0" fontId="66" fillId="0" borderId="0" xfId="11" applyFont="1" applyBorder="1" applyAlignment="1">
      <alignment vertical="center"/>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1" applyFont="1" applyBorder="1" applyAlignment="1">
      <alignment horizontal="left" vertical="center"/>
    </xf>
    <xf numFmtId="0" fontId="66" fillId="0" borderId="0" xfId="11" quotePrefix="1" applyFont="1" applyAlignment="1">
      <alignment horizontal="left" vertical="top"/>
    </xf>
    <xf numFmtId="0" fontId="66" fillId="0" borderId="0" xfId="11" applyFont="1" applyAlignment="1">
      <alignment horizontal="right" vertical="center"/>
    </xf>
    <xf numFmtId="38" fontId="66" fillId="0" borderId="0" xfId="11" applyNumberFormat="1" applyFont="1" applyFill="1" applyAlignment="1">
      <alignment horizontal="right"/>
    </xf>
    <xf numFmtId="0" fontId="66" fillId="0" borderId="0" xfId="11" applyFont="1" applyAlignment="1" applyProtection="1">
      <alignment vertical="center"/>
    </xf>
    <xf numFmtId="0" fontId="58" fillId="6" borderId="12" xfId="0" applyFont="1" applyFill="1" applyBorder="1" applyAlignment="1">
      <alignment horizontal="left"/>
    </xf>
    <xf numFmtId="0" fontId="58" fillId="6" borderId="16" xfId="0" applyFont="1" applyFill="1" applyBorder="1"/>
    <xf numFmtId="0" fontId="61" fillId="6" borderId="16" xfId="0" applyFont="1" applyFill="1" applyBorder="1"/>
    <xf numFmtId="0" fontId="61" fillId="6" borderId="10" xfId="0" applyFont="1" applyFill="1" applyBorder="1"/>
    <xf numFmtId="0" fontId="58" fillId="6" borderId="0" xfId="0" applyFont="1" applyFill="1" applyBorder="1" applyAlignment="1"/>
    <xf numFmtId="0" fontId="58" fillId="6" borderId="0" xfId="0" applyFont="1" applyFill="1" applyBorder="1"/>
    <xf numFmtId="0" fontId="61" fillId="6" borderId="0" xfId="0" applyFont="1" applyFill="1" applyBorder="1"/>
    <xf numFmtId="0" fontId="61" fillId="6" borderId="18" xfId="0" applyFont="1" applyFill="1" applyBorder="1"/>
    <xf numFmtId="0" fontId="91" fillId="6" borderId="0" xfId="0" applyFont="1" applyFill="1" applyAlignment="1">
      <alignment horizontal="left"/>
    </xf>
    <xf numFmtId="0" fontId="61" fillId="6" borderId="0" xfId="0" applyFont="1" applyFill="1" applyAlignment="1"/>
    <xf numFmtId="0" fontId="61" fillId="6" borderId="0" xfId="0" applyFont="1" applyFill="1" applyBorder="1" applyAlignment="1">
      <alignment vertical="center"/>
    </xf>
    <xf numFmtId="0" fontId="61" fillId="6" borderId="0" xfId="0" applyFont="1" applyFill="1" applyBorder="1" applyAlignment="1">
      <alignment horizontal="left" vertical="center"/>
    </xf>
    <xf numFmtId="0" fontId="61" fillId="6" borderId="18" xfId="0" applyFont="1" applyFill="1" applyBorder="1" applyAlignment="1">
      <alignment horizontal="left" vertical="center"/>
    </xf>
    <xf numFmtId="0" fontId="58" fillId="6" borderId="12" xfId="0" applyFont="1" applyFill="1" applyBorder="1" applyAlignment="1" applyProtection="1">
      <alignment vertical="center"/>
    </xf>
    <xf numFmtId="0" fontId="68" fillId="6" borderId="16" xfId="0" applyFont="1" applyFill="1" applyBorder="1" applyAlignment="1" applyProtection="1">
      <alignment vertical="center"/>
    </xf>
    <xf numFmtId="0" fontId="61" fillId="6" borderId="16" xfId="0" applyFont="1" applyFill="1" applyBorder="1" applyAlignment="1" applyProtection="1">
      <alignment vertical="center"/>
    </xf>
    <xf numFmtId="0" fontId="61" fillId="0" borderId="17" xfId="0" applyFont="1" applyFill="1" applyBorder="1" applyAlignment="1" applyProtection="1">
      <alignment vertical="center"/>
    </xf>
    <xf numFmtId="0" fontId="61" fillId="0" borderId="18" xfId="0" applyFont="1" applyFill="1" applyBorder="1" applyAlignment="1" applyProtection="1">
      <alignment vertical="center"/>
    </xf>
    <xf numFmtId="0" fontId="66" fillId="0" borderId="13" xfId="0" applyFont="1" applyBorder="1" applyAlignment="1" applyProtection="1">
      <alignment horizontal="left" vertical="center" indent="1"/>
    </xf>
    <xf numFmtId="0" fontId="61" fillId="0" borderId="21" xfId="0" applyFont="1" applyBorder="1" applyAlignment="1" applyProtection="1">
      <alignment vertical="center"/>
    </xf>
    <xf numFmtId="0" fontId="66" fillId="0" borderId="14" xfId="0" applyFont="1" applyBorder="1" applyAlignment="1" applyProtection="1">
      <alignment horizontal="right" vertical="center"/>
    </xf>
    <xf numFmtId="38" fontId="59" fillId="0" borderId="13" xfId="0" applyNumberFormat="1" applyFont="1" applyBorder="1" applyAlignment="1" applyProtection="1">
      <alignment vertical="center"/>
      <protection locked="0"/>
    </xf>
    <xf numFmtId="0" fontId="66" fillId="0" borderId="17" xfId="0" applyFont="1" applyFill="1" applyBorder="1" applyAlignment="1" applyProtection="1">
      <alignment horizontal="center" vertical="center"/>
    </xf>
    <xf numFmtId="38" fontId="59" fillId="0" borderId="18" xfId="0" applyNumberFormat="1" applyFont="1" applyFill="1" applyBorder="1" applyAlignment="1" applyProtection="1">
      <alignment vertical="center"/>
    </xf>
    <xf numFmtId="0" fontId="77" fillId="0" borderId="21" xfId="0" applyFont="1" applyBorder="1" applyAlignment="1" applyProtection="1">
      <alignment vertical="center"/>
    </xf>
    <xf numFmtId="38" fontId="59" fillId="19" borderId="13" xfId="0" applyNumberFormat="1" applyFont="1" applyFill="1" applyBorder="1" applyAlignment="1" applyProtection="1">
      <protection locked="0"/>
    </xf>
    <xf numFmtId="38" fontId="59" fillId="0" borderId="18" xfId="0" applyNumberFormat="1" applyFont="1" applyFill="1" applyBorder="1" applyAlignment="1" applyProtection="1"/>
    <xf numFmtId="0" fontId="66" fillId="0" borderId="19" xfId="0" applyFont="1" applyFill="1" applyBorder="1" applyAlignment="1" applyProtection="1">
      <alignment horizontal="center" vertical="center"/>
    </xf>
    <xf numFmtId="38" fontId="59" fillId="0" borderId="11" xfId="0" applyNumberFormat="1" applyFont="1" applyFill="1" applyBorder="1" applyAlignment="1" applyProtection="1">
      <alignment vertical="center"/>
    </xf>
    <xf numFmtId="0" fontId="61" fillId="6" borderId="10" xfId="0" applyFont="1" applyFill="1" applyBorder="1" applyAlignment="1" applyProtection="1">
      <alignment vertical="center"/>
    </xf>
    <xf numFmtId="0" fontId="58" fillId="6" borderId="19" xfId="0" applyFont="1" applyFill="1" applyBorder="1" applyAlignment="1">
      <alignment vertical="center"/>
    </xf>
    <xf numFmtId="0" fontId="69" fillId="6" borderId="20" xfId="0" applyFont="1" applyFill="1" applyBorder="1" applyAlignment="1">
      <alignment horizontal="left" vertical="center" indent="1"/>
    </xf>
    <xf numFmtId="0" fontId="61" fillId="6" borderId="20" xfId="0" applyFont="1" applyFill="1" applyBorder="1" applyAlignment="1">
      <alignment horizontal="left" vertical="center"/>
    </xf>
    <xf numFmtId="0" fontId="61" fillId="0" borderId="17" xfId="0" applyFont="1" applyBorder="1"/>
    <xf numFmtId="0" fontId="59" fillId="0" borderId="0" xfId="0" applyNumberFormat="1" applyFont="1" applyFill="1" applyBorder="1" applyAlignment="1">
      <alignment horizontal="left" vertical="center"/>
    </xf>
    <xf numFmtId="0" fontId="59" fillId="0" borderId="17" xfId="0" applyFont="1" applyBorder="1"/>
    <xf numFmtId="0" fontId="66" fillId="0" borderId="17" xfId="0" applyFont="1" applyBorder="1"/>
    <xf numFmtId="0" fontId="68" fillId="0" borderId="0" xfId="0" applyFont="1" applyBorder="1" applyAlignment="1">
      <alignment horizontal="center"/>
    </xf>
    <xf numFmtId="0" fontId="68" fillId="0" borderId="13" xfId="0" applyFont="1" applyBorder="1" applyAlignment="1">
      <alignment horizontal="left"/>
    </xf>
    <xf numFmtId="0" fontId="68" fillId="0" borderId="14" xfId="0" applyFont="1" applyBorder="1" applyAlignment="1">
      <alignment horizontal="left" indent="1"/>
    </xf>
    <xf numFmtId="49" fontId="66" fillId="0" borderId="2" xfId="0" applyNumberFormat="1" applyFont="1" applyBorder="1" applyAlignment="1">
      <alignment horizontal="center"/>
    </xf>
    <xf numFmtId="0" fontId="66" fillId="0" borderId="2" xfId="0" applyFont="1" applyBorder="1" applyAlignment="1">
      <alignment horizontal="center"/>
    </xf>
    <xf numFmtId="0" fontId="66" fillId="0" borderId="13" xfId="0" applyFont="1" applyBorder="1" applyAlignment="1">
      <alignment horizontal="left" indent="1"/>
    </xf>
    <xf numFmtId="0" fontId="66" fillId="0" borderId="14" xfId="0" applyFont="1" applyBorder="1" applyAlignment="1">
      <alignment horizontal="left" indent="2"/>
    </xf>
    <xf numFmtId="0" fontId="68" fillId="0" borderId="14" xfId="0" applyFont="1" applyBorder="1" applyAlignment="1">
      <alignment horizontal="left" indent="2"/>
    </xf>
    <xf numFmtId="0" fontId="66" fillId="0" borderId="14" xfId="0" applyFont="1" applyBorder="1" applyAlignment="1">
      <alignment horizontal="left" indent="4"/>
    </xf>
    <xf numFmtId="0" fontId="68" fillId="7" borderId="13" xfId="0" applyFont="1" applyFill="1" applyBorder="1" applyAlignment="1">
      <alignment horizontal="left" indent="2"/>
    </xf>
    <xf numFmtId="0" fontId="68" fillId="7" borderId="14" xfId="0" applyFont="1" applyFill="1" applyBorder="1" applyAlignment="1">
      <alignment horizontal="left" indent="2"/>
    </xf>
    <xf numFmtId="0" fontId="66" fillId="7" borderId="2" xfId="0" applyFont="1" applyFill="1" applyBorder="1"/>
    <xf numFmtId="0" fontId="59" fillId="0" borderId="18" xfId="0" applyFont="1" applyBorder="1"/>
    <xf numFmtId="0" fontId="68" fillId="0" borderId="20" xfId="0" applyFont="1" applyBorder="1" applyAlignment="1">
      <alignment horizontal="centerContinuous"/>
    </xf>
    <xf numFmtId="0" fontId="59" fillId="0" borderId="11" xfId="0" applyFont="1" applyBorder="1" applyAlignment="1">
      <alignment horizontal="centerContinuous"/>
    </xf>
    <xf numFmtId="0" fontId="61" fillId="0" borderId="19" xfId="0" applyFont="1" applyBorder="1"/>
    <xf numFmtId="0" fontId="61" fillId="0" borderId="20" xfId="0" applyFont="1" applyBorder="1"/>
    <xf numFmtId="0" fontId="59" fillId="0" borderId="19" xfId="0" applyFont="1" applyBorder="1"/>
    <xf numFmtId="0" fontId="59" fillId="0" borderId="11" xfId="0" applyFont="1" applyBorder="1"/>
    <xf numFmtId="0" fontId="66" fillId="0" borderId="0" xfId="3" applyNumberFormat="1" applyFont="1" applyBorder="1" applyAlignment="1">
      <alignment vertical="center"/>
    </xf>
    <xf numFmtId="0" fontId="61" fillId="0" borderId="0" xfId="3" applyNumberFormat="1" applyFont="1" applyBorder="1" applyAlignment="1">
      <alignment vertical="center"/>
    </xf>
    <xf numFmtId="0" fontId="61" fillId="0" borderId="0" xfId="3" applyNumberFormat="1" applyFont="1" applyAlignment="1">
      <alignment vertical="center"/>
    </xf>
    <xf numFmtId="0" fontId="66" fillId="0" borderId="0" xfId="3" applyNumberFormat="1" applyFont="1" applyAlignment="1">
      <alignment vertical="center"/>
    </xf>
    <xf numFmtId="0" fontId="68" fillId="0" borderId="0" xfId="3" applyNumberFormat="1" applyFont="1" applyAlignment="1">
      <alignment horizontal="center" vertical="center"/>
    </xf>
    <xf numFmtId="0" fontId="68" fillId="0" borderId="0" xfId="3" applyNumberFormat="1" applyFont="1" applyBorder="1" applyAlignment="1">
      <alignment horizontal="left" vertical="center"/>
    </xf>
    <xf numFmtId="0" fontId="66" fillId="0" borderId="0" xfId="3" applyNumberFormat="1" applyFont="1" applyAlignment="1">
      <alignment horizontal="center" vertical="center"/>
    </xf>
    <xf numFmtId="0" fontId="66" fillId="0" borderId="17" xfId="3" applyNumberFormat="1" applyFont="1" applyBorder="1" applyAlignment="1">
      <alignment horizontal="center" vertical="center"/>
    </xf>
    <xf numFmtId="0" fontId="66" fillId="0" borderId="0" xfId="3" applyNumberFormat="1" applyFont="1" applyBorder="1" applyAlignment="1">
      <alignment horizontal="right" vertical="center" indent="1"/>
    </xf>
    <xf numFmtId="0" fontId="61" fillId="0" borderId="17" xfId="3" applyNumberFormat="1" applyFont="1" applyBorder="1" applyAlignment="1">
      <alignment vertical="center"/>
    </xf>
    <xf numFmtId="0" fontId="61" fillId="0" borderId="19" xfId="3" applyNumberFormat="1" applyFont="1" applyBorder="1" applyAlignment="1">
      <alignment vertical="center"/>
    </xf>
    <xf numFmtId="0" fontId="61" fillId="0" borderId="20" xfId="3" applyNumberFormat="1" applyFont="1" applyBorder="1" applyAlignment="1">
      <alignment vertical="center"/>
    </xf>
    <xf numFmtId="0" fontId="61" fillId="0" borderId="12" xfId="3" applyNumberFormat="1" applyFont="1" applyBorder="1" applyAlignment="1">
      <alignment vertical="center"/>
    </xf>
    <xf numFmtId="0" fontId="61" fillId="0" borderId="16" xfId="3" applyNumberFormat="1" applyFont="1" applyBorder="1" applyAlignment="1">
      <alignment vertical="center"/>
    </xf>
    <xf numFmtId="0" fontId="61" fillId="0" borderId="3" xfId="3" applyNumberFormat="1" applyFont="1" applyBorder="1" applyAlignment="1">
      <alignment vertical="center"/>
    </xf>
    <xf numFmtId="0" fontId="61" fillId="0" borderId="16" xfId="3" applyNumberFormat="1" applyFont="1" applyFill="1" applyBorder="1" applyAlignment="1">
      <alignment horizontal="centerContinuous" vertical="center"/>
    </xf>
    <xf numFmtId="0" fontId="61" fillId="0" borderId="10" xfId="3" applyNumberFormat="1" applyFont="1" applyFill="1" applyBorder="1" applyAlignment="1">
      <alignment horizontal="centerContinuous" vertical="center"/>
    </xf>
    <xf numFmtId="0" fontId="59" fillId="0" borderId="17" xfId="3" applyNumberFormat="1" applyFont="1" applyFill="1" applyBorder="1" applyAlignment="1">
      <alignment vertical="center"/>
    </xf>
    <xf numFmtId="0" fontId="59" fillId="0" borderId="0" xfId="3" applyNumberFormat="1" applyFont="1" applyFill="1" applyBorder="1" applyAlignment="1">
      <alignment vertical="center"/>
    </xf>
    <xf numFmtId="0" fontId="59" fillId="0" borderId="0" xfId="3" applyNumberFormat="1" applyFont="1" applyFill="1" applyBorder="1" applyAlignment="1">
      <alignment horizontal="center" vertical="center"/>
    </xf>
    <xf numFmtId="0" fontId="59" fillId="0" borderId="26" xfId="3" applyNumberFormat="1" applyFont="1" applyFill="1" applyBorder="1" applyAlignment="1">
      <alignment vertical="center"/>
    </xf>
    <xf numFmtId="0" fontId="68" fillId="0" borderId="10" xfId="3" applyNumberFormat="1" applyFont="1" applyBorder="1" applyAlignment="1">
      <alignment horizontal="center" vertical="center"/>
    </xf>
    <xf numFmtId="0" fontId="68" fillId="0" borderId="3"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59" fillId="0" borderId="0" xfId="3" applyNumberFormat="1" applyFont="1" applyAlignment="1">
      <alignment vertical="center"/>
    </xf>
    <xf numFmtId="0" fontId="68" fillId="0" borderId="4" xfId="3" applyNumberFormat="1" applyFont="1" applyBorder="1" applyAlignment="1">
      <alignment horizontal="center" vertical="center" wrapText="1"/>
    </xf>
    <xf numFmtId="0" fontId="68" fillId="0" borderId="4" xfId="3" applyNumberFormat="1" applyFont="1" applyBorder="1" applyAlignment="1">
      <alignment horizontal="center" vertical="center"/>
    </xf>
    <xf numFmtId="164" fontId="68" fillId="0" borderId="13" xfId="3" applyNumberFormat="1" applyFont="1" applyBorder="1" applyAlignment="1">
      <alignment horizontal="right" vertical="center"/>
    </xf>
    <xf numFmtId="0" fontId="66" fillId="0" borderId="21" xfId="3" applyNumberFormat="1" applyFont="1" applyBorder="1" applyAlignment="1">
      <alignment horizontal="left" vertical="center"/>
    </xf>
    <xf numFmtId="0" fontId="61" fillId="0" borderId="14" xfId="3" applyNumberFormat="1" applyFont="1" applyBorder="1" applyAlignment="1">
      <alignment horizontal="left" vertical="center"/>
    </xf>
    <xf numFmtId="0" fontId="66" fillId="0" borderId="2" xfId="3" applyNumberFormat="1" applyFont="1" applyBorder="1" applyAlignment="1">
      <alignment horizontal="left" vertical="center" indent="1"/>
    </xf>
    <xf numFmtId="0" fontId="59" fillId="15" borderId="2" xfId="3" applyNumberFormat="1" applyFont="1" applyFill="1" applyBorder="1" applyAlignment="1">
      <alignment vertical="center"/>
    </xf>
    <xf numFmtId="38" fontId="59" fillId="0" borderId="2" xfId="3" applyNumberFormat="1" applyFont="1" applyBorder="1" applyAlignment="1" applyProtection="1">
      <alignment vertical="center"/>
      <protection locked="0"/>
    </xf>
    <xf numFmtId="0" fontId="66" fillId="0" borderId="2" xfId="3" applyNumberFormat="1" applyFont="1" applyBorder="1" applyAlignment="1">
      <alignment horizontal="left" vertical="top" indent="1"/>
    </xf>
    <xf numFmtId="164" fontId="68" fillId="0" borderId="13" xfId="3" applyNumberFormat="1" applyFont="1" applyBorder="1" applyAlignment="1">
      <alignment vertical="top"/>
    </xf>
    <xf numFmtId="38" fontId="59" fillId="0" borderId="2" xfId="3" applyNumberFormat="1" applyFont="1" applyFill="1" applyBorder="1" applyAlignment="1" applyProtection="1">
      <alignment vertical="center"/>
      <protection locked="0"/>
    </xf>
    <xf numFmtId="0" fontId="68" fillId="0" borderId="21" xfId="3" applyNumberFormat="1" applyFont="1" applyBorder="1" applyAlignment="1">
      <alignment horizontal="left" vertical="center"/>
    </xf>
    <xf numFmtId="0" fontId="66" fillId="0" borderId="14" xfId="3" applyNumberFormat="1" applyFont="1" applyBorder="1" applyAlignment="1">
      <alignment horizontal="center" vertical="center"/>
    </xf>
    <xf numFmtId="0" fontId="59" fillId="15" borderId="4" xfId="3" applyNumberFormat="1" applyFont="1" applyFill="1" applyBorder="1" applyAlignment="1">
      <alignment vertical="center"/>
    </xf>
    <xf numFmtId="0" fontId="61" fillId="0" borderId="0" xfId="3" applyNumberFormat="1" applyFont="1" applyAlignment="1">
      <alignment horizontal="right" vertical="center"/>
    </xf>
    <xf numFmtId="0" fontId="69" fillId="0" borderId="0" xfId="3" applyNumberFormat="1" applyFont="1" applyAlignment="1">
      <alignment vertical="center"/>
    </xf>
    <xf numFmtId="0" fontId="77" fillId="0" borderId="0" xfId="3" applyNumberFormat="1" applyFont="1" applyAlignment="1">
      <alignment vertical="center"/>
    </xf>
    <xf numFmtId="171" fontId="61" fillId="0" borderId="0" xfId="3" applyNumberFormat="1" applyFont="1" applyBorder="1" applyAlignment="1" applyProtection="1">
      <alignment horizontal="center"/>
    </xf>
    <xf numFmtId="0" fontId="77" fillId="0" borderId="133" xfId="3" applyNumberFormat="1" applyFont="1" applyBorder="1" applyAlignment="1">
      <alignment horizontal="center" vertical="center"/>
    </xf>
    <xf numFmtId="0" fontId="61" fillId="0" borderId="133" xfId="3" applyNumberFormat="1" applyFont="1" applyBorder="1" applyAlignment="1">
      <alignment vertical="center"/>
    </xf>
    <xf numFmtId="0" fontId="77" fillId="0" borderId="0" xfId="3" applyNumberFormat="1" applyFont="1" applyBorder="1" applyAlignment="1">
      <alignment vertical="center" wrapText="1"/>
    </xf>
    <xf numFmtId="0" fontId="61" fillId="0" borderId="0" xfId="3" applyNumberFormat="1" applyFont="1" applyBorder="1" applyAlignment="1">
      <alignment wrapText="1"/>
    </xf>
    <xf numFmtId="0" fontId="77" fillId="0" borderId="133" xfId="3" applyNumberFormat="1" applyFont="1" applyBorder="1" applyAlignment="1">
      <alignment horizontal="center"/>
    </xf>
    <xf numFmtId="0" fontId="77" fillId="0" borderId="0" xfId="3" applyNumberFormat="1" applyFont="1" applyBorder="1" applyAlignment="1"/>
    <xf numFmtId="0" fontId="68" fillId="0" borderId="0" xfId="3" applyNumberFormat="1" applyFont="1" applyAlignment="1">
      <alignment horizontal="right"/>
    </xf>
    <xf numFmtId="0" fontId="59" fillId="0" borderId="0" xfId="3" applyNumberFormat="1" applyFont="1" applyBorder="1" applyAlignment="1">
      <alignment horizontal="center" wrapText="1"/>
    </xf>
    <xf numFmtId="0" fontId="77" fillId="0" borderId="0" xfId="3" applyFont="1" applyBorder="1" applyAlignment="1">
      <alignment horizontal="center" vertical="center" wrapText="1"/>
    </xf>
    <xf numFmtId="0" fontId="83" fillId="0" borderId="0" xfId="3" applyNumberFormat="1" applyFont="1" applyAlignment="1">
      <alignment vertical="center"/>
    </xf>
    <xf numFmtId="0" fontId="69" fillId="0" borderId="22" xfId="3" applyNumberFormat="1" applyFont="1" applyBorder="1" applyAlignment="1" applyProtection="1">
      <alignment horizontal="center" vertical="center"/>
      <protection locked="0"/>
    </xf>
    <xf numFmtId="0" fontId="66" fillId="0" borderId="0" xfId="3" applyNumberFormat="1" applyFont="1" applyAlignment="1">
      <alignment horizontal="left" vertical="center" indent="2"/>
    </xf>
    <xf numFmtId="0" fontId="61" fillId="0" borderId="0" xfId="3" applyFont="1" applyAlignment="1">
      <alignment horizontal="left" wrapText="1" indent="2"/>
    </xf>
    <xf numFmtId="0" fontId="59" fillId="0" borderId="0" xfId="3" applyNumberFormat="1" applyFont="1" applyBorder="1" applyAlignment="1">
      <alignment vertical="center"/>
    </xf>
    <xf numFmtId="0" fontId="87" fillId="0" borderId="0" xfId="3" applyNumberFormat="1" applyFont="1" applyBorder="1" applyAlignment="1">
      <alignment horizontal="centerContinuous" vertical="center"/>
    </xf>
    <xf numFmtId="0" fontId="60" fillId="0" borderId="0" xfId="2" applyNumberFormat="1" applyFont="1" applyBorder="1" applyAlignment="1" applyProtection="1">
      <alignment horizontal="centerContinuous" vertical="center"/>
    </xf>
    <xf numFmtId="0" fontId="61" fillId="0" borderId="0" xfId="3" applyFont="1" applyAlignment="1">
      <alignment vertical="top" wrapText="1"/>
    </xf>
    <xf numFmtId="164" fontId="61" fillId="0" borderId="0" xfId="0" applyNumberFormat="1" applyFont="1"/>
    <xf numFmtId="166" fontId="66" fillId="0" borderId="0" xfId="0" applyNumberFormat="1" applyFont="1" applyAlignment="1">
      <alignment horizontal="left"/>
    </xf>
    <xf numFmtId="0" fontId="61" fillId="0" borderId="0" xfId="0" applyFont="1" applyAlignment="1">
      <alignment vertical="top"/>
    </xf>
    <xf numFmtId="0" fontId="112" fillId="0" borderId="0" xfId="0" applyFont="1"/>
    <xf numFmtId="0" fontId="59" fillId="0" borderId="0" xfId="0" applyFont="1" applyAlignment="1">
      <alignment vertical="top" wrapText="1"/>
    </xf>
    <xf numFmtId="0" fontId="61" fillId="0" borderId="0" xfId="3" applyFont="1" applyAlignment="1">
      <alignment wrapText="1"/>
    </xf>
    <xf numFmtId="0" fontId="61" fillId="0" borderId="0" xfId="3" applyFont="1" applyAlignment="1">
      <alignment vertical="center"/>
    </xf>
    <xf numFmtId="0" fontId="68" fillId="0" borderId="46" xfId="3" applyFont="1" applyFill="1" applyBorder="1" applyAlignment="1">
      <alignment horizontal="center" vertical="center"/>
    </xf>
    <xf numFmtId="0" fontId="68" fillId="0" borderId="22" xfId="3" applyFont="1" applyBorder="1" applyAlignment="1">
      <alignment horizontal="center" vertical="center" wrapText="1"/>
    </xf>
    <xf numFmtId="0" fontId="58" fillId="0" borderId="22" xfId="3" applyFont="1" applyBorder="1" applyAlignment="1">
      <alignment horizontal="left" vertical="center" wrapText="1" indent="1"/>
    </xf>
    <xf numFmtId="0" fontId="61" fillId="0" borderId="0" xfId="3" applyFont="1" applyAlignment="1">
      <alignment horizontal="left" vertical="center"/>
    </xf>
    <xf numFmtId="0" fontId="68" fillId="0" borderId="45" xfId="3" applyFont="1" applyBorder="1" applyAlignment="1">
      <alignment horizontal="left" vertical="center" wrapText="1" indent="2"/>
    </xf>
    <xf numFmtId="0" fontId="68" fillId="0" borderId="22" xfId="3" applyFont="1" applyBorder="1" applyAlignment="1">
      <alignment horizontal="left" vertical="center" wrapText="1" indent="1"/>
    </xf>
    <xf numFmtId="0" fontId="58" fillId="0" borderId="0" xfId="3" applyFont="1" applyFill="1" applyBorder="1" applyAlignment="1">
      <alignment wrapText="1"/>
    </xf>
    <xf numFmtId="38" fontId="69" fillId="0" borderId="0" xfId="3" applyNumberFormat="1" applyFont="1" applyFill="1" applyBorder="1"/>
    <xf numFmtId="0" fontId="66" fillId="0" borderId="0" xfId="3" applyNumberFormat="1" applyFont="1" applyBorder="1" applyAlignment="1">
      <alignment horizontal="left" vertical="center" wrapText="1"/>
    </xf>
    <xf numFmtId="0" fontId="61" fillId="0" borderId="0" xfId="3" applyFont="1" applyBorder="1" applyAlignment="1">
      <alignment horizontal="left" vertical="center" wrapText="1"/>
    </xf>
    <xf numFmtId="0" fontId="61" fillId="0" borderId="0" xfId="3" applyFont="1" applyAlignment="1">
      <alignment horizontal="left"/>
    </xf>
    <xf numFmtId="0" fontId="61" fillId="0" borderId="0" xfId="3" applyFont="1" applyAlignment="1"/>
    <xf numFmtId="49" fontId="115" fillId="0" borderId="0" xfId="0" applyNumberFormat="1" applyFont="1" applyFill="1" applyBorder="1" applyAlignment="1">
      <alignment horizontal="centerContinuous" vertical="top"/>
    </xf>
    <xf numFmtId="0" fontId="59" fillId="0" borderId="0" xfId="0" applyFont="1" applyAlignment="1">
      <alignment horizontal="centerContinuous" vertical="top"/>
    </xf>
    <xf numFmtId="0" fontId="59" fillId="0" borderId="0" xfId="0" applyFont="1" applyAlignment="1">
      <alignment horizontal="centerContinuous" vertical="top" wrapText="1"/>
    </xf>
    <xf numFmtId="0" fontId="68" fillId="0" borderId="0" xfId="0" applyFont="1" applyBorder="1" applyAlignment="1">
      <alignment horizontal="centerContinuous" vertical="top"/>
    </xf>
    <xf numFmtId="0" fontId="59" fillId="0" borderId="0" xfId="0" applyFont="1" applyAlignment="1"/>
    <xf numFmtId="164" fontId="117" fillId="0" borderId="21" xfId="0" applyNumberFormat="1" applyFont="1" applyBorder="1" applyAlignment="1">
      <alignment vertical="top"/>
    </xf>
    <xf numFmtId="0" fontId="59" fillId="0" borderId="21" xfId="0" applyFont="1" applyBorder="1" applyAlignment="1">
      <alignment vertical="top"/>
    </xf>
    <xf numFmtId="0" fontId="66" fillId="0" borderId="14" xfId="0" applyFont="1" applyBorder="1"/>
    <xf numFmtId="0" fontId="59" fillId="0" borderId="21" xfId="0" applyFont="1" applyBorder="1" applyAlignment="1">
      <alignment vertical="top" wrapText="1"/>
    </xf>
    <xf numFmtId="0" fontId="61" fillId="0" borderId="14" xfId="0" applyFont="1" applyBorder="1" applyAlignment="1">
      <alignment wrapText="1"/>
    </xf>
    <xf numFmtId="0" fontId="59" fillId="0" borderId="17" xfId="0" applyFont="1" applyBorder="1" applyAlignment="1">
      <alignment horizontal="left" vertical="top"/>
    </xf>
    <xf numFmtId="164" fontId="117" fillId="0" borderId="0" xfId="0" applyNumberFormat="1" applyFont="1" applyBorder="1" applyAlignment="1">
      <alignment horizontal="right" vertical="top"/>
    </xf>
    <xf numFmtId="0" fontId="119" fillId="0" borderId="13" xfId="0" applyFont="1" applyBorder="1" applyAlignment="1">
      <alignment horizontal="right" vertical="top"/>
    </xf>
    <xf numFmtId="0" fontId="59" fillId="0" borderId="21" xfId="0" applyFont="1" applyBorder="1" applyAlignment="1">
      <alignment horizontal="left" vertical="top"/>
    </xf>
    <xf numFmtId="0" fontId="59" fillId="0" borderId="21" xfId="0" applyFont="1" applyBorder="1" applyAlignment="1">
      <alignment horizontal="left" vertical="top" indent="1"/>
    </xf>
    <xf numFmtId="0" fontId="89" fillId="0" borderId="2" xfId="0" applyFont="1" applyBorder="1" applyAlignment="1">
      <alignment vertical="top" wrapText="1"/>
    </xf>
    <xf numFmtId="0" fontId="59" fillId="0" borderId="14" xfId="0" applyFont="1" applyBorder="1" applyAlignment="1">
      <alignment horizontal="left" vertical="top" indent="1"/>
    </xf>
    <xf numFmtId="0" fontId="89" fillId="0" borderId="65" xfId="12" applyNumberFormat="1" applyFont="1" applyBorder="1" applyAlignment="1" applyProtection="1">
      <alignment vertical="center"/>
    </xf>
    <xf numFmtId="0" fontId="119" fillId="0" borderId="17" xfId="0" applyFont="1" applyBorder="1" applyAlignment="1">
      <alignment horizontal="right" vertical="top"/>
    </xf>
    <xf numFmtId="0" fontId="89" fillId="0" borderId="10" xfId="12" applyNumberFormat="1" applyFont="1" applyBorder="1" applyAlignment="1" applyProtection="1">
      <alignment vertical="center" wrapText="1"/>
    </xf>
    <xf numFmtId="0" fontId="117" fillId="0" borderId="21" xfId="0" applyNumberFormat="1" applyFont="1" applyBorder="1" applyAlignment="1">
      <alignment horizontal="left" vertical="center"/>
    </xf>
    <xf numFmtId="0" fontId="66" fillId="0" borderId="14" xfId="0" applyFont="1" applyBorder="1" applyAlignment="1">
      <alignment vertical="top" wrapText="1"/>
    </xf>
    <xf numFmtId="0" fontId="119" fillId="0" borderId="21" xfId="0" applyNumberFormat="1" applyFont="1" applyBorder="1" applyAlignment="1">
      <alignment horizontal="left" vertical="center"/>
    </xf>
    <xf numFmtId="0" fontId="89" fillId="0" borderId="2" xfId="0" applyNumberFormat="1" applyFont="1" applyBorder="1" applyAlignment="1" applyProtection="1">
      <alignment horizontal="left" vertical="center" wrapText="1"/>
    </xf>
    <xf numFmtId="0" fontId="59" fillId="0" borderId="14" xfId="0" applyFont="1" applyBorder="1" applyAlignment="1">
      <alignment horizontal="left" vertical="top" wrapText="1"/>
    </xf>
    <xf numFmtId="0" fontId="73" fillId="0" borderId="17" xfId="0" applyFont="1" applyBorder="1" applyAlignment="1"/>
    <xf numFmtId="0" fontId="117" fillId="0" borderId="21" xfId="0" applyFont="1" applyBorder="1" applyAlignment="1">
      <alignment vertical="top"/>
    </xf>
    <xf numFmtId="0" fontId="89" fillId="0" borderId="14" xfId="0" applyFont="1" applyBorder="1" applyAlignment="1">
      <alignment vertical="top" wrapText="1"/>
    </xf>
    <xf numFmtId="0" fontId="73" fillId="0" borderId="0" xfId="0" applyFont="1" applyAlignment="1"/>
    <xf numFmtId="0" fontId="73" fillId="0" borderId="13" xfId="0" applyFont="1" applyBorder="1" applyAlignment="1"/>
    <xf numFmtId="0" fontId="59" fillId="0" borderId="21" xfId="0" applyFont="1" applyBorder="1" applyAlignment="1">
      <alignment horizontal="left" vertical="top" wrapText="1" indent="1"/>
    </xf>
    <xf numFmtId="0" fontId="59" fillId="0" borderId="13" xfId="0" applyFont="1" applyBorder="1" applyAlignment="1">
      <alignment horizontal="left" vertical="top"/>
    </xf>
    <xf numFmtId="164" fontId="117" fillId="0" borderId="21" xfId="0" applyNumberFormat="1" applyFont="1" applyBorder="1" applyAlignment="1">
      <alignment horizontal="right" vertical="top"/>
    </xf>
    <xf numFmtId="164" fontId="119" fillId="0" borderId="21" xfId="0" applyNumberFormat="1" applyFont="1" applyBorder="1" applyAlignment="1">
      <alignment horizontal="right" vertical="center"/>
    </xf>
    <xf numFmtId="0" fontId="59" fillId="0" borderId="21" xfId="0" applyNumberFormat="1" applyFont="1" applyBorder="1" applyAlignment="1">
      <alignment horizontal="left" vertical="center" wrapText="1" indent="1"/>
    </xf>
    <xf numFmtId="0" fontId="89" fillId="0" borderId="2" xfId="0" applyFont="1" applyBorder="1" applyAlignment="1"/>
    <xf numFmtId="0" fontId="89" fillId="0" borderId="2" xfId="0" applyFont="1" applyBorder="1" applyAlignment="1">
      <alignment horizontal="left" vertical="top"/>
    </xf>
    <xf numFmtId="0" fontId="66" fillId="0" borderId="2" xfId="0" applyFont="1" applyBorder="1" applyAlignment="1">
      <alignment horizontal="left" vertical="top" wrapText="1"/>
    </xf>
    <xf numFmtId="0" fontId="89" fillId="0" borderId="2" xfId="0" applyFont="1" applyBorder="1" applyAlignment="1">
      <alignment horizontal="left" vertical="top" wrapText="1"/>
    </xf>
    <xf numFmtId="164" fontId="119" fillId="0" borderId="13" xfId="0" applyNumberFormat="1" applyFont="1" applyBorder="1" applyAlignment="1">
      <alignment horizontal="right" vertical="top"/>
    </xf>
    <xf numFmtId="0" fontId="66" fillId="0" borderId="14" xfId="0" applyFont="1" applyBorder="1" applyAlignment="1">
      <alignment horizontal="left" vertical="top" wrapText="1"/>
    </xf>
    <xf numFmtId="164" fontId="120" fillId="0" borderId="21" xfId="0" applyNumberFormat="1" applyFont="1" applyBorder="1" applyAlignment="1">
      <alignment horizontal="left" vertical="center"/>
    </xf>
    <xf numFmtId="0" fontId="117" fillId="0" borderId="21" xfId="0" applyFont="1" applyBorder="1" applyAlignment="1">
      <alignment horizontal="left" vertical="top"/>
    </xf>
    <xf numFmtId="0" fontId="89" fillId="0" borderId="2" xfId="0" applyFont="1" applyBorder="1" applyAlignment="1">
      <alignment horizontal="left"/>
    </xf>
    <xf numFmtId="0" fontId="89" fillId="0" borderId="2" xfId="0" applyFont="1" applyBorder="1"/>
    <xf numFmtId="0" fontId="59" fillId="0" borderId="0" xfId="0" applyFont="1" applyAlignment="1">
      <alignment horizontal="left" vertical="top"/>
    </xf>
    <xf numFmtId="0" fontId="59" fillId="0" borderId="21" xfId="0" applyFont="1" applyBorder="1" applyAlignment="1"/>
    <xf numFmtId="164" fontId="117" fillId="0" borderId="21" xfId="0" applyNumberFormat="1" applyFont="1" applyBorder="1" applyAlignment="1">
      <alignment vertical="center"/>
    </xf>
    <xf numFmtId="0" fontId="59" fillId="0" borderId="21" xfId="0" applyFont="1" applyBorder="1" applyAlignment="1">
      <alignment vertical="center"/>
    </xf>
    <xf numFmtId="0" fontId="66" fillId="0" borderId="151" xfId="0" applyFont="1" applyBorder="1"/>
    <xf numFmtId="0" fontId="59" fillId="0" borderId="13" xfId="0" applyFont="1" applyBorder="1"/>
    <xf numFmtId="0" fontId="59" fillId="0" borderId="125" xfId="0" applyFont="1" applyBorder="1" applyAlignment="1">
      <alignment horizontal="left" vertical="top"/>
    </xf>
    <xf numFmtId="164" fontId="117" fillId="0" borderId="128" xfId="0" applyNumberFormat="1" applyFont="1" applyBorder="1" applyAlignment="1">
      <alignment horizontal="right" vertical="top"/>
    </xf>
    <xf numFmtId="0" fontId="59" fillId="0" borderId="128" xfId="0" applyNumberFormat="1" applyFont="1" applyBorder="1" applyAlignment="1">
      <alignment horizontal="left" vertical="center" wrapText="1" indent="1"/>
    </xf>
    <xf numFmtId="0" fontId="89" fillId="0" borderId="127" xfId="0" applyFont="1" applyBorder="1" applyAlignment="1">
      <alignment horizontal="left" vertical="center" wrapText="1"/>
    </xf>
    <xf numFmtId="0" fontId="59" fillId="0" borderId="128" xfId="0" applyFont="1" applyBorder="1" applyAlignment="1">
      <alignment horizontal="left" vertical="top"/>
    </xf>
    <xf numFmtId="0" fontId="59" fillId="0" borderId="0" xfId="0" applyFont="1" applyBorder="1" applyAlignment="1">
      <alignment vertical="top"/>
    </xf>
    <xf numFmtId="0" fontId="119" fillId="0" borderId="128" xfId="0" applyNumberFormat="1" applyFont="1" applyBorder="1" applyAlignment="1">
      <alignment horizontal="left" vertical="center"/>
    </xf>
    <xf numFmtId="0" fontId="117" fillId="0" borderId="128" xfId="0" applyFont="1" applyBorder="1" applyAlignment="1">
      <alignment vertical="top"/>
    </xf>
    <xf numFmtId="0" fontId="117" fillId="0" borderId="128" xfId="0" applyFont="1" applyBorder="1" applyAlignment="1">
      <alignment horizontal="left" vertical="top"/>
    </xf>
    <xf numFmtId="0" fontId="59" fillId="0" borderId="125" xfId="0" applyFont="1" applyBorder="1" applyAlignment="1"/>
    <xf numFmtId="164" fontId="117" fillId="0" borderId="128" xfId="0" applyNumberFormat="1" applyFont="1" applyBorder="1" applyAlignment="1"/>
    <xf numFmtId="0" fontId="59" fillId="0" borderId="128" xfId="0" applyFont="1" applyBorder="1" applyAlignment="1"/>
    <xf numFmtId="0" fontId="66" fillId="0" borderId="126" xfId="0" applyFont="1" applyBorder="1" applyAlignment="1"/>
    <xf numFmtId="0" fontId="87" fillId="0" borderId="12" xfId="0" applyFont="1" applyBorder="1" applyAlignment="1">
      <alignment horizontal="left"/>
    </xf>
    <xf numFmtId="0" fontId="64" fillId="0" borderId="16" xfId="0" applyFont="1" applyBorder="1" applyAlignment="1">
      <alignment horizontal="left" vertical="center" indent="1"/>
    </xf>
    <xf numFmtId="0" fontId="63" fillId="0" borderId="16" xfId="0" applyFont="1" applyBorder="1" applyAlignment="1">
      <alignment horizontal="left" vertical="center"/>
    </xf>
    <xf numFmtId="0" fontId="72" fillId="0" borderId="10" xfId="0" applyFont="1" applyBorder="1" applyAlignment="1">
      <alignment horizontal="left" vertical="center"/>
    </xf>
    <xf numFmtId="49" fontId="87" fillId="0" borderId="12" xfId="0" applyNumberFormat="1" applyFont="1" applyFill="1" applyBorder="1" applyAlignment="1">
      <alignment horizontal="left" vertical="center"/>
    </xf>
    <xf numFmtId="49" fontId="59" fillId="0" borderId="16" xfId="0" applyNumberFormat="1" applyFont="1" applyFill="1" applyBorder="1" applyAlignment="1">
      <alignment horizontal="left" vertical="center"/>
    </xf>
    <xf numFmtId="0" fontId="59" fillId="0" borderId="16" xfId="0" applyFont="1" applyFill="1" applyBorder="1" applyAlignment="1" applyProtection="1">
      <alignment horizontal="left" vertical="center"/>
    </xf>
    <xf numFmtId="0" fontId="66" fillId="0" borderId="153" xfId="0" applyFont="1" applyFill="1" applyBorder="1" applyAlignment="1" applyProtection="1">
      <alignment horizontal="left" vertical="center"/>
      <protection locked="0"/>
    </xf>
    <xf numFmtId="49" fontId="87" fillId="0" borderId="17" xfId="0" applyNumberFormat="1" applyFont="1" applyFill="1" applyBorder="1" applyAlignment="1">
      <alignment horizontal="left" vertical="center"/>
    </xf>
    <xf numFmtId="49" fontId="59" fillId="0" borderId="0" xfId="0" applyNumberFormat="1" applyFont="1" applyFill="1" applyBorder="1" applyAlignment="1">
      <alignment horizontal="left" vertical="center"/>
    </xf>
    <xf numFmtId="0" fontId="59" fillId="0" borderId="0" xfId="0" applyFont="1" applyFill="1" applyBorder="1" applyAlignment="1">
      <alignment horizontal="left" vertical="center"/>
    </xf>
    <xf numFmtId="0" fontId="66" fillId="0" borderId="63" xfId="0" applyFont="1" applyFill="1" applyBorder="1" applyAlignment="1">
      <alignment horizontal="left" vertical="center"/>
    </xf>
    <xf numFmtId="0" fontId="59" fillId="0" borderId="55" xfId="0" applyFont="1" applyFill="1" applyBorder="1" applyAlignment="1">
      <alignment horizontal="left" vertical="center"/>
    </xf>
    <xf numFmtId="0" fontId="59" fillId="0" borderId="24" xfId="0" applyFont="1" applyFill="1" applyBorder="1" applyAlignment="1">
      <alignment horizontal="left" vertical="center"/>
    </xf>
    <xf numFmtId="0" fontId="59" fillId="0" borderId="24" xfId="0" applyFont="1" applyFill="1" applyBorder="1" applyAlignment="1">
      <alignment horizontal="left" vertical="center" indent="2"/>
    </xf>
    <xf numFmtId="0" fontId="68" fillId="0" borderId="64" xfId="0" applyFont="1" applyFill="1" applyBorder="1" applyAlignment="1">
      <alignment horizontal="left" vertical="center"/>
    </xf>
    <xf numFmtId="0" fontId="58" fillId="0" borderId="125" xfId="0" applyFont="1" applyFill="1" applyBorder="1" applyAlignment="1"/>
    <xf numFmtId="0" fontId="58" fillId="0" borderId="128" xfId="0" applyFont="1" applyFill="1" applyBorder="1" applyAlignment="1">
      <alignment horizontal="left" vertical="top"/>
    </xf>
    <xf numFmtId="0" fontId="58" fillId="0" borderId="126" xfId="0" applyFont="1" applyFill="1" applyBorder="1" applyAlignment="1">
      <alignment horizontal="left"/>
    </xf>
    <xf numFmtId="0" fontId="58" fillId="0" borderId="0" xfId="0" applyFont="1" applyAlignment="1"/>
    <xf numFmtId="0" fontId="59" fillId="0" borderId="0" xfId="0" applyFont="1" applyAlignment="1">
      <alignment horizontal="left"/>
    </xf>
    <xf numFmtId="0" fontId="58" fillId="0" borderId="126" xfId="0" applyFont="1" applyFill="1" applyBorder="1" applyAlignment="1">
      <alignment horizontal="center" vertical="center"/>
    </xf>
    <xf numFmtId="0" fontId="120" fillId="0" borderId="21" xfId="0" applyFont="1" applyBorder="1" applyAlignment="1">
      <alignment horizontal="left" vertical="top" wrapText="1"/>
    </xf>
    <xf numFmtId="0" fontId="61" fillId="0" borderId="0" xfId="3" applyNumberFormat="1" applyFont="1" applyAlignment="1" applyProtection="1">
      <alignment horizontal="centerContinuous"/>
    </xf>
    <xf numFmtId="0" fontId="61" fillId="0" borderId="0" xfId="3" applyNumberFormat="1" applyFont="1" applyBorder="1" applyAlignment="1" applyProtection="1">
      <alignment horizontal="center"/>
    </xf>
    <xf numFmtId="0" fontId="69" fillId="0" borderId="0" xfId="3" applyNumberFormat="1" applyFont="1" applyAlignment="1" applyProtection="1">
      <alignment horizontal="centerContinuous"/>
    </xf>
    <xf numFmtId="0" fontId="68" fillId="0" borderId="0" xfId="3" applyNumberFormat="1" applyFont="1" applyAlignment="1" applyProtection="1">
      <alignment horizontal="right" vertical="center" textRotation="180"/>
    </xf>
    <xf numFmtId="0" fontId="68" fillId="0" borderId="0" xfId="3" applyNumberFormat="1" applyFont="1" applyAlignment="1" applyProtection="1">
      <alignment vertical="center" textRotation="180"/>
    </xf>
    <xf numFmtId="0" fontId="61" fillId="0" borderId="0" xfId="3" applyNumberFormat="1" applyFont="1" applyProtection="1"/>
    <xf numFmtId="0" fontId="61" fillId="0" borderId="9" xfId="3" applyNumberFormat="1" applyFont="1" applyBorder="1" applyProtection="1"/>
    <xf numFmtId="0" fontId="61" fillId="0" borderId="9" xfId="3" applyNumberFormat="1" applyFont="1" applyBorder="1" applyAlignment="1" applyProtection="1">
      <alignment horizontal="center"/>
    </xf>
    <xf numFmtId="0" fontId="66" fillId="0" borderId="0" xfId="3" applyNumberFormat="1" applyFont="1" applyProtection="1"/>
    <xf numFmtId="0" fontId="59" fillId="0" borderId="143" xfId="3" quotePrefix="1" applyNumberFormat="1" applyFont="1" applyBorder="1" applyAlignment="1" applyProtection="1">
      <alignment horizontal="left"/>
    </xf>
    <xf numFmtId="0" fontId="66" fillId="0" borderId="144" xfId="3" applyNumberFormat="1" applyFont="1" applyBorder="1" applyAlignment="1" applyProtection="1">
      <alignment horizontal="center"/>
    </xf>
    <xf numFmtId="0" fontId="66" fillId="0" borderId="144" xfId="3" applyNumberFormat="1" applyFont="1" applyBorder="1" applyProtection="1"/>
    <xf numFmtId="0" fontId="59" fillId="0" borderId="143" xfId="3" applyNumberFormat="1" applyFont="1" applyBorder="1" applyAlignment="1" applyProtection="1"/>
    <xf numFmtId="0" fontId="66" fillId="0" borderId="145" xfId="3" applyNumberFormat="1" applyFont="1" applyBorder="1" applyAlignment="1" applyProtection="1">
      <alignment horizontal="centerContinuous"/>
    </xf>
    <xf numFmtId="0" fontId="59" fillId="0" borderId="143" xfId="3" applyNumberFormat="1" applyFont="1" applyBorder="1" applyAlignment="1" applyProtection="1">
      <alignment horizontal="left"/>
    </xf>
    <xf numFmtId="0" fontId="66" fillId="0" borderId="145" xfId="3" applyNumberFormat="1" applyFont="1" applyBorder="1" applyProtection="1"/>
    <xf numFmtId="0" fontId="66" fillId="0" borderId="144" xfId="3" quotePrefix="1" applyNumberFormat="1" applyFont="1" applyBorder="1" applyAlignment="1" applyProtection="1">
      <alignment horizontal="left"/>
    </xf>
    <xf numFmtId="0" fontId="59" fillId="0" borderId="5" xfId="3" quotePrefix="1" applyNumberFormat="1" applyFont="1" applyBorder="1" applyAlignment="1" applyProtection="1">
      <alignment horizontal="left"/>
    </xf>
    <xf numFmtId="0" fontId="66" fillId="0" borderId="0" xfId="3" applyNumberFormat="1" applyFont="1" applyBorder="1" applyProtection="1"/>
    <xf numFmtId="0" fontId="66" fillId="0" borderId="40" xfId="3" applyNumberFormat="1" applyFont="1" applyBorder="1" applyProtection="1"/>
    <xf numFmtId="0" fontId="59" fillId="0" borderId="5" xfId="3" applyNumberFormat="1" applyFont="1" applyBorder="1" applyProtection="1"/>
    <xf numFmtId="0" fontId="69" fillId="0" borderId="0" xfId="3" applyNumberFormat="1" applyFont="1" applyBorder="1" applyProtection="1"/>
    <xf numFmtId="0" fontId="59" fillId="0" borderId="143" xfId="3" applyNumberFormat="1" applyFont="1" applyBorder="1" applyProtection="1"/>
    <xf numFmtId="0" fontId="61" fillId="0" borderId="0" xfId="3" applyNumberFormat="1" applyFont="1" applyBorder="1" applyProtection="1"/>
    <xf numFmtId="0" fontId="58" fillId="0" borderId="0" xfId="3" applyNumberFormat="1" applyFont="1" applyAlignment="1" applyProtection="1">
      <alignment horizontal="left"/>
    </xf>
    <xf numFmtId="0" fontId="69" fillId="0" borderId="0" xfId="3" applyNumberFormat="1" applyFont="1" applyAlignment="1" applyProtection="1">
      <alignment horizontal="left"/>
    </xf>
    <xf numFmtId="0" fontId="61" fillId="0" borderId="1" xfId="3" applyNumberFormat="1" applyFont="1" applyBorder="1" applyAlignment="1" applyProtection="1">
      <alignment horizontal="center" vertical="center"/>
      <protection locked="0"/>
    </xf>
    <xf numFmtId="0" fontId="59" fillId="0" borderId="0" xfId="3" applyNumberFormat="1" applyFont="1" applyBorder="1" applyAlignment="1" applyProtection="1">
      <alignment vertical="center"/>
    </xf>
    <xf numFmtId="0" fontId="66" fillId="0" borderId="0" xfId="3" applyNumberFormat="1" applyFont="1" applyBorder="1" applyAlignment="1" applyProtection="1">
      <alignment horizontal="center"/>
    </xf>
    <xf numFmtId="0" fontId="75" fillId="0" borderId="0" xfId="3" applyNumberFormat="1" applyFont="1" applyAlignment="1" applyProtection="1">
      <alignment vertical="center"/>
    </xf>
    <xf numFmtId="0" fontId="68" fillId="0" borderId="0" xfId="3" applyNumberFormat="1" applyFont="1" applyBorder="1" applyProtection="1"/>
    <xf numFmtId="0" fontId="59" fillId="0" borderId="0" xfId="3" applyNumberFormat="1" applyFont="1" applyAlignment="1" applyProtection="1">
      <alignment vertical="center"/>
    </xf>
    <xf numFmtId="0" fontId="68" fillId="0" borderId="0" xfId="3" applyNumberFormat="1" applyFont="1" applyProtection="1"/>
    <xf numFmtId="0" fontId="69" fillId="0" borderId="0" xfId="3" applyNumberFormat="1" applyFont="1" applyProtection="1"/>
    <xf numFmtId="0" fontId="59" fillId="0" borderId="0" xfId="3" applyNumberFormat="1" applyFont="1" applyBorder="1" applyProtection="1"/>
    <xf numFmtId="0" fontId="59" fillId="0" borderId="0" xfId="3" applyNumberFormat="1" applyFont="1" applyProtection="1"/>
    <xf numFmtId="0" fontId="66" fillId="0" borderId="0" xfId="3" quotePrefix="1" applyNumberFormat="1" applyFont="1" applyAlignment="1" applyProtection="1">
      <alignment horizontal="left"/>
    </xf>
    <xf numFmtId="0" fontId="59" fillId="0" borderId="0" xfId="3" applyFont="1"/>
    <xf numFmtId="0" fontId="58" fillId="0" borderId="0" xfId="3" applyFont="1" applyAlignment="1">
      <alignment horizontal="center" vertical="center"/>
    </xf>
    <xf numFmtId="0" fontId="61" fillId="0" borderId="0" xfId="3" applyFont="1" applyAlignment="1">
      <alignment horizontal="center" vertical="center"/>
    </xf>
    <xf numFmtId="164" fontId="66" fillId="0" borderId="0" xfId="3" applyNumberFormat="1" applyFont="1"/>
    <xf numFmtId="0" fontId="68" fillId="0" borderId="0" xfId="3" applyFont="1"/>
    <xf numFmtId="164" fontId="68" fillId="0" borderId="0" xfId="3" applyNumberFormat="1" applyFont="1" applyAlignment="1">
      <alignment horizontal="right"/>
    </xf>
    <xf numFmtId="49" fontId="66" fillId="0" borderId="0" xfId="3" applyNumberFormat="1" applyFont="1"/>
    <xf numFmtId="0" fontId="66" fillId="0" borderId="0" xfId="3" applyFont="1"/>
    <xf numFmtId="0" fontId="72" fillId="0" borderId="0" xfId="3" applyFont="1"/>
    <xf numFmtId="164" fontId="72" fillId="0" borderId="0" xfId="3" applyNumberFormat="1" applyFont="1" applyAlignment="1">
      <alignment horizontal="right"/>
    </xf>
    <xf numFmtId="0" fontId="68" fillId="0" borderId="22" xfId="3" applyFont="1" applyBorder="1" applyAlignment="1" applyProtection="1">
      <alignment horizontal="center"/>
      <protection locked="0"/>
    </xf>
    <xf numFmtId="164" fontId="66" fillId="0" borderId="0" xfId="3" applyNumberFormat="1" applyFont="1" applyBorder="1" applyAlignment="1">
      <alignment horizontal="right"/>
    </xf>
    <xf numFmtId="49" fontId="72" fillId="0" borderId="0" xfId="3" applyNumberFormat="1" applyFont="1" applyAlignment="1"/>
    <xf numFmtId="0" fontId="66" fillId="0" borderId="0" xfId="3" applyFont="1" applyAlignment="1"/>
    <xf numFmtId="0" fontId="68" fillId="0" borderId="147" xfId="3" applyFont="1" applyBorder="1" applyAlignment="1" applyProtection="1">
      <alignment horizontal="center"/>
      <protection locked="0"/>
    </xf>
    <xf numFmtId="49" fontId="66" fillId="0" borderId="0" xfId="3" applyNumberFormat="1" applyFont="1" applyAlignment="1"/>
    <xf numFmtId="0" fontId="66" fillId="0" borderId="0" xfId="3" applyFont="1" applyAlignment="1">
      <alignment horizontal="center"/>
    </xf>
    <xf numFmtId="164" fontId="66" fillId="0" borderId="0" xfId="3" applyNumberFormat="1" applyFont="1" applyAlignment="1">
      <alignment horizontal="right"/>
    </xf>
    <xf numFmtId="49" fontId="68" fillId="0" borderId="0" xfId="3" applyNumberFormat="1" applyFont="1" applyAlignment="1"/>
    <xf numFmtId="49" fontId="66" fillId="0" borderId="0" xfId="3" applyNumberFormat="1" applyFont="1" applyFill="1" applyAlignment="1"/>
    <xf numFmtId="49" fontId="66" fillId="0" borderId="0" xfId="3" applyNumberFormat="1" applyFont="1" applyFill="1" applyBorder="1" applyAlignment="1"/>
    <xf numFmtId="49" fontId="121" fillId="0" borderId="0" xfId="15" applyNumberFormat="1" applyFont="1"/>
    <xf numFmtId="49" fontId="66" fillId="0" borderId="0" xfId="3" applyNumberFormat="1" applyFont="1" applyFill="1" applyBorder="1"/>
    <xf numFmtId="0" fontId="66" fillId="0" borderId="0" xfId="3" applyFont="1" applyBorder="1" applyAlignment="1">
      <alignment horizontal="center"/>
    </xf>
    <xf numFmtId="0" fontId="102" fillId="0" borderId="0" xfId="3" applyFont="1" applyAlignment="1">
      <alignment horizontal="center"/>
    </xf>
    <xf numFmtId="164" fontId="102" fillId="0" borderId="0" xfId="3" applyNumberFormat="1" applyFont="1" applyAlignment="1">
      <alignment horizontal="right"/>
    </xf>
    <xf numFmtId="0" fontId="72" fillId="0" borderId="22" xfId="3" applyFont="1" applyBorder="1" applyAlignment="1" applyProtection="1">
      <alignment horizontal="center"/>
      <protection locked="0"/>
    </xf>
    <xf numFmtId="0" fontId="102" fillId="0" borderId="0" xfId="3" applyFont="1" applyBorder="1" applyAlignment="1">
      <alignment horizontal="center"/>
    </xf>
    <xf numFmtId="0" fontId="66" fillId="0" borderId="0" xfId="16" applyFont="1" applyFill="1" applyBorder="1" applyAlignment="1">
      <alignment horizontal="left"/>
    </xf>
    <xf numFmtId="164" fontId="68" fillId="0" borderId="22" xfId="3" applyNumberFormat="1" applyFont="1" applyBorder="1" applyAlignment="1" applyProtection="1">
      <alignment horizontal="center" vertical="center"/>
      <protection locked="0"/>
    </xf>
    <xf numFmtId="49" fontId="60" fillId="0" borderId="0" xfId="2" applyNumberFormat="1" applyFont="1" applyAlignment="1" applyProtection="1">
      <alignment horizontal="left" indent="2"/>
    </xf>
    <xf numFmtId="49" fontId="66" fillId="0" borderId="0" xfId="3" applyNumberFormat="1" applyFont="1" applyFill="1"/>
    <xf numFmtId="49" fontId="68" fillId="0" borderId="0" xfId="3" applyNumberFormat="1" applyFont="1" applyFill="1" applyBorder="1"/>
    <xf numFmtId="49" fontId="68" fillId="0" borderId="0" xfId="3" applyNumberFormat="1" applyFont="1"/>
    <xf numFmtId="49" fontId="72" fillId="0" borderId="0" xfId="3" applyNumberFormat="1" applyFont="1"/>
    <xf numFmtId="0" fontId="66" fillId="0" borderId="0" xfId="3" applyFont="1" applyBorder="1" applyAlignment="1" applyProtection="1">
      <alignment horizontal="center"/>
    </xf>
    <xf numFmtId="49" fontId="72" fillId="0" borderId="0" xfId="3" applyNumberFormat="1" applyFont="1" applyFill="1" applyBorder="1"/>
    <xf numFmtId="49" fontId="122" fillId="0" borderId="0" xfId="3" applyNumberFormat="1" applyFont="1" applyFill="1" applyBorder="1"/>
    <xf numFmtId="49" fontId="72" fillId="0" borderId="0" xfId="3" applyNumberFormat="1" applyFont="1" applyAlignment="1">
      <alignment vertical="top"/>
    </xf>
    <xf numFmtId="0" fontId="66" fillId="0" borderId="144" xfId="3" applyFont="1" applyBorder="1" applyAlignment="1" applyProtection="1">
      <alignment horizontal="center"/>
    </xf>
    <xf numFmtId="49" fontId="66" fillId="0" borderId="0" xfId="3" applyNumberFormat="1" applyFont="1" applyAlignment="1">
      <alignment vertical="top"/>
    </xf>
    <xf numFmtId="0" fontId="68" fillId="0" borderId="9" xfId="3" applyFont="1" applyBorder="1" applyAlignment="1" applyProtection="1">
      <alignment horizontal="center"/>
      <protection locked="0"/>
    </xf>
    <xf numFmtId="0" fontId="66" fillId="0" borderId="0" xfId="3" applyFont="1" applyBorder="1" applyProtection="1"/>
    <xf numFmtId="0" fontId="61" fillId="0" borderId="0" xfId="3" applyFont="1" applyAlignment="1" applyProtection="1">
      <alignment horizontal="center"/>
    </xf>
    <xf numFmtId="42" fontId="61" fillId="0" borderId="0" xfId="3" applyNumberFormat="1" applyFont="1" applyProtection="1"/>
    <xf numFmtId="0" fontId="69" fillId="0" borderId="0" xfId="3" applyFont="1" applyProtection="1"/>
    <xf numFmtId="0" fontId="61" fillId="0" borderId="0" xfId="13" applyFont="1" applyBorder="1" applyProtection="1"/>
    <xf numFmtId="0" fontId="61" fillId="0" borderId="0" xfId="13" applyFont="1" applyBorder="1" applyAlignment="1" applyProtection="1">
      <alignment horizontal="center"/>
    </xf>
    <xf numFmtId="42" fontId="61" fillId="2" borderId="9" xfId="3" applyNumberFormat="1" applyFont="1" applyFill="1" applyBorder="1" applyProtection="1"/>
    <xf numFmtId="41" fontId="61" fillId="2" borderId="9" xfId="3" applyNumberFormat="1" applyFont="1" applyFill="1" applyBorder="1" applyProtection="1"/>
    <xf numFmtId="0" fontId="69" fillId="0" borderId="0" xfId="3" applyFont="1" applyAlignment="1" applyProtection="1">
      <alignment horizontal="left" indent="2"/>
    </xf>
    <xf numFmtId="42" fontId="61" fillId="2" borderId="47" xfId="3" applyNumberFormat="1" applyFont="1" applyFill="1" applyBorder="1" applyProtection="1"/>
    <xf numFmtId="0" fontId="79" fillId="0" borderId="0" xfId="3" applyFont="1" applyProtection="1"/>
    <xf numFmtId="42" fontId="61" fillId="0" borderId="69" xfId="3" applyNumberFormat="1" applyFont="1" applyBorder="1" applyProtection="1">
      <protection locked="0"/>
    </xf>
    <xf numFmtId="42" fontId="61" fillId="0" borderId="0" xfId="3" applyNumberFormat="1" applyFont="1" applyFill="1" applyProtection="1"/>
    <xf numFmtId="42" fontId="61" fillId="0" borderId="9" xfId="3" applyNumberFormat="1" applyFont="1" applyBorder="1" applyProtection="1">
      <protection locked="0"/>
    </xf>
    <xf numFmtId="42" fontId="61" fillId="0" borderId="68" xfId="3" applyNumberFormat="1" applyFont="1" applyBorder="1" applyProtection="1">
      <protection locked="0"/>
    </xf>
    <xf numFmtId="0" fontId="61" fillId="0" borderId="0" xfId="3" applyFont="1" applyAlignment="1" applyProtection="1">
      <alignment horizontal="right"/>
    </xf>
    <xf numFmtId="42" fontId="61" fillId="2" borderId="128" xfId="3" applyNumberFormat="1" applyFont="1" applyFill="1" applyBorder="1" applyProtection="1"/>
    <xf numFmtId="0" fontId="69" fillId="0" borderId="0" xfId="3" applyFont="1" applyAlignment="1" applyProtection="1">
      <alignment horizontal="center" vertical="center"/>
    </xf>
    <xf numFmtId="165" fontId="69" fillId="0" borderId="0" xfId="3" applyNumberFormat="1" applyFont="1" applyAlignment="1" applyProtection="1">
      <alignment vertical="center"/>
    </xf>
    <xf numFmtId="0" fontId="58" fillId="0" borderId="0" xfId="3" applyFont="1" applyProtection="1"/>
    <xf numFmtId="0" fontId="58" fillId="0" borderId="0" xfId="3" applyFont="1" applyFill="1" applyProtection="1"/>
    <xf numFmtId="0" fontId="61" fillId="0" borderId="0" xfId="3" applyFont="1" applyFill="1" applyProtection="1"/>
    <xf numFmtId="169" fontId="59" fillId="0" borderId="0" xfId="3" applyNumberFormat="1" applyFont="1" applyFill="1" applyProtection="1"/>
    <xf numFmtId="0" fontId="59" fillId="0" borderId="0" xfId="3" applyFont="1" applyFill="1" applyProtection="1"/>
    <xf numFmtId="0" fontId="61" fillId="0" borderId="9" xfId="3" applyFont="1" applyFill="1" applyBorder="1" applyAlignment="1" applyProtection="1">
      <alignment horizontal="center" vertical="center"/>
      <protection locked="0"/>
    </xf>
    <xf numFmtId="0" fontId="59" fillId="0" borderId="0" xfId="3" applyFont="1" applyProtection="1"/>
    <xf numFmtId="0" fontId="59" fillId="0" borderId="146" xfId="3" applyFont="1" applyBorder="1" applyProtection="1"/>
    <xf numFmtId="0" fontId="59" fillId="0" borderId="147" xfId="3" applyFont="1" applyBorder="1" applyProtection="1">
      <protection locked="0"/>
    </xf>
    <xf numFmtId="0" fontId="59" fillId="0" borderId="146" xfId="3" applyFont="1" applyBorder="1" applyAlignment="1" applyProtection="1">
      <alignment horizontal="center"/>
      <protection locked="0"/>
    </xf>
    <xf numFmtId="0" fontId="69" fillId="0" borderId="0" xfId="3" applyFont="1" applyAlignment="1" applyProtection="1">
      <alignment horizontal="center"/>
    </xf>
    <xf numFmtId="0" fontId="58" fillId="0" borderId="0" xfId="3" applyFont="1" applyBorder="1" applyProtection="1"/>
    <xf numFmtId="5" fontId="59" fillId="0" borderId="78" xfId="3" applyNumberFormat="1" applyFont="1" applyBorder="1" applyAlignment="1" applyProtection="1">
      <protection locked="0"/>
    </xf>
    <xf numFmtId="5" fontId="59" fillId="0" borderId="76" xfId="3" applyNumberFormat="1" applyFont="1" applyBorder="1" applyAlignment="1" applyProtection="1">
      <protection locked="0"/>
    </xf>
    <xf numFmtId="5" fontId="69" fillId="0" borderId="0" xfId="3" applyNumberFormat="1" applyFont="1" applyAlignment="1" applyProtection="1"/>
    <xf numFmtId="0" fontId="69" fillId="0" borderId="0" xfId="3" applyFont="1" applyAlignment="1" applyProtection="1"/>
    <xf numFmtId="5" fontId="59" fillId="0" borderId="78" xfId="3" applyNumberFormat="1" applyFont="1" applyBorder="1" applyAlignment="1" applyProtection="1">
      <alignment horizontal="center"/>
      <protection locked="0"/>
    </xf>
    <xf numFmtId="5" fontId="59" fillId="0" borderId="76" xfId="3" applyNumberFormat="1" applyFont="1" applyBorder="1" applyAlignment="1" applyProtection="1">
      <alignment horizontal="center"/>
      <protection locked="0"/>
    </xf>
    <xf numFmtId="0" fontId="69" fillId="0" borderId="0" xfId="3" applyFont="1" applyBorder="1" applyProtection="1"/>
    <xf numFmtId="0" fontId="66" fillId="0" borderId="0" xfId="3" applyFont="1" applyAlignment="1" applyProtection="1">
      <alignment vertical="top"/>
    </xf>
    <xf numFmtId="0" fontId="66" fillId="0" borderId="78" xfId="3" applyFont="1" applyBorder="1" applyAlignment="1" applyProtection="1">
      <alignment vertical="top"/>
    </xf>
    <xf numFmtId="0" fontId="61" fillId="0" borderId="78" xfId="3" applyFont="1" applyBorder="1" applyProtection="1"/>
    <xf numFmtId="0" fontId="66" fillId="0" borderId="0" xfId="3" applyFont="1" applyBorder="1" applyAlignment="1" applyProtection="1">
      <alignment vertical="top"/>
    </xf>
    <xf numFmtId="0" fontId="123" fillId="0" borderId="0" xfId="3" applyFont="1" applyAlignment="1" applyProtection="1">
      <alignment vertical="top"/>
    </xf>
    <xf numFmtId="0" fontId="66" fillId="0" borderId="0" xfId="3" applyFont="1" applyProtection="1"/>
    <xf numFmtId="0" fontId="123" fillId="0" borderId="0" xfId="3" applyFont="1" applyAlignment="1" applyProtection="1">
      <alignment horizontal="right" vertical="top"/>
    </xf>
    <xf numFmtId="0" fontId="76" fillId="0" borderId="0" xfId="3" applyFont="1" applyAlignment="1" applyProtection="1">
      <alignment horizontal="center" vertical="center"/>
    </xf>
    <xf numFmtId="0" fontId="61" fillId="0" borderId="45" xfId="3" applyFont="1" applyBorder="1" applyProtection="1"/>
    <xf numFmtId="169" fontId="68" fillId="0" borderId="45" xfId="3" applyNumberFormat="1" applyFont="1" applyBorder="1" applyAlignment="1" applyProtection="1">
      <alignment horizontal="center"/>
    </xf>
    <xf numFmtId="1" fontId="68" fillId="0" borderId="145" xfId="3" applyNumberFormat="1" applyFont="1" applyBorder="1" applyAlignment="1" applyProtection="1">
      <alignment horizontal="center"/>
    </xf>
    <xf numFmtId="0" fontId="68" fillId="0" borderId="144" xfId="3" applyFont="1" applyBorder="1" applyAlignment="1" applyProtection="1">
      <alignment horizontal="centerContinuous"/>
    </xf>
    <xf numFmtId="0" fontId="68" fillId="0" borderId="145" xfId="3" applyFont="1" applyBorder="1" applyAlignment="1" applyProtection="1">
      <alignment horizontal="centerContinuous"/>
    </xf>
    <xf numFmtId="0" fontId="68" fillId="0" borderId="73" xfId="3" applyFont="1" applyBorder="1" applyAlignment="1" applyProtection="1">
      <alignment horizontal="centerContinuous"/>
    </xf>
    <xf numFmtId="0" fontId="68" fillId="0" borderId="45" xfId="3" applyFont="1" applyBorder="1" applyAlignment="1" applyProtection="1">
      <alignment horizontal="center"/>
    </xf>
    <xf numFmtId="0" fontId="68" fillId="5" borderId="45" xfId="3" applyFont="1" applyFill="1" applyBorder="1" applyAlignment="1" applyProtection="1">
      <alignment horizontal="center"/>
    </xf>
    <xf numFmtId="0" fontId="68" fillId="5" borderId="145" xfId="3" applyFont="1" applyFill="1" applyBorder="1" applyAlignment="1" applyProtection="1">
      <alignment horizontal="center"/>
    </xf>
    <xf numFmtId="0" fontId="68" fillId="0" borderId="5" xfId="3" applyFont="1" applyBorder="1" applyAlignment="1" applyProtection="1">
      <alignment horizontal="left"/>
    </xf>
    <xf numFmtId="169" fontId="68" fillId="0" borderId="44" xfId="3" applyNumberFormat="1" applyFont="1" applyBorder="1" applyAlignment="1" applyProtection="1">
      <alignment horizontal="center"/>
    </xf>
    <xf numFmtId="1" fontId="68" fillId="0" borderId="40" xfId="3" applyNumberFormat="1" applyFont="1" applyBorder="1" applyAlignment="1" applyProtection="1">
      <alignment horizontal="center"/>
    </xf>
    <xf numFmtId="0" fontId="68" fillId="0" borderId="0" xfId="3" applyFont="1" applyBorder="1" applyAlignment="1" applyProtection="1">
      <alignment horizontal="centerContinuous"/>
    </xf>
    <xf numFmtId="0" fontId="68" fillId="0" borderId="40" xfId="3" applyFont="1" applyBorder="1" applyAlignment="1" applyProtection="1">
      <alignment horizontal="centerContinuous"/>
    </xf>
    <xf numFmtId="0" fontId="68" fillId="20" borderId="72" xfId="3" applyFont="1" applyFill="1" applyBorder="1" applyAlignment="1" applyProtection="1">
      <alignment horizontal="center"/>
    </xf>
    <xf numFmtId="0" fontId="68" fillId="21" borderId="72" xfId="3" applyFont="1" applyFill="1" applyBorder="1" applyAlignment="1" applyProtection="1">
      <alignment horizontal="center"/>
    </xf>
    <xf numFmtId="0" fontId="68" fillId="0" borderId="72" xfId="3" applyFont="1" applyBorder="1" applyAlignment="1" applyProtection="1">
      <alignment horizontal="center"/>
    </xf>
    <xf numFmtId="0" fontId="68" fillId="5" borderId="72" xfId="3" applyFont="1" applyFill="1" applyBorder="1" applyAlignment="1" applyProtection="1">
      <alignment horizontal="center"/>
    </xf>
    <xf numFmtId="0" fontId="68" fillId="5" borderId="40" xfId="3" applyFont="1" applyFill="1" applyBorder="1" applyAlignment="1" applyProtection="1">
      <alignment horizontal="center"/>
    </xf>
    <xf numFmtId="0" fontId="68" fillId="0" borderId="44" xfId="3" applyFont="1" applyBorder="1" applyAlignment="1" applyProtection="1">
      <alignment horizontal="center"/>
    </xf>
    <xf numFmtId="0" fontId="68" fillId="0" borderId="40" xfId="3" applyFont="1" applyBorder="1" applyAlignment="1" applyProtection="1">
      <alignment horizontal="center"/>
    </xf>
    <xf numFmtId="0" fontId="68" fillId="0" borderId="5" xfId="3" applyFont="1" applyBorder="1" applyAlignment="1" applyProtection="1">
      <alignment horizontal="center"/>
    </xf>
    <xf numFmtId="0" fontId="68" fillId="0" borderId="71" xfId="3" applyFont="1" applyBorder="1" applyAlignment="1" applyProtection="1"/>
    <xf numFmtId="0" fontId="68" fillId="5" borderId="72" xfId="3" quotePrefix="1" applyFont="1" applyFill="1" applyBorder="1" applyAlignment="1" applyProtection="1">
      <alignment horizontal="center"/>
    </xf>
    <xf numFmtId="169" fontId="68" fillId="0" borderId="8" xfId="3" applyNumberFormat="1" applyFont="1" applyBorder="1" applyAlignment="1" applyProtection="1">
      <alignment horizontal="center"/>
    </xf>
    <xf numFmtId="1" fontId="68" fillId="0" borderId="59" xfId="3" applyNumberFormat="1" applyFont="1" applyBorder="1" applyAlignment="1" applyProtection="1">
      <alignment horizontal="center"/>
    </xf>
    <xf numFmtId="0" fontId="68" fillId="0" borderId="8" xfId="3" applyFont="1" applyBorder="1" applyAlignment="1" applyProtection="1">
      <alignment horizontal="center"/>
    </xf>
    <xf numFmtId="0" fontId="68" fillId="0" borderId="59" xfId="3" applyFont="1" applyBorder="1" applyAlignment="1" applyProtection="1">
      <alignment horizontal="center"/>
    </xf>
    <xf numFmtId="0" fontId="68" fillId="0" borderId="50" xfId="3" applyFont="1" applyBorder="1" applyAlignment="1" applyProtection="1">
      <alignment horizontal="center"/>
    </xf>
    <xf numFmtId="0" fontId="68" fillId="20" borderId="70" xfId="3" applyFont="1" applyFill="1" applyBorder="1" applyAlignment="1" applyProtection="1">
      <alignment horizontal="center"/>
    </xf>
    <xf numFmtId="0" fontId="68" fillId="5" borderId="70" xfId="3" applyFont="1" applyFill="1" applyBorder="1" applyAlignment="1" applyProtection="1">
      <alignment horizontal="center"/>
    </xf>
    <xf numFmtId="0" fontId="68" fillId="21" borderId="70" xfId="3" applyFont="1" applyFill="1" applyBorder="1" applyAlignment="1" applyProtection="1">
      <alignment horizontal="center"/>
    </xf>
    <xf numFmtId="0" fontId="68" fillId="0" borderId="70" xfId="3" applyFont="1" applyBorder="1" applyAlignment="1" applyProtection="1">
      <alignment horizontal="center"/>
    </xf>
    <xf numFmtId="0" fontId="68" fillId="5" borderId="59" xfId="3" applyFont="1" applyFill="1" applyBorder="1" applyAlignment="1" applyProtection="1">
      <alignment horizontal="center"/>
    </xf>
    <xf numFmtId="3" fontId="66" fillId="0" borderId="22" xfId="3" applyNumberFormat="1" applyFont="1" applyBorder="1" applyAlignment="1" applyProtection="1">
      <alignment horizontal="left" vertical="center" wrapText="1"/>
      <protection locked="0"/>
    </xf>
    <xf numFmtId="169" fontId="66" fillId="0" borderId="8" xfId="3" applyNumberFormat="1" applyFont="1" applyBorder="1" applyAlignment="1" applyProtection="1">
      <alignment horizontal="center"/>
      <protection locked="0"/>
    </xf>
    <xf numFmtId="1" fontId="66" fillId="0" borderId="8" xfId="3" applyNumberFormat="1" applyFont="1" applyBorder="1" applyAlignment="1" applyProtection="1">
      <alignment horizontal="center"/>
      <protection locked="0"/>
    </xf>
    <xf numFmtId="3" fontId="66" fillId="0" borderId="8" xfId="3" applyNumberFormat="1" applyFont="1" applyBorder="1" applyAlignment="1" applyProtection="1">
      <alignment horizontal="center"/>
      <protection locked="0"/>
    </xf>
    <xf numFmtId="169" fontId="66" fillId="0" borderId="22" xfId="3" applyNumberFormat="1" applyFont="1" applyBorder="1" applyAlignment="1" applyProtection="1">
      <alignment horizontal="center"/>
      <protection locked="0"/>
    </xf>
    <xf numFmtId="1" fontId="66" fillId="0" borderId="22" xfId="3" applyNumberFormat="1" applyFont="1" applyBorder="1" applyAlignment="1" applyProtection="1">
      <alignment horizontal="center"/>
      <protection locked="0"/>
    </xf>
    <xf numFmtId="3" fontId="66" fillId="0" borderId="22" xfId="3" applyNumberFormat="1" applyFont="1" applyBorder="1" applyAlignment="1" applyProtection="1">
      <alignment horizontal="center"/>
      <protection locked="0"/>
    </xf>
    <xf numFmtId="0" fontId="61" fillId="0" borderId="0" xfId="3" applyFont="1" applyAlignment="1" applyProtection="1">
      <alignment textRotation="180" wrapText="1"/>
    </xf>
    <xf numFmtId="3" fontId="66" fillId="0" borderId="0" xfId="3" applyNumberFormat="1" applyFont="1" applyBorder="1" applyAlignment="1" applyProtection="1">
      <alignment horizontal="left" vertical="center" wrapText="1"/>
      <protection locked="0"/>
    </xf>
    <xf numFmtId="169" fontId="66" fillId="0" borderId="0" xfId="3" applyNumberFormat="1" applyFont="1" applyBorder="1" applyAlignment="1" applyProtection="1">
      <alignment horizontal="center"/>
      <protection locked="0"/>
    </xf>
    <xf numFmtId="1" fontId="66" fillId="0" borderId="0" xfId="3" applyNumberFormat="1" applyFont="1" applyBorder="1" applyAlignment="1" applyProtection="1">
      <alignment horizontal="center"/>
      <protection locked="0"/>
    </xf>
    <xf numFmtId="3" fontId="66" fillId="0" borderId="0" xfId="3" applyNumberFormat="1" applyFont="1" applyBorder="1" applyAlignment="1" applyProtection="1">
      <alignment horizontal="center"/>
      <protection locked="0"/>
    </xf>
    <xf numFmtId="169" fontId="66" fillId="0" borderId="0" xfId="3" applyNumberFormat="1" applyFont="1" applyBorder="1" applyProtection="1"/>
    <xf numFmtId="1" fontId="66" fillId="0" borderId="0" xfId="3" applyNumberFormat="1" applyFont="1" applyBorder="1" applyProtection="1"/>
    <xf numFmtId="0" fontId="58" fillId="20" borderId="0" xfId="3" applyFont="1" applyFill="1" applyProtection="1"/>
    <xf numFmtId="169" fontId="61" fillId="20" borderId="0" xfId="3" applyNumberFormat="1" applyFont="1" applyFill="1" applyProtection="1"/>
    <xf numFmtId="1" fontId="61" fillId="20" borderId="0" xfId="3" applyNumberFormat="1" applyFont="1" applyFill="1" applyProtection="1"/>
    <xf numFmtId="0" fontId="61" fillId="20" borderId="0" xfId="3" applyFont="1" applyFill="1" applyProtection="1"/>
    <xf numFmtId="169" fontId="61" fillId="0" borderId="0" xfId="3" applyNumberFormat="1" applyFont="1" applyFill="1" applyProtection="1"/>
    <xf numFmtId="1" fontId="61" fillId="0" borderId="0" xfId="3" applyNumberFormat="1" applyFont="1" applyFill="1" applyProtection="1"/>
    <xf numFmtId="169" fontId="61" fillId="0" borderId="0" xfId="3" applyNumberFormat="1" applyFont="1" applyProtection="1"/>
    <xf numFmtId="1" fontId="61" fillId="0" borderId="0" xfId="3" applyNumberFormat="1" applyFont="1" applyProtection="1"/>
    <xf numFmtId="0" fontId="58" fillId="0" borderId="78" xfId="3" applyFont="1" applyBorder="1" applyProtection="1"/>
    <xf numFmtId="169" fontId="61" fillId="0" borderId="78" xfId="3" applyNumberFormat="1" applyFont="1" applyBorder="1" applyProtection="1"/>
    <xf numFmtId="1" fontId="61" fillId="0" borderId="78" xfId="3" applyNumberFormat="1" applyFont="1" applyBorder="1" applyProtection="1"/>
    <xf numFmtId="0" fontId="61" fillId="0" borderId="78" xfId="3" applyFont="1" applyBorder="1" applyAlignment="1" applyProtection="1">
      <alignment horizontal="center"/>
    </xf>
    <xf numFmtId="0" fontId="123" fillId="0" borderId="0" xfId="3" applyFont="1" applyAlignment="1" applyProtection="1">
      <alignment horizontal="left" wrapText="1"/>
    </xf>
    <xf numFmtId="0" fontId="123" fillId="0" borderId="0" xfId="3" applyFont="1" applyAlignment="1" applyProtection="1"/>
    <xf numFmtId="0" fontId="123" fillId="0" borderId="0" xfId="3" applyFont="1" applyAlignment="1" applyProtection="1">
      <alignment wrapText="1"/>
    </xf>
    <xf numFmtId="0" fontId="66" fillId="0" borderId="0" xfId="3" applyFont="1" applyAlignment="1" applyProtection="1">
      <alignment horizontal="left" wrapText="1"/>
    </xf>
    <xf numFmtId="0" fontId="66" fillId="0" borderId="0" xfId="3" applyFont="1" applyAlignment="1" applyProtection="1">
      <alignment horizontal="left"/>
    </xf>
    <xf numFmtId="169" fontId="66" fillId="0" borderId="0" xfId="3" applyNumberFormat="1" applyFont="1" applyProtection="1"/>
    <xf numFmtId="1" fontId="66" fillId="0" borderId="0" xfId="3" applyNumberFormat="1" applyFont="1" applyProtection="1"/>
    <xf numFmtId="0" fontId="66" fillId="0" borderId="0" xfId="3" applyFont="1" applyAlignment="1" applyProtection="1">
      <alignment horizontal="center"/>
    </xf>
    <xf numFmtId="0" fontId="123" fillId="0" borderId="0" xfId="3" applyFont="1" applyAlignment="1" applyProtection="1">
      <alignment vertical="center"/>
    </xf>
    <xf numFmtId="0" fontId="124" fillId="0" borderId="0" xfId="3" applyFont="1" applyFill="1" applyProtection="1"/>
    <xf numFmtId="0" fontId="69" fillId="0" borderId="0" xfId="3" applyFont="1" applyAlignment="1" applyProtection="1">
      <alignment vertical="center"/>
    </xf>
    <xf numFmtId="49" fontId="69" fillId="0" borderId="0" xfId="3" applyNumberFormat="1" applyFont="1" applyBorder="1" applyAlignment="1" applyProtection="1">
      <alignment horizontal="center" vertical="top"/>
    </xf>
    <xf numFmtId="165" fontId="58" fillId="0" borderId="0" xfId="3" applyNumberFormat="1" applyFont="1" applyBorder="1" applyAlignment="1" applyProtection="1">
      <alignment horizontal="center" vertical="center"/>
    </xf>
    <xf numFmtId="166" fontId="69" fillId="0" borderId="0" xfId="3" applyNumberFormat="1" applyFont="1" applyBorder="1" applyAlignment="1" applyProtection="1">
      <alignment horizontal="center" vertical="top"/>
    </xf>
    <xf numFmtId="0" fontId="58" fillId="0" borderId="0" xfId="3" applyFont="1" applyAlignment="1" applyProtection="1">
      <alignment horizontal="center" vertical="center"/>
    </xf>
    <xf numFmtId="0" fontId="69" fillId="0" borderId="144" xfId="3" applyFont="1" applyBorder="1" applyProtection="1"/>
    <xf numFmtId="0" fontId="61" fillId="0" borderId="144" xfId="3" applyFont="1" applyBorder="1" applyProtection="1"/>
    <xf numFmtId="0" fontId="61" fillId="0" borderId="144" xfId="3" applyFont="1" applyBorder="1" applyAlignment="1" applyProtection="1">
      <alignment horizontal="center"/>
    </xf>
    <xf numFmtId="0" fontId="61" fillId="0" borderId="0" xfId="3" applyFont="1" applyFill="1" applyBorder="1" applyProtection="1"/>
    <xf numFmtId="0" fontId="69" fillId="0" borderId="0" xfId="3" applyFont="1" applyFill="1" applyBorder="1" applyAlignment="1" applyProtection="1">
      <alignment horizontal="centerContinuous"/>
    </xf>
    <xf numFmtId="0" fontId="61" fillId="0" borderId="0" xfId="3" applyFont="1" applyBorder="1" applyAlignment="1" applyProtection="1">
      <alignment horizontal="center"/>
    </xf>
    <xf numFmtId="0" fontId="68" fillId="0" borderId="0" xfId="3" applyFont="1" applyBorder="1" applyProtection="1"/>
    <xf numFmtId="0" fontId="69" fillId="0" borderId="0" xfId="3" applyFont="1" applyBorder="1" applyAlignment="1" applyProtection="1">
      <alignment horizontal="right"/>
    </xf>
    <xf numFmtId="178" fontId="69" fillId="0" borderId="9" xfId="3" applyNumberFormat="1" applyFont="1" applyBorder="1" applyAlignment="1" applyProtection="1">
      <alignment horizontal="left"/>
      <protection locked="0"/>
    </xf>
    <xf numFmtId="0" fontId="68" fillId="0" borderId="0" xfId="3" applyFont="1" applyProtection="1"/>
    <xf numFmtId="0" fontId="61" fillId="0" borderId="22" xfId="3" applyFont="1" applyBorder="1" applyAlignment="1" applyProtection="1">
      <alignment horizontal="center" vertical="center"/>
      <protection locked="0"/>
    </xf>
    <xf numFmtId="0" fontId="61" fillId="0" borderId="0" xfId="3" applyFont="1" applyBorder="1" applyAlignment="1" applyProtection="1">
      <alignment horizontal="left" indent="1"/>
    </xf>
    <xf numFmtId="0" fontId="68" fillId="0" borderId="0" xfId="3" applyFont="1" applyBorder="1" applyAlignment="1" applyProtection="1">
      <alignment horizontal="left" indent="1"/>
    </xf>
    <xf numFmtId="0" fontId="68" fillId="0" borderId="0" xfId="3" applyFont="1" applyBorder="1" applyAlignment="1" applyProtection="1">
      <alignment horizontal="left"/>
    </xf>
    <xf numFmtId="0" fontId="61" fillId="0" borderId="9" xfId="3" applyFont="1" applyBorder="1" applyProtection="1">
      <protection locked="0"/>
    </xf>
    <xf numFmtId="0" fontId="68" fillId="0" borderId="144" xfId="3" quotePrefix="1" applyFont="1" applyBorder="1" applyAlignment="1" applyProtection="1">
      <alignment horizontal="left"/>
    </xf>
    <xf numFmtId="0" fontId="59" fillId="0" borderId="144" xfId="3" applyFont="1" applyBorder="1" applyProtection="1"/>
    <xf numFmtId="0" fontId="59" fillId="0" borderId="144" xfId="3" applyFont="1" applyBorder="1" applyAlignment="1" applyProtection="1">
      <alignment horizontal="center"/>
    </xf>
    <xf numFmtId="0" fontId="59" fillId="0" borderId="0" xfId="3" applyFont="1" applyFill="1" applyBorder="1" applyProtection="1"/>
    <xf numFmtId="0" fontId="61" fillId="0" borderId="0" xfId="3" applyFont="1" applyFill="1" applyBorder="1" applyAlignment="1" applyProtection="1"/>
    <xf numFmtId="0" fontId="61" fillId="0" borderId="0" xfId="3" applyFont="1" applyAlignment="1" applyProtection="1">
      <alignment horizontal="left"/>
    </xf>
    <xf numFmtId="0" fontId="61" fillId="0" borderId="0" xfId="3" applyFont="1" applyAlignment="1" applyProtection="1"/>
    <xf numFmtId="8" fontId="61" fillId="0" borderId="0" xfId="3" applyNumberFormat="1" applyFont="1" applyAlignment="1" applyProtection="1">
      <alignment horizontal="left"/>
    </xf>
    <xf numFmtId="0" fontId="68" fillId="0" borderId="144" xfId="3" applyFont="1" applyBorder="1" applyProtection="1"/>
    <xf numFmtId="0" fontId="61" fillId="0" borderId="0" xfId="3" applyFont="1" applyBorder="1" applyAlignment="1" applyProtection="1">
      <alignment horizontal="left"/>
    </xf>
    <xf numFmtId="0" fontId="68" fillId="0" borderId="144" xfId="3" applyFont="1" applyBorder="1" applyAlignment="1" applyProtection="1">
      <alignment horizontal="left"/>
    </xf>
    <xf numFmtId="0" fontId="61" fillId="0" borderId="78" xfId="3" applyFont="1" applyFill="1" applyBorder="1" applyProtection="1"/>
    <xf numFmtId="0" fontId="61" fillId="0" borderId="78" xfId="3" applyFont="1" applyFill="1" applyBorder="1" applyAlignment="1" applyProtection="1">
      <alignment horizontal="center"/>
    </xf>
    <xf numFmtId="0" fontId="123" fillId="0" borderId="0" xfId="3" applyFont="1" applyBorder="1" applyProtection="1"/>
    <xf numFmtId="0" fontId="123" fillId="0" borderId="0" xfId="3" applyFont="1" applyProtection="1"/>
    <xf numFmtId="0" fontId="68" fillId="0" borderId="0" xfId="3" applyFont="1" applyAlignment="1" applyProtection="1">
      <alignment horizontal="center" vertical="top" textRotation="180"/>
    </xf>
    <xf numFmtId="0" fontId="68" fillId="0" borderId="0" xfId="3" applyFont="1" applyAlignment="1" applyProtection="1">
      <alignment horizontal="right" vertical="center" textRotation="180"/>
    </xf>
    <xf numFmtId="0" fontId="69" fillId="0" borderId="0" xfId="3" applyFont="1" applyAlignment="1" applyProtection="1">
      <alignment vertical="center" textRotation="180"/>
    </xf>
    <xf numFmtId="169" fontId="69" fillId="0" borderId="0" xfId="3" applyNumberFormat="1" applyFont="1" applyBorder="1" applyProtection="1"/>
    <xf numFmtId="169" fontId="61" fillId="0" borderId="144" xfId="3" applyNumberFormat="1" applyFont="1" applyBorder="1" applyProtection="1"/>
    <xf numFmtId="169" fontId="61" fillId="0" borderId="9" xfId="3" applyNumberFormat="1" applyFont="1" applyBorder="1" applyProtection="1"/>
    <xf numFmtId="0" fontId="61" fillId="0" borderId="9" xfId="3" applyFont="1" applyBorder="1" applyProtection="1"/>
    <xf numFmtId="0" fontId="61" fillId="0" borderId="9" xfId="3" applyFont="1" applyBorder="1" applyAlignment="1" applyProtection="1">
      <alignment horizontal="center"/>
    </xf>
    <xf numFmtId="169" fontId="61" fillId="0" borderId="0" xfId="3" applyNumberFormat="1" applyFont="1" applyBorder="1" applyProtection="1"/>
    <xf numFmtId="169" fontId="91" fillId="0" borderId="0" xfId="3" applyNumberFormat="1" applyFont="1" applyBorder="1" applyAlignment="1" applyProtection="1">
      <alignment horizontal="left"/>
    </xf>
    <xf numFmtId="0" fontId="83" fillId="0" borderId="0" xfId="3" applyFont="1" applyBorder="1" applyAlignment="1" applyProtection="1">
      <alignment horizontal="left"/>
    </xf>
    <xf numFmtId="0" fontId="61" fillId="0" borderId="0" xfId="3" applyFont="1" applyBorder="1" applyAlignment="1" applyProtection="1"/>
    <xf numFmtId="0" fontId="66" fillId="0" borderId="0" xfId="3" applyFont="1" applyBorder="1" applyAlignment="1" applyProtection="1">
      <alignment horizontal="centerContinuous"/>
    </xf>
    <xf numFmtId="0" fontId="61" fillId="0" borderId="0" xfId="3" applyFont="1" applyBorder="1" applyAlignment="1" applyProtection="1">
      <alignment horizontal="centerContinuous"/>
    </xf>
    <xf numFmtId="169" fontId="68" fillId="0" borderId="0" xfId="3" applyNumberFormat="1" applyFont="1" applyProtection="1"/>
    <xf numFmtId="169" fontId="66" fillId="0" borderId="0" xfId="3" applyNumberFormat="1" applyFont="1" applyAlignment="1" applyProtection="1">
      <alignment horizontal="left"/>
    </xf>
    <xf numFmtId="0" fontId="59" fillId="0" borderId="0" xfId="3" applyFont="1" applyAlignment="1" applyProtection="1">
      <alignment horizontal="left"/>
    </xf>
    <xf numFmtId="0" fontId="61" fillId="0" borderId="9" xfId="3" applyFont="1" applyBorder="1" applyAlignment="1" applyProtection="1">
      <alignment horizontal="center" vertical="center"/>
      <protection locked="0"/>
    </xf>
    <xf numFmtId="0" fontId="61" fillId="0" borderId="0" xfId="3" applyFont="1" applyBorder="1" applyAlignment="1" applyProtection="1">
      <alignment horizontal="center" vertical="center"/>
      <protection locked="0"/>
    </xf>
    <xf numFmtId="0" fontId="114" fillId="0" borderId="0" xfId="3" applyFont="1" applyBorder="1" applyAlignment="1" applyProtection="1">
      <alignment horizontal="left"/>
    </xf>
    <xf numFmtId="169" fontId="72" fillId="0" borderId="0" xfId="3" applyNumberFormat="1" applyFont="1" applyProtection="1"/>
    <xf numFmtId="0" fontId="63" fillId="0" borderId="0" xfId="3" applyFont="1" applyProtection="1"/>
    <xf numFmtId="169" fontId="66" fillId="0" borderId="149" xfId="3" applyNumberFormat="1" applyFont="1" applyBorder="1" applyAlignment="1" applyProtection="1">
      <alignment horizontal="center"/>
    </xf>
    <xf numFmtId="169" fontId="66" fillId="0" borderId="77" xfId="3" applyNumberFormat="1" applyFont="1" applyBorder="1" applyAlignment="1" applyProtection="1">
      <alignment horizontal="center"/>
      <protection locked="0"/>
    </xf>
    <xf numFmtId="169" fontId="126" fillId="0" borderId="0" xfId="3" applyNumberFormat="1" applyFont="1" applyProtection="1"/>
    <xf numFmtId="6" fontId="122" fillId="0" borderId="76" xfId="3" applyNumberFormat="1" applyFont="1" applyBorder="1" applyProtection="1"/>
    <xf numFmtId="6" fontId="122" fillId="0" borderId="0" xfId="3" applyNumberFormat="1" applyFont="1" applyBorder="1" applyProtection="1"/>
    <xf numFmtId="10" fontId="68" fillId="0" borderId="77" xfId="3" applyNumberFormat="1" applyFont="1" applyBorder="1" applyProtection="1"/>
    <xf numFmtId="6" fontId="66" fillId="0" borderId="0" xfId="3" applyNumberFormat="1" applyFont="1" applyProtection="1"/>
    <xf numFmtId="0" fontId="122" fillId="0" borderId="0" xfId="3" applyFont="1" applyProtection="1"/>
    <xf numFmtId="10" fontId="126" fillId="0" borderId="0" xfId="3" applyNumberFormat="1" applyFont="1" applyBorder="1" applyProtection="1"/>
    <xf numFmtId="2" fontId="79" fillId="0" borderId="78" xfId="3" applyNumberFormat="1" applyFont="1" applyBorder="1" applyProtection="1"/>
    <xf numFmtId="0" fontId="79" fillId="0" borderId="78" xfId="3" applyFont="1" applyBorder="1" applyAlignment="1" applyProtection="1">
      <alignment horizontal="center"/>
    </xf>
    <xf numFmtId="0" fontId="79" fillId="0" borderId="78" xfId="3" applyFont="1" applyBorder="1" applyProtection="1"/>
    <xf numFmtId="2" fontId="79" fillId="0" borderId="0" xfId="3" applyNumberFormat="1" applyFont="1" applyBorder="1" applyProtection="1"/>
    <xf numFmtId="0" fontId="79" fillId="0" borderId="0" xfId="3" applyFont="1" applyBorder="1" applyAlignment="1" applyProtection="1">
      <alignment horizontal="center"/>
    </xf>
    <xf numFmtId="0" fontId="79" fillId="0" borderId="0" xfId="3" applyFont="1" applyBorder="1" applyProtection="1"/>
    <xf numFmtId="0" fontId="66" fillId="0" borderId="0" xfId="3" applyFont="1" applyAlignment="1" applyProtection="1">
      <alignment horizontal="left" vertical="center"/>
    </xf>
    <xf numFmtId="169" fontId="123" fillId="0" borderId="0" xfId="3" applyNumberFormat="1" applyFont="1" applyBorder="1" applyAlignment="1" applyProtection="1">
      <alignment horizontal="left" vertical="center"/>
    </xf>
    <xf numFmtId="0" fontId="123" fillId="0" borderId="0" xfId="3" applyFont="1" applyBorder="1" applyAlignment="1" applyProtection="1">
      <alignment horizontal="left" vertical="center"/>
    </xf>
    <xf numFmtId="0" fontId="61" fillId="0" borderId="0" xfId="3" applyFont="1" applyAlignment="1" applyProtection="1">
      <alignment horizontal="left" vertical="center"/>
    </xf>
    <xf numFmtId="169" fontId="66" fillId="0" borderId="0" xfId="3" applyNumberFormat="1" applyFont="1" applyAlignment="1" applyProtection="1">
      <alignment horizontal="left" vertical="center"/>
    </xf>
    <xf numFmtId="169" fontId="123" fillId="0" borderId="0" xfId="3" applyNumberFormat="1" applyFont="1" applyAlignment="1" applyProtection="1">
      <alignment horizontal="left" vertical="center"/>
    </xf>
    <xf numFmtId="0" fontId="123" fillId="0" borderId="0" xfId="3" applyFont="1" applyAlignment="1" applyProtection="1">
      <alignment horizontal="left" vertical="center"/>
    </xf>
    <xf numFmtId="0" fontId="59" fillId="0" borderId="0" xfId="3" applyFont="1" applyBorder="1" applyAlignment="1" applyProtection="1">
      <alignment horizontal="center"/>
    </xf>
    <xf numFmtId="49" fontId="58" fillId="0" borderId="0" xfId="3" applyNumberFormat="1" applyFont="1" applyBorder="1" applyAlignment="1" applyProtection="1">
      <alignment horizontal="center" vertical="center"/>
    </xf>
    <xf numFmtId="166" fontId="58" fillId="0" borderId="0" xfId="3" applyNumberFormat="1" applyFont="1" applyBorder="1" applyAlignment="1" applyProtection="1">
      <alignment horizontal="center" vertical="center"/>
    </xf>
    <xf numFmtId="49" fontId="58" fillId="0" borderId="0" xfId="3" applyNumberFormat="1" applyFont="1" applyAlignment="1" applyProtection="1">
      <alignment horizontal="center" vertical="center"/>
    </xf>
    <xf numFmtId="0" fontId="59" fillId="0" borderId="0" xfId="3" applyFont="1" applyBorder="1" applyAlignment="1" applyProtection="1">
      <alignment vertical="center"/>
    </xf>
    <xf numFmtId="0" fontId="72" fillId="0" borderId="0" xfId="3" applyFont="1" applyBorder="1" applyAlignment="1" applyProtection="1">
      <alignment horizontal="center"/>
    </xf>
    <xf numFmtId="179" fontId="61" fillId="0" borderId="0" xfId="3" applyNumberFormat="1" applyFont="1" applyBorder="1" applyProtection="1">
      <protection locked="0"/>
    </xf>
    <xf numFmtId="179" fontId="61" fillId="0" borderId="0" xfId="3" applyNumberFormat="1" applyFont="1" applyBorder="1" applyAlignment="1" applyProtection="1">
      <alignment horizontal="left"/>
      <protection locked="0"/>
    </xf>
    <xf numFmtId="179" fontId="68" fillId="0" borderId="0" xfId="3" applyNumberFormat="1" applyFont="1" applyProtection="1">
      <protection locked="0"/>
    </xf>
    <xf numFmtId="179" fontId="61" fillId="0" borderId="0" xfId="3" applyNumberFormat="1" applyFont="1" applyProtection="1">
      <protection locked="0"/>
    </xf>
    <xf numFmtId="179" fontId="61" fillId="0" borderId="0" xfId="3" applyNumberFormat="1" applyFont="1" applyAlignment="1" applyProtection="1">
      <alignment horizontal="left"/>
      <protection locked="0"/>
    </xf>
    <xf numFmtId="49" fontId="83" fillId="0" borderId="0" xfId="3" applyNumberFormat="1" applyFont="1" applyBorder="1" applyAlignment="1" applyProtection="1">
      <alignment horizontal="left"/>
      <protection locked="0"/>
    </xf>
    <xf numFmtId="49" fontId="61" fillId="0" borderId="0" xfId="3" applyNumberFormat="1" applyFont="1" applyProtection="1">
      <protection locked="0"/>
    </xf>
    <xf numFmtId="49" fontId="61" fillId="0" borderId="78" xfId="3" applyNumberFormat="1" applyFont="1" applyBorder="1" applyAlignment="1" applyProtection="1">
      <protection locked="0"/>
    </xf>
    <xf numFmtId="0" fontId="61" fillId="0" borderId="78" xfId="3" applyFont="1" applyBorder="1" applyProtection="1">
      <protection locked="0"/>
    </xf>
    <xf numFmtId="0" fontId="123" fillId="0" borderId="0" xfId="3" applyFont="1" applyAlignment="1" applyProtection="1">
      <alignment horizontal="left"/>
    </xf>
    <xf numFmtId="0" fontId="66" fillId="0" borderId="0" xfId="3" applyFont="1" applyAlignment="1" applyProtection="1">
      <alignment horizontal="left" vertical="center" indent="2"/>
    </xf>
    <xf numFmtId="49" fontId="74" fillId="0" borderId="0" xfId="0" applyNumberFormat="1" applyFont="1" applyBorder="1" applyAlignment="1">
      <alignment horizontal="left"/>
    </xf>
    <xf numFmtId="49" fontId="62" fillId="0" borderId="0" xfId="2" applyNumberFormat="1" applyFont="1" applyBorder="1" applyAlignment="1" applyProtection="1">
      <alignment horizontal="left" indent="4"/>
    </xf>
    <xf numFmtId="49" fontId="67" fillId="0" borderId="0" xfId="0" applyNumberFormat="1" applyFont="1" applyBorder="1" applyAlignment="1">
      <alignment horizontal="left" indent="1"/>
    </xf>
    <xf numFmtId="0" fontId="74" fillId="0" borderId="0" xfId="0" applyFont="1" applyBorder="1" applyProtection="1"/>
    <xf numFmtId="164" fontId="66" fillId="0" borderId="19" xfId="0" applyNumberFormat="1" applyFont="1" applyFill="1" applyBorder="1" applyAlignment="1" applyProtection="1">
      <alignment horizontal="left" vertical="center" wrapText="1" indent="1"/>
    </xf>
    <xf numFmtId="164" fontId="66" fillId="0" borderId="2" xfId="0" applyNumberFormat="1" applyFont="1" applyFill="1" applyBorder="1" applyAlignment="1" applyProtection="1">
      <alignment horizontal="left" vertical="center" wrapText="1" indent="1"/>
    </xf>
    <xf numFmtId="164" fontId="66" fillId="0" borderId="2" xfId="0" applyNumberFormat="1" applyFont="1" applyFill="1" applyBorder="1" applyAlignment="1" applyProtection="1">
      <alignment horizontal="left" vertical="center" indent="1"/>
    </xf>
    <xf numFmtId="0" fontId="66" fillId="0" borderId="0" xfId="0" applyFont="1" applyFill="1" applyAlignment="1" applyProtection="1">
      <alignment horizontal="left" vertical="center" indent="1"/>
    </xf>
    <xf numFmtId="164" fontId="66" fillId="0" borderId="0" xfId="0" applyNumberFormat="1" applyFont="1" applyFill="1" applyBorder="1" applyAlignment="1" applyProtection="1">
      <alignment horizontal="left" vertical="center" wrapText="1" indent="1"/>
    </xf>
    <xf numFmtId="0" fontId="68" fillId="0" borderId="20" xfId="0" applyFont="1" applyFill="1" applyBorder="1" applyAlignment="1" applyProtection="1">
      <alignment horizontal="left" vertical="center" indent="2"/>
    </xf>
    <xf numFmtId="0" fontId="66" fillId="0" borderId="0" xfId="0" applyFont="1" applyFill="1" applyBorder="1" applyAlignment="1" applyProtection="1">
      <alignment horizontal="left" vertical="center" indent="1"/>
    </xf>
    <xf numFmtId="0" fontId="66" fillId="0" borderId="21" xfId="0" applyFont="1" applyBorder="1" applyAlignment="1" applyProtection="1">
      <alignment horizontal="left" vertical="top" indent="1"/>
    </xf>
    <xf numFmtId="0" fontId="66" fillId="0" borderId="0" xfId="0" applyFont="1" applyFill="1" applyBorder="1" applyAlignment="1" applyProtection="1">
      <alignment horizontal="left" vertical="top" indent="1"/>
    </xf>
    <xf numFmtId="0" fontId="66" fillId="0" borderId="128" xfId="0" applyFont="1" applyBorder="1" applyAlignment="1" applyProtection="1">
      <alignment horizontal="left" vertical="center" indent="1"/>
    </xf>
    <xf numFmtId="0" fontId="66" fillId="0" borderId="24" xfId="0" applyFont="1" applyBorder="1" applyAlignment="1" applyProtection="1">
      <alignment horizontal="left" vertical="center" indent="1"/>
    </xf>
    <xf numFmtId="0" fontId="66" fillId="0" borderId="52" xfId="0" applyFont="1" applyBorder="1" applyAlignment="1" applyProtection="1">
      <alignment horizontal="left" vertical="center" indent="1"/>
    </xf>
    <xf numFmtId="0" fontId="66" fillId="0" borderId="21" xfId="0" applyFont="1" applyBorder="1" applyAlignment="1" applyProtection="1">
      <alignment horizontal="left" vertical="center" wrapText="1" indent="1"/>
    </xf>
    <xf numFmtId="0" fontId="66" fillId="0" borderId="129" xfId="0" applyFont="1" applyFill="1" applyBorder="1" applyAlignment="1" applyProtection="1">
      <alignment horizontal="left" vertical="center" indent="1"/>
    </xf>
    <xf numFmtId="0" fontId="66" fillId="0" borderId="100" xfId="0" applyFont="1" applyFill="1" applyBorder="1" applyAlignment="1" applyProtection="1">
      <alignment horizontal="left" vertical="center" indent="1"/>
    </xf>
    <xf numFmtId="3" fontId="66" fillId="0" borderId="2" xfId="0" applyNumberFormat="1" applyFont="1" applyBorder="1" applyAlignment="1">
      <alignment horizontal="left" vertical="center" wrapText="1" indent="1"/>
    </xf>
    <xf numFmtId="3" fontId="66" fillId="0" borderId="12" xfId="0" applyNumberFormat="1" applyFont="1" applyBorder="1" applyAlignment="1">
      <alignment horizontal="left" vertical="center" wrapText="1" indent="1"/>
    </xf>
    <xf numFmtId="3" fontId="66" fillId="0" borderId="12" xfId="0" applyNumberFormat="1" applyFont="1" applyBorder="1" applyAlignment="1">
      <alignment horizontal="left" vertical="center" indent="1"/>
    </xf>
    <xf numFmtId="3" fontId="68" fillId="2" borderId="36" xfId="0" applyNumberFormat="1" applyFont="1" applyFill="1" applyBorder="1" applyAlignment="1">
      <alignment horizontal="left" vertical="center" wrapText="1" indent="1"/>
    </xf>
    <xf numFmtId="3" fontId="66" fillId="0" borderId="2" xfId="0" applyNumberFormat="1" applyFont="1" applyBorder="1" applyAlignment="1">
      <alignment horizontal="left" vertical="top" wrapText="1" indent="1"/>
    </xf>
    <xf numFmtId="3" fontId="66" fillId="0" borderId="127" xfId="0" applyNumberFormat="1" applyFont="1" applyBorder="1" applyAlignment="1">
      <alignment horizontal="left" vertical="center" wrapText="1" indent="1"/>
    </xf>
    <xf numFmtId="3" fontId="66" fillId="0" borderId="125" xfId="0" applyNumberFormat="1" applyFont="1" applyFill="1" applyBorder="1" applyAlignment="1">
      <alignment horizontal="left" vertical="center" wrapText="1" indent="1"/>
    </xf>
    <xf numFmtId="3" fontId="66" fillId="0" borderId="29" xfId="0" applyNumberFormat="1" applyFont="1" applyFill="1" applyBorder="1" applyAlignment="1">
      <alignment horizontal="left" vertical="center" wrapText="1" indent="1"/>
    </xf>
    <xf numFmtId="3" fontId="66" fillId="0" borderId="127" xfId="0" applyNumberFormat="1" applyFont="1" applyFill="1" applyBorder="1" applyAlignment="1">
      <alignment horizontal="left" vertical="center" wrapText="1" indent="1"/>
    </xf>
    <xf numFmtId="3" fontId="66" fillId="0" borderId="2" xfId="0" applyNumberFormat="1" applyFont="1" applyFill="1" applyBorder="1" applyAlignment="1">
      <alignment horizontal="left" vertical="center" wrapText="1" indent="1"/>
    </xf>
    <xf numFmtId="3" fontId="68" fillId="0" borderId="49" xfId="0" applyNumberFormat="1" applyFont="1" applyFill="1" applyBorder="1" applyAlignment="1">
      <alignment horizontal="left" vertical="center" wrapText="1" indent="1"/>
    </xf>
    <xf numFmtId="3" fontId="68" fillId="7" borderId="27" xfId="0" applyNumberFormat="1" applyFont="1" applyFill="1" applyBorder="1" applyAlignment="1">
      <alignment horizontal="left" vertical="center" wrapText="1" indent="1"/>
    </xf>
    <xf numFmtId="3" fontId="66" fillId="0" borderId="2" xfId="0" applyNumberFormat="1" applyFont="1" applyBorder="1" applyAlignment="1">
      <alignment horizontal="left" vertical="center" indent="1"/>
    </xf>
    <xf numFmtId="3" fontId="66" fillId="0" borderId="13" xfId="0" applyNumberFormat="1" applyFont="1" applyBorder="1" applyAlignment="1">
      <alignment horizontal="left" vertical="center" wrapText="1" indent="1"/>
    </xf>
    <xf numFmtId="164" fontId="66" fillId="0" borderId="13" xfId="0" applyNumberFormat="1" applyFont="1" applyFill="1" applyBorder="1" applyAlignment="1">
      <alignment horizontal="left" vertical="center" wrapText="1" indent="1"/>
    </xf>
    <xf numFmtId="0" fontId="66" fillId="0" borderId="2" xfId="0" applyFont="1" applyFill="1" applyBorder="1" applyAlignment="1">
      <alignment horizontal="left" vertical="center" wrapText="1" indent="1"/>
    </xf>
    <xf numFmtId="0" fontId="66" fillId="0" borderId="12" xfId="0" applyFont="1" applyFill="1" applyBorder="1" applyAlignment="1">
      <alignment horizontal="left" vertical="center" wrapText="1" indent="1"/>
    </xf>
    <xf numFmtId="3" fontId="68" fillId="7" borderId="55" xfId="0" applyNumberFormat="1" applyFont="1" applyFill="1" applyBorder="1" applyAlignment="1">
      <alignment horizontal="left" vertical="center" wrapText="1" indent="1"/>
    </xf>
    <xf numFmtId="3" fontId="66" fillId="0" borderId="2" xfId="0" applyNumberFormat="1" applyFont="1" applyBorder="1" applyAlignment="1">
      <alignment horizontal="left" vertical="top" indent="1"/>
    </xf>
    <xf numFmtId="0" fontId="66" fillId="0" borderId="2" xfId="0" applyFont="1" applyFill="1" applyBorder="1" applyAlignment="1">
      <alignment horizontal="left" vertical="center" indent="1"/>
    </xf>
    <xf numFmtId="38" fontId="59" fillId="0" borderId="127" xfId="0" applyNumberFormat="1" applyFont="1" applyFill="1" applyBorder="1" applyAlignment="1" applyProtection="1">
      <alignment horizontal="right" vertical="center"/>
      <protection locked="0"/>
    </xf>
    <xf numFmtId="38" fontId="58" fillId="6" borderId="154" xfId="0" applyNumberFormat="1" applyFont="1" applyFill="1" applyBorder="1" applyAlignment="1">
      <alignment horizontal="center" vertical="center" wrapText="1"/>
    </xf>
    <xf numFmtId="38" fontId="58" fillId="6" borderId="154" xfId="0" applyNumberFormat="1" applyFont="1" applyFill="1" applyBorder="1" applyAlignment="1">
      <alignment horizontal="center" vertical="top" wrapText="1"/>
    </xf>
    <xf numFmtId="38" fontId="68" fillId="6" borderId="154" xfId="0" applyNumberFormat="1" applyFont="1" applyFill="1" applyBorder="1" applyAlignment="1">
      <alignment horizontal="center" vertical="center" wrapText="1"/>
    </xf>
    <xf numFmtId="38" fontId="68" fillId="6" borderId="10" xfId="0" applyNumberFormat="1" applyFont="1" applyFill="1" applyBorder="1" applyAlignment="1">
      <alignment horizontal="center" vertical="center" wrapText="1"/>
    </xf>
    <xf numFmtId="0" fontId="58" fillId="0" borderId="2" xfId="9" applyFont="1" applyFill="1" applyBorder="1" applyAlignment="1">
      <alignment horizontal="center" vertical="center"/>
    </xf>
    <xf numFmtId="0" fontId="61" fillId="0" borderId="50" xfId="0" applyFont="1" applyBorder="1" applyAlignment="1">
      <alignment horizontal="left" wrapText="1"/>
    </xf>
    <xf numFmtId="0" fontId="98" fillId="0" borderId="0" xfId="0" applyFont="1" applyAlignment="1" applyProtection="1">
      <alignment horizontal="right"/>
    </xf>
    <xf numFmtId="0" fontId="98" fillId="0" borderId="0" xfId="0" applyFont="1" applyAlignment="1" applyProtection="1">
      <alignment horizontal="right" vertical="top"/>
    </xf>
    <xf numFmtId="0" fontId="11" fillId="0" borderId="0" xfId="17"/>
    <xf numFmtId="0" fontId="103" fillId="0" borderId="140" xfId="17" applyFont="1" applyBorder="1" applyAlignment="1">
      <alignment horizontal="left" vertical="top"/>
    </xf>
    <xf numFmtId="0" fontId="130" fillId="0" borderId="141" xfId="17" applyFont="1" applyBorder="1" applyAlignment="1">
      <alignment horizontal="center" vertical="top"/>
    </xf>
    <xf numFmtId="0" fontId="130" fillId="0" borderId="142" xfId="17" applyFont="1" applyBorder="1" applyAlignment="1">
      <alignment horizontal="center" vertical="top"/>
    </xf>
    <xf numFmtId="0" fontId="131" fillId="0" borderId="96" xfId="17" applyFont="1" applyBorder="1" applyAlignment="1">
      <alignment vertical="top"/>
    </xf>
    <xf numFmtId="0" fontId="131" fillId="0" borderId="0" xfId="17" applyFont="1" applyBorder="1" applyAlignment="1">
      <alignment vertical="top"/>
    </xf>
    <xf numFmtId="0" fontId="131" fillId="0" borderId="97" xfId="17" applyFont="1" applyBorder="1" applyAlignment="1">
      <alignment vertical="top"/>
    </xf>
    <xf numFmtId="38" fontId="11" fillId="22" borderId="156" xfId="17" applyNumberFormat="1" applyFill="1" applyBorder="1" applyAlignment="1">
      <alignment horizontal="right" vertical="top"/>
    </xf>
    <xf numFmtId="38" fontId="11" fillId="22" borderId="157" xfId="17" applyNumberFormat="1" applyFill="1" applyBorder="1" applyAlignment="1">
      <alignment horizontal="right" vertical="top"/>
    </xf>
    <xf numFmtId="0" fontId="11" fillId="0" borderId="0" xfId="17" applyAlignment="1">
      <alignment horizontal="left" vertical="top" wrapText="1"/>
    </xf>
    <xf numFmtId="0" fontId="11" fillId="0" borderId="0" xfId="17" applyAlignment="1">
      <alignment vertical="top"/>
    </xf>
    <xf numFmtId="38" fontId="11" fillId="0" borderId="0" xfId="17" applyNumberFormat="1" applyAlignment="1">
      <alignment horizontal="right" vertical="top"/>
    </xf>
    <xf numFmtId="0" fontId="11" fillId="0" borderId="0" xfId="17" applyAlignment="1">
      <alignment horizontal="center" vertical="top" wrapText="1"/>
    </xf>
    <xf numFmtId="0" fontId="129" fillId="23" borderId="155" xfId="17" applyFont="1" applyFill="1" applyBorder="1" applyAlignment="1">
      <alignment horizontal="center" vertical="center" wrapText="1"/>
    </xf>
    <xf numFmtId="38" fontId="129" fillId="23" borderId="155" xfId="17" applyNumberFormat="1" applyFont="1" applyFill="1" applyBorder="1" applyAlignment="1">
      <alignment horizontal="center" vertical="center" wrapText="1"/>
    </xf>
    <xf numFmtId="3" fontId="59" fillId="23" borderId="131" xfId="0" applyNumberFormat="1" applyFont="1" applyFill="1" applyBorder="1" applyAlignment="1">
      <alignment horizontal="center"/>
    </xf>
    <xf numFmtId="3" fontId="59" fillId="23" borderId="131" xfId="0" applyNumberFormat="1" applyFont="1" applyFill="1" applyBorder="1" applyAlignment="1">
      <alignment horizontal="right"/>
    </xf>
    <xf numFmtId="3" fontId="59" fillId="23" borderId="132" xfId="0" applyNumberFormat="1" applyFont="1" applyFill="1" applyBorder="1" applyAlignment="1">
      <alignment horizontal="center"/>
    </xf>
    <xf numFmtId="38" fontId="59" fillId="23" borderId="19" xfId="0" applyNumberFormat="1" applyFont="1" applyFill="1" applyBorder="1" applyAlignment="1">
      <alignment horizontal="right"/>
    </xf>
    <xf numFmtId="38" fontId="59" fillId="23" borderId="20" xfId="0" applyNumberFormat="1" applyFont="1" applyFill="1" applyBorder="1" applyAlignment="1">
      <alignment horizontal="right"/>
    </xf>
    <xf numFmtId="38" fontId="59" fillId="23" borderId="11" xfId="0" applyNumberFormat="1" applyFont="1" applyFill="1" applyBorder="1" applyAlignment="1">
      <alignment horizontal="right"/>
    </xf>
    <xf numFmtId="3" fontId="69" fillId="23" borderId="125" xfId="0" applyNumberFormat="1" applyFont="1" applyFill="1" applyBorder="1" applyAlignment="1">
      <alignment horizontal="center" vertical="center" wrapText="1"/>
    </xf>
    <xf numFmtId="49" fontId="66" fillId="23" borderId="11" xfId="0" applyNumberFormat="1" applyFont="1" applyFill="1" applyBorder="1" applyAlignment="1">
      <alignment horizontal="center" vertical="center"/>
    </xf>
    <xf numFmtId="38" fontId="59" fillId="23" borderId="13" xfId="0" applyNumberFormat="1" applyFont="1" applyFill="1" applyBorder="1" applyAlignment="1">
      <alignment horizontal="right"/>
    </xf>
    <xf numFmtId="38" fontId="59" fillId="23" borderId="21" xfId="0" applyNumberFormat="1" applyFont="1" applyFill="1" applyBorder="1" applyAlignment="1">
      <alignment horizontal="right"/>
    </xf>
    <xf numFmtId="38" fontId="59" fillId="23" borderId="14" xfId="0" applyNumberFormat="1" applyFont="1" applyFill="1" applyBorder="1" applyAlignment="1">
      <alignment horizontal="right"/>
    </xf>
    <xf numFmtId="38" fontId="58" fillId="23" borderId="13" xfId="0" applyNumberFormat="1" applyFont="1" applyFill="1" applyBorder="1" applyAlignment="1" applyProtection="1">
      <alignment horizontal="right"/>
    </xf>
    <xf numFmtId="38" fontId="58" fillId="23" borderId="21" xfId="0" applyNumberFormat="1" applyFont="1" applyFill="1" applyBorder="1" applyAlignment="1" applyProtection="1">
      <alignment horizontal="right"/>
    </xf>
    <xf numFmtId="38" fontId="58" fillId="23" borderId="21" xfId="1" applyNumberFormat="1" applyFont="1" applyFill="1" applyBorder="1" applyAlignment="1" applyProtection="1">
      <alignment horizontal="right"/>
    </xf>
    <xf numFmtId="38" fontId="58" fillId="23" borderId="14" xfId="0" applyNumberFormat="1" applyFont="1" applyFill="1" applyBorder="1" applyAlignment="1" applyProtection="1">
      <alignment horizontal="right"/>
    </xf>
    <xf numFmtId="38" fontId="59" fillId="23" borderId="19" xfId="0" applyNumberFormat="1" applyFont="1" applyFill="1" applyBorder="1" applyAlignment="1" applyProtection="1">
      <alignment horizontal="right"/>
    </xf>
    <xf numFmtId="38" fontId="59" fillId="23" borderId="20" xfId="0" applyNumberFormat="1" applyFont="1" applyFill="1" applyBorder="1" applyAlignment="1" applyProtection="1">
      <alignment horizontal="right"/>
    </xf>
    <xf numFmtId="38" fontId="59" fillId="23" borderId="21" xfId="0" applyNumberFormat="1" applyFont="1" applyFill="1" applyBorder="1" applyAlignment="1" applyProtection="1">
      <alignment horizontal="right"/>
    </xf>
    <xf numFmtId="38" fontId="59" fillId="23" borderId="14" xfId="0" applyNumberFormat="1" applyFont="1" applyFill="1" applyBorder="1" applyAlignment="1" applyProtection="1">
      <alignment horizontal="right"/>
    </xf>
    <xf numFmtId="0" fontId="61" fillId="23" borderId="31" xfId="0" applyFont="1" applyFill="1" applyBorder="1" applyAlignment="1">
      <alignment horizontal="center" vertical="center"/>
    </xf>
    <xf numFmtId="38" fontId="59" fillId="23" borderId="13" xfId="0" applyNumberFormat="1" applyFont="1" applyFill="1" applyBorder="1" applyAlignment="1" applyProtection="1">
      <alignment horizontal="right"/>
    </xf>
    <xf numFmtId="38" fontId="59" fillId="23" borderId="11" xfId="0" applyNumberFormat="1" applyFont="1" applyFill="1" applyBorder="1" applyAlignment="1" applyProtection="1">
      <alignment horizontal="right"/>
    </xf>
    <xf numFmtId="38" fontId="59" fillId="23" borderId="49" xfId="0" applyNumberFormat="1" applyFont="1" applyFill="1" applyBorder="1" applyAlignment="1" applyProtection="1">
      <alignment horizontal="right"/>
    </xf>
    <xf numFmtId="38" fontId="59" fillId="23" borderId="34" xfId="0" applyNumberFormat="1" applyFont="1" applyFill="1" applyBorder="1" applyAlignment="1" applyProtection="1">
      <alignment horizontal="right"/>
    </xf>
    <xf numFmtId="38" fontId="59" fillId="23" borderId="31" xfId="0" applyNumberFormat="1" applyFont="1" applyFill="1" applyBorder="1" applyAlignment="1" applyProtection="1">
      <alignment horizontal="right"/>
    </xf>
    <xf numFmtId="3" fontId="58" fillId="23" borderId="13" xfId="0" applyNumberFormat="1" applyFont="1" applyFill="1" applyBorder="1" applyAlignment="1" applyProtection="1">
      <alignment horizontal="right" vertical="center"/>
    </xf>
    <xf numFmtId="3" fontId="58" fillId="23" borderId="21" xfId="0" applyNumberFormat="1" applyFont="1" applyFill="1" applyBorder="1" applyAlignment="1" applyProtection="1">
      <alignment horizontal="right" vertical="center"/>
    </xf>
    <xf numFmtId="3" fontId="58" fillId="23" borderId="14" xfId="0" applyNumberFormat="1" applyFont="1" applyFill="1" applyBorder="1" applyAlignment="1" applyProtection="1">
      <alignment horizontal="right" vertical="center"/>
    </xf>
    <xf numFmtId="0" fontId="68" fillId="17" borderId="14" xfId="0" applyFont="1" applyFill="1" applyBorder="1" applyAlignment="1" applyProtection="1">
      <alignment horizontal="left" vertical="center"/>
    </xf>
    <xf numFmtId="0" fontId="68" fillId="17" borderId="2" xfId="0" applyFont="1" applyFill="1" applyBorder="1" applyAlignment="1" applyProtection="1">
      <alignment horizontal="center" vertical="top"/>
    </xf>
    <xf numFmtId="0" fontId="68" fillId="17" borderId="2" xfId="0" applyFont="1" applyFill="1" applyBorder="1" applyAlignment="1" applyProtection="1">
      <alignment horizontal="center" vertical="center"/>
    </xf>
    <xf numFmtId="3" fontId="58" fillId="23" borderId="13" xfId="0" applyNumberFormat="1" applyFont="1" applyFill="1" applyBorder="1" applyAlignment="1" applyProtection="1">
      <alignment horizontal="center" vertical="center"/>
    </xf>
    <xf numFmtId="49" fontId="68" fillId="23" borderId="21" xfId="0" applyNumberFormat="1" applyFont="1" applyFill="1" applyBorder="1" applyAlignment="1" applyProtection="1">
      <alignment horizontal="center" vertical="center"/>
    </xf>
    <xf numFmtId="3" fontId="59" fillId="23" borderId="21" xfId="0" applyNumberFormat="1" applyFont="1" applyFill="1" applyBorder="1" applyAlignment="1" applyProtection="1">
      <alignment horizontal="center"/>
    </xf>
    <xf numFmtId="3" fontId="61" fillId="23" borderId="21" xfId="0" applyNumberFormat="1" applyFont="1" applyFill="1" applyBorder="1" applyAlignment="1" applyProtection="1">
      <alignment horizontal="center"/>
    </xf>
    <xf numFmtId="38" fontId="61" fillId="23" borderId="21" xfId="0" applyNumberFormat="1" applyFont="1" applyFill="1" applyBorder="1" applyAlignment="1" applyProtection="1">
      <alignment horizontal="center"/>
    </xf>
    <xf numFmtId="3" fontId="61" fillId="23" borderId="14" xfId="0" applyNumberFormat="1" applyFont="1" applyFill="1" applyBorder="1" applyAlignment="1" applyProtection="1">
      <alignment horizontal="center"/>
    </xf>
    <xf numFmtId="0" fontId="58" fillId="23" borderId="49" xfId="0" applyFont="1" applyFill="1" applyBorder="1" applyAlignment="1" applyProtection="1">
      <alignment horizontal="center" vertical="center" wrapText="1"/>
    </xf>
    <xf numFmtId="0" fontId="59" fillId="23" borderId="34" xfId="0" applyFont="1" applyFill="1" applyBorder="1" applyAlignment="1">
      <alignment horizontal="center" vertical="center" wrapText="1"/>
    </xf>
    <xf numFmtId="164" fontId="58" fillId="23" borderId="49" xfId="0" applyNumberFormat="1" applyFont="1" applyFill="1" applyBorder="1" applyAlignment="1" applyProtection="1">
      <alignment horizontal="center" vertical="center" wrapText="1"/>
    </xf>
    <xf numFmtId="0" fontId="61" fillId="23" borderId="31" xfId="0" applyFont="1" applyFill="1" applyBorder="1" applyAlignment="1">
      <alignment horizontal="center" vertical="center" wrapText="1"/>
    </xf>
    <xf numFmtId="164" fontId="58" fillId="23" borderId="49" xfId="0" applyNumberFormat="1" applyFont="1" applyFill="1" applyBorder="1" applyAlignment="1" applyProtection="1">
      <alignment horizontal="center" vertical="center"/>
    </xf>
    <xf numFmtId="3" fontId="68" fillId="17" borderId="20" xfId="0" applyNumberFormat="1" applyFont="1" applyFill="1" applyBorder="1" applyAlignment="1" applyProtection="1">
      <alignment horizontal="left" vertical="center"/>
    </xf>
    <xf numFmtId="0" fontId="68" fillId="17" borderId="2" xfId="0" applyFont="1" applyFill="1" applyBorder="1" applyAlignment="1">
      <alignment horizontal="center" vertical="center"/>
    </xf>
    <xf numFmtId="164" fontId="68" fillId="17" borderId="20" xfId="0" applyNumberFormat="1" applyFont="1" applyFill="1" applyBorder="1" applyAlignment="1" applyProtection="1">
      <alignment horizontal="left" vertical="center"/>
    </xf>
    <xf numFmtId="0" fontId="68" fillId="17" borderId="29" xfId="0" applyFont="1" applyFill="1" applyBorder="1" applyAlignment="1" applyProtection="1">
      <alignment horizontal="center" vertical="center"/>
    </xf>
    <xf numFmtId="0" fontId="68" fillId="17" borderId="127" xfId="0" applyFont="1" applyFill="1" applyBorder="1" applyAlignment="1" applyProtection="1">
      <alignment horizontal="center" vertical="center"/>
    </xf>
    <xf numFmtId="164" fontId="68" fillId="17" borderId="21" xfId="0" applyNumberFormat="1" applyFont="1" applyFill="1" applyBorder="1" applyAlignment="1" applyProtection="1">
      <alignment horizontal="left" vertical="center"/>
    </xf>
    <xf numFmtId="0" fontId="68" fillId="17" borderId="14" xfId="0" applyFont="1" applyFill="1" applyBorder="1" applyAlignment="1" applyProtection="1">
      <alignment horizontal="center" vertical="center"/>
    </xf>
    <xf numFmtId="0" fontId="68" fillId="17" borderId="31" xfId="0" applyFont="1" applyFill="1" applyBorder="1" applyAlignment="1" applyProtection="1">
      <alignment horizontal="center" vertical="center"/>
    </xf>
    <xf numFmtId="164" fontId="68" fillId="15" borderId="21" xfId="0" applyNumberFormat="1" applyFont="1" applyFill="1" applyBorder="1" applyAlignment="1" applyProtection="1">
      <alignment horizontal="left" vertical="center" indent="1"/>
    </xf>
    <xf numFmtId="0" fontId="66" fillId="15" borderId="14" xfId="0" applyFont="1" applyFill="1" applyBorder="1" applyAlignment="1" applyProtection="1">
      <alignment horizontal="center" vertical="center"/>
    </xf>
    <xf numFmtId="164" fontId="68" fillId="15" borderId="20" xfId="0" applyNumberFormat="1" applyFont="1" applyFill="1" applyBorder="1" applyAlignment="1" applyProtection="1">
      <alignment horizontal="left" vertical="center" indent="1"/>
    </xf>
    <xf numFmtId="1" fontId="66" fillId="15" borderId="11" xfId="0" applyNumberFormat="1" applyFont="1" applyFill="1" applyBorder="1" applyAlignment="1" applyProtection="1">
      <alignment horizontal="center" vertical="center"/>
    </xf>
    <xf numFmtId="1" fontId="66" fillId="15" borderId="4" xfId="0" applyNumberFormat="1" applyFont="1" applyFill="1" applyBorder="1" applyAlignment="1" applyProtection="1">
      <alignment horizontal="center" vertical="center"/>
    </xf>
    <xf numFmtId="0" fontId="68" fillId="15" borderId="21" xfId="0" applyFont="1" applyFill="1" applyBorder="1" applyAlignment="1">
      <alignment horizontal="left" vertical="center" indent="1"/>
    </xf>
    <xf numFmtId="0" fontId="66" fillId="15" borderId="14" xfId="0" applyFont="1" applyFill="1" applyBorder="1" applyAlignment="1">
      <alignment horizontal="left" vertical="center"/>
    </xf>
    <xf numFmtId="0" fontId="66" fillId="15" borderId="11" xfId="0" applyFont="1" applyFill="1" applyBorder="1" applyAlignment="1" applyProtection="1">
      <alignment horizontal="center" vertical="center"/>
    </xf>
    <xf numFmtId="3" fontId="68" fillId="17" borderId="125" xfId="0" applyNumberFormat="1" applyFont="1" applyFill="1" applyBorder="1" applyAlignment="1">
      <alignment horizontal="left" vertical="center" wrapText="1"/>
    </xf>
    <xf numFmtId="49" fontId="68" fillId="17" borderId="127" xfId="0" applyNumberFormat="1" applyFont="1" applyFill="1" applyBorder="1" applyAlignment="1">
      <alignment horizontal="center" vertical="center"/>
    </xf>
    <xf numFmtId="0" fontId="68" fillId="17" borderId="17" xfId="0" applyFont="1" applyFill="1" applyBorder="1" applyAlignment="1">
      <alignment horizontal="left" vertical="center" wrapText="1"/>
    </xf>
    <xf numFmtId="49" fontId="68" fillId="17" borderId="29" xfId="0" applyNumberFormat="1" applyFont="1" applyFill="1" applyBorder="1" applyAlignment="1">
      <alignment horizontal="center" vertical="center"/>
    </xf>
    <xf numFmtId="3" fontId="68" fillId="17" borderId="33" xfId="0" applyNumberFormat="1" applyFont="1" applyFill="1" applyBorder="1" applyAlignment="1">
      <alignment horizontal="left" vertical="center" wrapText="1"/>
    </xf>
    <xf numFmtId="49" fontId="68" fillId="17" borderId="33" xfId="0" applyNumberFormat="1" applyFont="1" applyFill="1" applyBorder="1" applyAlignment="1">
      <alignment horizontal="center" vertical="center"/>
    </xf>
    <xf numFmtId="164" fontId="68" fillId="17" borderId="125" xfId="0" applyNumberFormat="1" applyFont="1" applyFill="1" applyBorder="1" applyAlignment="1">
      <alignment horizontal="left" vertical="center" wrapText="1"/>
    </xf>
    <xf numFmtId="49" fontId="68" fillId="17" borderId="4" xfId="0" applyNumberFormat="1" applyFont="1" applyFill="1" applyBorder="1" applyAlignment="1">
      <alignment horizontal="center" vertical="center"/>
    </xf>
    <xf numFmtId="3" fontId="68" fillId="17" borderId="13" xfId="0" applyNumberFormat="1" applyFont="1" applyFill="1" applyBorder="1" applyAlignment="1">
      <alignment horizontal="left" vertical="center" wrapText="1"/>
    </xf>
    <xf numFmtId="49" fontId="68" fillId="17" borderId="2" xfId="0" applyNumberFormat="1" applyFont="1" applyFill="1" applyBorder="1" applyAlignment="1">
      <alignment horizontal="center" vertical="center"/>
    </xf>
    <xf numFmtId="164" fontId="68" fillId="17" borderId="17" xfId="0" applyNumberFormat="1" applyFont="1" applyFill="1" applyBorder="1" applyAlignment="1">
      <alignment horizontal="left" vertical="center" wrapText="1"/>
    </xf>
    <xf numFmtId="0" fontId="68" fillId="17" borderId="36" xfId="0" applyFont="1" applyFill="1" applyBorder="1" applyAlignment="1">
      <alignment horizontal="left" vertical="center" wrapText="1"/>
    </xf>
    <xf numFmtId="49" fontId="68" fillId="17" borderId="27" xfId="0" applyNumberFormat="1" applyFont="1" applyFill="1" applyBorder="1" applyAlignment="1">
      <alignment horizontal="center" vertical="center"/>
    </xf>
    <xf numFmtId="3" fontId="68" fillId="17" borderId="37" xfId="0" applyNumberFormat="1" applyFont="1" applyFill="1" applyBorder="1" applyAlignment="1">
      <alignment horizontal="left" vertical="center" wrapText="1"/>
    </xf>
    <xf numFmtId="0" fontId="68" fillId="17" borderId="13" xfId="0" applyFont="1" applyFill="1" applyBorder="1" applyAlignment="1">
      <alignment horizontal="left" vertical="center" wrapText="1"/>
    </xf>
    <xf numFmtId="49" fontId="68" fillId="17" borderId="14" xfId="0" applyNumberFormat="1" applyFont="1" applyFill="1" applyBorder="1" applyAlignment="1">
      <alignment horizontal="center" vertical="center"/>
    </xf>
    <xf numFmtId="0" fontId="68" fillId="17" borderId="37" xfId="0" applyFont="1" applyFill="1" applyBorder="1" applyAlignment="1">
      <alignment horizontal="left" vertical="center" wrapText="1"/>
    </xf>
    <xf numFmtId="164" fontId="68" fillId="17" borderId="13" xfId="0" applyNumberFormat="1" applyFont="1" applyFill="1" applyBorder="1" applyAlignment="1">
      <alignment horizontal="left" vertical="center" wrapText="1"/>
    </xf>
    <xf numFmtId="0" fontId="68" fillId="17" borderId="127" xfId="0" applyFont="1" applyFill="1" applyBorder="1" applyAlignment="1">
      <alignment horizontal="left" vertical="center" wrapText="1"/>
    </xf>
    <xf numFmtId="3" fontId="68" fillId="17" borderId="127" xfId="0" applyNumberFormat="1" applyFont="1" applyFill="1" applyBorder="1" applyAlignment="1">
      <alignment horizontal="left" vertical="center" wrapText="1"/>
    </xf>
    <xf numFmtId="38" fontId="59" fillId="24" borderId="19" xfId="0" applyNumberFormat="1" applyFont="1" applyFill="1" applyBorder="1" applyAlignment="1">
      <alignment horizontal="right"/>
    </xf>
    <xf numFmtId="38" fontId="59" fillId="24" borderId="20" xfId="0" applyNumberFormat="1" applyFont="1" applyFill="1" applyBorder="1" applyAlignment="1">
      <alignment horizontal="right"/>
    </xf>
    <xf numFmtId="38" fontId="59" fillId="24" borderId="11" xfId="0" applyNumberFormat="1" applyFont="1" applyFill="1" applyBorder="1" applyAlignment="1">
      <alignment horizontal="right"/>
    </xf>
    <xf numFmtId="0" fontId="68" fillId="17" borderId="50" xfId="0" applyFont="1" applyFill="1" applyBorder="1" applyAlignment="1" applyProtection="1">
      <alignment horizontal="left" vertical="center"/>
    </xf>
    <xf numFmtId="0" fontId="68" fillId="17" borderId="22" xfId="0" applyFont="1" applyFill="1" applyBorder="1" applyAlignment="1" applyProtection="1">
      <alignment horizontal="center" vertical="center"/>
    </xf>
    <xf numFmtId="0" fontId="68" fillId="17" borderId="46" xfId="0" applyFont="1" applyFill="1" applyBorder="1" applyAlignment="1" applyProtection="1">
      <alignment horizontal="left" vertical="center"/>
    </xf>
    <xf numFmtId="0" fontId="68" fillId="17" borderId="46" xfId="0" applyFont="1" applyFill="1" applyBorder="1" applyAlignment="1" applyProtection="1">
      <alignment horizontal="left" vertical="center" wrapText="1"/>
    </xf>
    <xf numFmtId="0" fontId="68" fillId="17" borderId="46" xfId="0" applyFont="1" applyFill="1" applyBorder="1" applyAlignment="1" applyProtection="1">
      <alignment horizontal="left" vertical="center" indent="1"/>
    </xf>
    <xf numFmtId="0" fontId="69" fillId="23" borderId="13" xfId="0" applyFont="1" applyFill="1" applyBorder="1" applyAlignment="1">
      <alignment horizontal="left" vertical="center"/>
    </xf>
    <xf numFmtId="0" fontId="69" fillId="23" borderId="21" xfId="0" applyFont="1" applyFill="1" applyBorder="1" applyAlignment="1">
      <alignment horizontal="left" vertical="center"/>
    </xf>
    <xf numFmtId="0" fontId="69" fillId="23" borderId="14" xfId="0" applyFont="1" applyFill="1" applyBorder="1" applyAlignment="1">
      <alignment horizontal="left" vertical="center"/>
    </xf>
    <xf numFmtId="0" fontId="58" fillId="15" borderId="12" xfId="0" applyFont="1" applyFill="1" applyBorder="1" applyAlignment="1" applyProtection="1">
      <alignment vertical="center"/>
    </xf>
    <xf numFmtId="0" fontId="68" fillId="0" borderId="158" xfId="0" applyFont="1" applyBorder="1" applyAlignment="1">
      <alignment horizontal="centerContinuous" vertical="center"/>
    </xf>
    <xf numFmtId="0" fontId="59" fillId="0" borderId="159" xfId="0" applyFont="1" applyBorder="1" applyAlignment="1">
      <alignment horizontal="centerContinuous" vertical="center"/>
    </xf>
    <xf numFmtId="0" fontId="61" fillId="0" borderId="159" xfId="0" applyFont="1" applyBorder="1" applyAlignment="1">
      <alignment horizontal="centerContinuous" vertical="center"/>
    </xf>
    <xf numFmtId="0" fontId="68" fillId="0" borderId="105" xfId="0" applyFont="1" applyBorder="1" applyAlignment="1">
      <alignment horizontal="center"/>
    </xf>
    <xf numFmtId="0" fontId="61" fillId="23" borderId="16" xfId="3" applyFont="1" applyFill="1" applyBorder="1" applyAlignment="1">
      <alignment horizontal="left" vertical="center"/>
    </xf>
    <xf numFmtId="0" fontId="61" fillId="23" borderId="10" xfId="3" applyFont="1" applyFill="1" applyBorder="1" applyAlignment="1">
      <alignment horizontal="left" vertical="center"/>
    </xf>
    <xf numFmtId="0" fontId="61" fillId="23" borderId="19" xfId="3" applyNumberFormat="1" applyFont="1" applyFill="1" applyBorder="1" applyAlignment="1">
      <alignment vertical="center"/>
    </xf>
    <xf numFmtId="0" fontId="61" fillId="23" borderId="20" xfId="3" applyNumberFormat="1" applyFont="1" applyFill="1" applyBorder="1" applyAlignment="1">
      <alignment vertical="center"/>
    </xf>
    <xf numFmtId="0" fontId="61" fillId="23" borderId="11" xfId="3" applyNumberFormat="1" applyFont="1" applyFill="1" applyBorder="1" applyAlignment="1">
      <alignment vertical="center"/>
    </xf>
    <xf numFmtId="0" fontId="10" fillId="0" borderId="0" xfId="17" quotePrefix="1" applyNumberFormat="1" applyFont="1"/>
    <xf numFmtId="0" fontId="131" fillId="20" borderId="156" xfId="17" applyFont="1" applyFill="1" applyBorder="1" applyAlignment="1" applyProtection="1">
      <alignment horizontal="left" vertical="top" wrapText="1"/>
    </xf>
    <xf numFmtId="49" fontId="131" fillId="20" borderId="156" xfId="17" applyNumberFormat="1" applyFont="1" applyFill="1" applyBorder="1" applyAlignment="1" applyProtection="1">
      <alignment horizontal="center" vertical="top"/>
    </xf>
    <xf numFmtId="0" fontId="131" fillId="20" borderId="156" xfId="17" applyFont="1" applyFill="1" applyBorder="1" applyAlignment="1" applyProtection="1">
      <alignment vertical="top"/>
    </xf>
    <xf numFmtId="38" fontId="131" fillId="20" borderId="156" xfId="17" applyNumberFormat="1" applyFont="1" applyFill="1" applyBorder="1" applyAlignment="1" applyProtection="1">
      <alignment horizontal="right" vertical="top"/>
    </xf>
    <xf numFmtId="38" fontId="131" fillId="20" borderId="156" xfId="17" applyNumberFormat="1" applyFont="1" applyFill="1" applyBorder="1" applyAlignment="1" applyProtection="1">
      <alignment vertical="top"/>
    </xf>
    <xf numFmtId="0" fontId="11" fillId="0" borderId="156" xfId="17" applyBorder="1" applyAlignment="1" applyProtection="1">
      <alignment horizontal="left" vertical="top" wrapText="1"/>
      <protection locked="0"/>
    </xf>
    <xf numFmtId="0" fontId="11" fillId="0" borderId="156" xfId="17" applyBorder="1" applyAlignment="1" applyProtection="1">
      <alignment vertical="top"/>
      <protection locked="0"/>
    </xf>
    <xf numFmtId="0" fontId="10" fillId="0" borderId="156" xfId="17" applyFont="1" applyBorder="1" applyAlignment="1" applyProtection="1">
      <alignment horizontal="left" vertical="top" wrapText="1"/>
      <protection locked="0"/>
    </xf>
    <xf numFmtId="0" fontId="10" fillId="0" borderId="156" xfId="17" applyFont="1" applyBorder="1" applyAlignment="1" applyProtection="1">
      <alignment vertical="top"/>
      <protection locked="0"/>
    </xf>
    <xf numFmtId="0" fontId="11" fillId="0" borderId="0" xfId="17" applyAlignment="1">
      <alignment horizontal="center" vertical="center" wrapText="1"/>
    </xf>
    <xf numFmtId="0" fontId="9" fillId="0" borderId="0" xfId="17" applyFont="1" applyAlignment="1">
      <alignment horizontal="left" vertical="center" wrapText="1"/>
    </xf>
    <xf numFmtId="0" fontId="9" fillId="0" borderId="0" xfId="17" applyFont="1" applyAlignment="1">
      <alignment vertical="center"/>
    </xf>
    <xf numFmtId="0" fontId="11" fillId="0" borderId="0" xfId="17" applyAlignment="1">
      <alignment vertical="center"/>
    </xf>
    <xf numFmtId="0" fontId="131" fillId="0" borderId="98" xfId="17" applyFont="1" applyBorder="1" applyAlignment="1">
      <alignment horizontal="left" vertical="top"/>
    </xf>
    <xf numFmtId="0" fontId="131" fillId="0" borderId="78" xfId="17" applyFont="1" applyBorder="1" applyAlignment="1">
      <alignment horizontal="left" vertical="top"/>
    </xf>
    <xf numFmtId="0" fontId="131" fillId="0" borderId="99" xfId="17" applyFont="1" applyBorder="1" applyAlignment="1">
      <alignment horizontal="left" vertical="top"/>
    </xf>
    <xf numFmtId="0" fontId="37" fillId="0" borderId="0" xfId="2" applyNumberFormat="1" applyAlignment="1" applyProtection="1">
      <alignment vertical="center"/>
    </xf>
    <xf numFmtId="0" fontId="68" fillId="0" borderId="5" xfId="3" applyFont="1" applyFill="1" applyBorder="1" applyAlignment="1" applyProtection="1"/>
    <xf numFmtId="49" fontId="11" fillId="0" borderId="156" xfId="17" applyNumberFormat="1" applyBorder="1" applyAlignment="1" applyProtection="1">
      <alignment horizontal="center" vertical="center"/>
      <protection locked="0"/>
    </xf>
    <xf numFmtId="49" fontId="9" fillId="0" borderId="156" xfId="17" applyNumberFormat="1" applyFont="1" applyBorder="1" applyAlignment="1" applyProtection="1">
      <alignment horizontal="center" vertical="center"/>
      <protection locked="0"/>
    </xf>
    <xf numFmtId="3" fontId="68" fillId="16" borderId="36" xfId="0" applyNumberFormat="1" applyFont="1" applyFill="1" applyBorder="1" applyAlignment="1">
      <alignment horizontal="left" vertical="center" wrapText="1" indent="1"/>
    </xf>
    <xf numFmtId="49" fontId="68" fillId="16" borderId="27" xfId="0" applyNumberFormat="1" applyFont="1" applyFill="1" applyBorder="1" applyAlignment="1">
      <alignment horizontal="center" vertical="center"/>
    </xf>
    <xf numFmtId="38" fontId="59" fillId="16" borderId="27" xfId="0" applyNumberFormat="1" applyFont="1" applyFill="1" applyBorder="1" applyAlignment="1">
      <alignment horizontal="right"/>
    </xf>
    <xf numFmtId="38" fontId="59" fillId="16" borderId="2" xfId="0" applyNumberFormat="1" applyFont="1" applyFill="1" applyBorder="1" applyAlignment="1">
      <alignment horizontal="right"/>
    </xf>
    <xf numFmtId="38" fontId="59" fillId="16" borderId="4" xfId="0" applyNumberFormat="1" applyFont="1" applyFill="1" applyBorder="1" applyAlignment="1">
      <alignment horizontal="right"/>
    </xf>
    <xf numFmtId="49" fontId="68" fillId="16" borderId="36" xfId="0" applyNumberFormat="1" applyFont="1" applyFill="1" applyBorder="1" applyAlignment="1">
      <alignment horizontal="center" vertical="center"/>
    </xf>
    <xf numFmtId="38" fontId="59" fillId="16" borderId="30" xfId="0" applyNumberFormat="1" applyFont="1" applyFill="1" applyBorder="1" applyAlignment="1">
      <alignment horizontal="right"/>
    </xf>
    <xf numFmtId="49" fontId="68" fillId="16" borderId="30" xfId="0" applyNumberFormat="1" applyFont="1" applyFill="1" applyBorder="1" applyAlignment="1">
      <alignment horizontal="center" vertical="center"/>
    </xf>
    <xf numFmtId="0" fontId="68" fillId="16" borderId="32" xfId="0" applyNumberFormat="1" applyFont="1" applyFill="1" applyBorder="1" applyAlignment="1">
      <alignment horizontal="center" vertical="center"/>
    </xf>
    <xf numFmtId="38" fontId="59" fillId="16" borderId="32" xfId="0" applyNumberFormat="1" applyFont="1" applyFill="1" applyBorder="1" applyAlignment="1">
      <alignment horizontal="right"/>
    </xf>
    <xf numFmtId="0" fontId="68" fillId="16" borderId="27" xfId="0" applyFont="1" applyFill="1" applyBorder="1" applyAlignment="1">
      <alignment horizontal="center" vertical="center"/>
    </xf>
    <xf numFmtId="38" fontId="59" fillId="16" borderId="33" xfId="0" applyNumberFormat="1" applyFont="1" applyFill="1" applyBorder="1" applyAlignment="1">
      <alignment horizontal="right"/>
    </xf>
    <xf numFmtId="3" fontId="68" fillId="16" borderId="27" xfId="0" applyNumberFormat="1" applyFont="1" applyFill="1" applyBorder="1" applyAlignment="1">
      <alignment horizontal="left" vertical="center" indent="1"/>
    </xf>
    <xf numFmtId="0" fontId="68" fillId="16" borderId="27" xfId="0" applyFont="1" applyFill="1" applyBorder="1" applyAlignment="1">
      <alignment horizontal="center" vertical="top"/>
    </xf>
    <xf numFmtId="0" fontId="61" fillId="16" borderId="30" xfId="0" applyFont="1" applyFill="1" applyBorder="1" applyAlignment="1">
      <alignment horizontal="left" vertical="center" indent="1"/>
    </xf>
    <xf numFmtId="38" fontId="59" fillId="16" borderId="26" xfId="0" applyNumberFormat="1" applyFont="1" applyFill="1" applyBorder="1" applyAlignment="1">
      <alignment horizontal="right"/>
    </xf>
    <xf numFmtId="38" fontId="59" fillId="16" borderId="28" xfId="0" applyNumberFormat="1" applyFont="1" applyFill="1" applyBorder="1" applyAlignment="1">
      <alignment horizontal="right"/>
    </xf>
    <xf numFmtId="38" fontId="59" fillId="16" borderId="29" xfId="0" applyNumberFormat="1" applyFont="1" applyFill="1" applyBorder="1" applyAlignment="1">
      <alignment horizontal="right"/>
    </xf>
    <xf numFmtId="3" fontId="68" fillId="16" borderId="55" xfId="0" applyNumberFormat="1" applyFont="1" applyFill="1" applyBorder="1" applyAlignment="1">
      <alignment horizontal="left" vertical="center" wrapText="1" indent="1"/>
    </xf>
    <xf numFmtId="49" fontId="68" fillId="16" borderId="32" xfId="0" applyNumberFormat="1" applyFont="1" applyFill="1" applyBorder="1" applyAlignment="1">
      <alignment horizontal="center" vertical="center"/>
    </xf>
    <xf numFmtId="38" fontId="59" fillId="16" borderId="27" xfId="0" applyNumberFormat="1" applyFont="1" applyFill="1" applyBorder="1" applyAlignment="1" applyProtection="1">
      <alignment horizontal="right"/>
    </xf>
    <xf numFmtId="3" fontId="68" fillId="16" borderId="55" xfId="0" applyNumberFormat="1" applyFont="1" applyFill="1" applyBorder="1" applyAlignment="1">
      <alignment horizontal="left" vertical="top" wrapText="1" indent="1"/>
    </xf>
    <xf numFmtId="49" fontId="66" fillId="16" borderId="51" xfId="0" applyNumberFormat="1" applyFont="1" applyFill="1" applyBorder="1" applyAlignment="1">
      <alignment horizontal="center" vertical="top"/>
    </xf>
    <xf numFmtId="3" fontId="68" fillId="16" borderId="27" xfId="0" applyNumberFormat="1" applyFont="1" applyFill="1" applyBorder="1" applyAlignment="1">
      <alignment horizontal="left" vertical="center" wrapText="1" indent="1"/>
    </xf>
    <xf numFmtId="3" fontId="68" fillId="16" borderId="36" xfId="0" applyNumberFormat="1" applyFont="1" applyFill="1" applyBorder="1" applyAlignment="1">
      <alignment horizontal="left" vertical="top" wrapText="1" indent="1"/>
    </xf>
    <xf numFmtId="0" fontId="66" fillId="16" borderId="30" xfId="0" applyFont="1" applyFill="1" applyBorder="1" applyAlignment="1">
      <alignment vertical="top"/>
    </xf>
    <xf numFmtId="3" fontId="68" fillId="16" borderId="36" xfId="0" applyNumberFormat="1" applyFont="1" applyFill="1" applyBorder="1" applyAlignment="1">
      <alignment horizontal="left" vertical="center" indent="1"/>
    </xf>
    <xf numFmtId="0" fontId="68" fillId="16" borderId="30" xfId="0" applyFont="1" applyFill="1" applyBorder="1" applyAlignment="1">
      <alignment horizontal="center" vertical="center"/>
    </xf>
    <xf numFmtId="0" fontId="68" fillId="16" borderId="27" xfId="0" applyFont="1" applyFill="1" applyBorder="1" applyAlignment="1">
      <alignment horizontal="center" vertical="center" wrapText="1"/>
    </xf>
    <xf numFmtId="49" fontId="68" fillId="16" borderId="27" xfId="0" applyNumberFormat="1" applyFont="1" applyFill="1" applyBorder="1" applyAlignment="1">
      <alignment horizontal="center" vertical="top" wrapText="1"/>
    </xf>
    <xf numFmtId="3" fontId="68" fillId="16" borderId="36" xfId="0" applyNumberFormat="1" applyFont="1" applyFill="1" applyBorder="1" applyAlignment="1">
      <alignment horizontal="left" vertical="top" indent="1"/>
    </xf>
    <xf numFmtId="38" fontId="59" fillId="16" borderId="3" xfId="0" applyNumberFormat="1" applyFont="1" applyFill="1" applyBorder="1" applyAlignment="1">
      <alignment horizontal="right"/>
    </xf>
    <xf numFmtId="0" fontId="68" fillId="16" borderId="36" xfId="0" applyFont="1" applyFill="1" applyBorder="1" applyAlignment="1">
      <alignment horizontal="left" vertical="center" wrapText="1" indent="1"/>
    </xf>
    <xf numFmtId="49" fontId="66" fillId="16" borderId="51" xfId="0" applyNumberFormat="1" applyFont="1" applyFill="1" applyBorder="1" applyAlignment="1">
      <alignment horizontal="center" vertical="center"/>
    </xf>
    <xf numFmtId="38" fontId="59" fillId="16" borderId="33" xfId="0" applyNumberFormat="1" applyFont="1" applyFill="1" applyBorder="1" applyAlignment="1" applyProtection="1">
      <alignment horizontal="right"/>
    </xf>
    <xf numFmtId="38" fontId="59" fillId="16" borderId="32" xfId="0" applyNumberFormat="1" applyFont="1" applyFill="1" applyBorder="1" applyAlignment="1" applyProtection="1">
      <alignment horizontal="right"/>
    </xf>
    <xf numFmtId="0" fontId="66" fillId="16" borderId="30" xfId="0" applyFont="1" applyFill="1" applyBorder="1" applyAlignment="1">
      <alignment horizontal="left" vertical="top" wrapText="1" indent="1"/>
    </xf>
    <xf numFmtId="0" fontId="68" fillId="16" borderId="35" xfId="0" applyFont="1" applyFill="1" applyBorder="1" applyAlignment="1" applyProtection="1">
      <alignment horizontal="left" vertical="center" wrapText="1" indent="1"/>
    </xf>
    <xf numFmtId="0" fontId="66" fillId="16" borderId="30" xfId="0" applyFont="1" applyFill="1" applyBorder="1" applyAlignment="1" applyProtection="1">
      <alignment horizontal="left" vertical="center"/>
    </xf>
    <xf numFmtId="38" fontId="59" fillId="16" borderId="36" xfId="0" applyNumberFormat="1" applyFont="1" applyFill="1" applyBorder="1" applyAlignment="1" applyProtection="1">
      <alignment horizontal="right"/>
    </xf>
    <xf numFmtId="0" fontId="68" fillId="16" borderId="35" xfId="0" applyFont="1" applyFill="1" applyBorder="1" applyAlignment="1" applyProtection="1">
      <alignment horizontal="left" vertical="center" indent="1"/>
    </xf>
    <xf numFmtId="0" fontId="66" fillId="16" borderId="30" xfId="0" applyFont="1" applyFill="1" applyBorder="1" applyAlignment="1" applyProtection="1">
      <alignment horizontal="center" vertical="center"/>
    </xf>
    <xf numFmtId="37" fontId="59" fillId="16" borderId="36" xfId="0" applyNumberFormat="1" applyFont="1" applyFill="1" applyBorder="1" applyAlignment="1" applyProtection="1">
      <alignment horizontal="right"/>
    </xf>
    <xf numFmtId="37" fontId="59" fillId="16" borderId="27" xfId="0" applyNumberFormat="1" applyFont="1" applyFill="1" applyBorder="1" applyAlignment="1" applyProtection="1">
      <alignment horizontal="right"/>
    </xf>
    <xf numFmtId="0" fontId="66" fillId="16" borderId="30" xfId="0" applyFont="1" applyFill="1" applyBorder="1" applyAlignment="1" applyProtection="1">
      <alignment horizontal="left" vertical="center" indent="2"/>
    </xf>
    <xf numFmtId="0" fontId="68" fillId="16" borderId="52" xfId="0" applyFont="1" applyFill="1" applyBorder="1" applyAlignment="1" applyProtection="1">
      <alignment horizontal="left" vertical="top" wrapText="1" indent="1"/>
    </xf>
    <xf numFmtId="49" fontId="68" fillId="16" borderId="33" xfId="0" applyNumberFormat="1" applyFont="1" applyFill="1" applyBorder="1" applyAlignment="1">
      <alignment horizontal="center" vertical="center"/>
    </xf>
    <xf numFmtId="38" fontId="59" fillId="16" borderId="37" xfId="0" applyNumberFormat="1" applyFont="1" applyFill="1" applyBorder="1" applyAlignment="1" applyProtection="1">
      <alignment horizontal="right"/>
    </xf>
    <xf numFmtId="49" fontId="68" fillId="16" borderId="35" xfId="0" applyNumberFormat="1" applyFont="1" applyFill="1" applyBorder="1" applyAlignment="1" applyProtection="1">
      <alignment horizontal="left" vertical="top" indent="1"/>
    </xf>
    <xf numFmtId="49" fontId="68" fillId="16" borderId="27" xfId="0" applyNumberFormat="1" applyFont="1" applyFill="1" applyBorder="1" applyAlignment="1">
      <alignment horizontal="center" vertical="top"/>
    </xf>
    <xf numFmtId="38" fontId="59" fillId="16" borderId="12" xfId="0" applyNumberFormat="1" applyFont="1" applyFill="1" applyBorder="1" applyAlignment="1" applyProtection="1">
      <alignment horizontal="right"/>
    </xf>
    <xf numFmtId="49" fontId="66" fillId="16" borderId="30" xfId="0" applyNumberFormat="1" applyFont="1" applyFill="1" applyBorder="1" applyAlignment="1" applyProtection="1">
      <alignment horizontal="center" vertical="center"/>
    </xf>
    <xf numFmtId="1" fontId="66" fillId="16" borderId="30" xfId="0" applyNumberFormat="1" applyFont="1" applyFill="1" applyBorder="1" applyAlignment="1" applyProtection="1">
      <alignment horizontal="center" vertical="center"/>
    </xf>
    <xf numFmtId="38" fontId="59" fillId="16" borderId="3" xfId="0" applyNumberFormat="1" applyFont="1" applyFill="1" applyBorder="1" applyAlignment="1" applyProtection="1">
      <alignment horizontal="right"/>
    </xf>
    <xf numFmtId="38" fontId="59" fillId="16" borderId="55" xfId="0" applyNumberFormat="1" applyFont="1" applyFill="1" applyBorder="1" applyAlignment="1" applyProtection="1">
      <alignment horizontal="right"/>
    </xf>
    <xf numFmtId="0" fontId="68" fillId="16" borderId="35" xfId="0" applyFont="1" applyFill="1" applyBorder="1" applyAlignment="1" applyProtection="1">
      <alignment horizontal="left" indent="1"/>
    </xf>
    <xf numFmtId="0" fontId="66" fillId="16" borderId="30" xfId="0" applyFont="1" applyFill="1" applyBorder="1" applyAlignment="1" applyProtection="1">
      <alignment horizontal="center"/>
    </xf>
    <xf numFmtId="0" fontId="68" fillId="16" borderId="36" xfId="0" applyFont="1" applyFill="1" applyBorder="1" applyAlignment="1" applyProtection="1">
      <alignment horizontal="left" vertical="center" indent="1"/>
    </xf>
    <xf numFmtId="0" fontId="66" fillId="16" borderId="27" xfId="0" applyFont="1" applyFill="1" applyBorder="1" applyAlignment="1" applyProtection="1">
      <alignment horizontal="center" vertical="center"/>
    </xf>
    <xf numFmtId="0" fontId="68" fillId="16" borderId="30" xfId="0" applyFont="1" applyFill="1" applyBorder="1" applyAlignment="1">
      <alignment vertical="center"/>
    </xf>
    <xf numFmtId="49" fontId="68" fillId="16" borderId="33" xfId="0" applyNumberFormat="1" applyFont="1" applyFill="1" applyBorder="1" applyAlignment="1" applyProtection="1">
      <alignment horizontal="left" vertical="center" wrapText="1" indent="1"/>
    </xf>
    <xf numFmtId="49" fontId="68" fillId="16" borderId="53" xfId="0" applyNumberFormat="1" applyFont="1" applyFill="1" applyBorder="1" applyAlignment="1">
      <alignment horizontal="center" vertical="center"/>
    </xf>
    <xf numFmtId="0" fontId="68" fillId="16" borderId="52" xfId="0" applyFont="1" applyFill="1" applyBorder="1" applyAlignment="1" applyProtection="1">
      <alignment horizontal="left" wrapText="1" indent="1"/>
    </xf>
    <xf numFmtId="0" fontId="66" fillId="16" borderId="53" xfId="0" applyFont="1" applyFill="1" applyBorder="1" applyAlignment="1" applyProtection="1">
      <alignment horizontal="left" indent="2"/>
    </xf>
    <xf numFmtId="176" fontId="61" fillId="16" borderId="2" xfId="0" applyNumberFormat="1" applyFont="1" applyFill="1" applyBorder="1" applyAlignment="1" applyProtection="1">
      <alignment vertical="center"/>
    </xf>
    <xf numFmtId="38" fontId="61" fillId="16" borderId="2" xfId="0" applyNumberFormat="1" applyFont="1" applyFill="1" applyBorder="1" applyAlignment="1" applyProtection="1">
      <alignment horizontal="right" vertical="center"/>
    </xf>
    <xf numFmtId="38" fontId="61" fillId="16" borderId="2" xfId="0" applyNumberFormat="1" applyFont="1" applyFill="1" applyBorder="1" applyAlignment="1" applyProtection="1">
      <alignment vertical="center"/>
    </xf>
    <xf numFmtId="37" fontId="61" fillId="16" borderId="13" xfId="5" applyNumberFormat="1" applyFont="1" applyFill="1" applyBorder="1" applyAlignment="1" applyProtection="1">
      <alignment horizontal="right"/>
    </xf>
    <xf numFmtId="0" fontId="68" fillId="16" borderId="35" xfId="0" applyFont="1" applyFill="1" applyBorder="1" applyAlignment="1" applyProtection="1">
      <alignment horizontal="left" vertical="center" indent="2"/>
    </xf>
    <xf numFmtId="38" fontId="59" fillId="16" borderId="30" xfId="0" applyNumberFormat="1" applyFont="1" applyFill="1" applyBorder="1" applyAlignment="1" applyProtection="1">
      <alignment horizontal="right"/>
    </xf>
    <xf numFmtId="0" fontId="68" fillId="16" borderId="20" xfId="0" applyFont="1" applyFill="1" applyBorder="1" applyAlignment="1" applyProtection="1">
      <alignment horizontal="left" vertical="center" indent="2"/>
    </xf>
    <xf numFmtId="0" fontId="68" fillId="16" borderId="14" xfId="0" applyFont="1" applyFill="1" applyBorder="1" applyAlignment="1" applyProtection="1">
      <alignment horizontal="center" vertical="center"/>
    </xf>
    <xf numFmtId="38" fontId="59" fillId="16" borderId="26" xfId="0" applyNumberFormat="1" applyFont="1" applyFill="1" applyBorder="1" applyAlignment="1" applyProtection="1">
      <alignment horizontal="right"/>
    </xf>
    <xf numFmtId="0" fontId="68" fillId="16" borderId="30" xfId="0" applyFont="1" applyFill="1" applyBorder="1" applyAlignment="1" applyProtection="1">
      <alignment horizontal="center" vertical="center"/>
    </xf>
    <xf numFmtId="38" fontId="59" fillId="16" borderId="4" xfId="0" applyNumberFormat="1" applyFont="1" applyFill="1" applyBorder="1" applyAlignment="1" applyProtection="1">
      <alignment horizontal="right"/>
    </xf>
    <xf numFmtId="38" fontId="59" fillId="16" borderId="2" xfId="0" applyNumberFormat="1" applyFont="1" applyFill="1" applyBorder="1" applyAlignment="1" applyProtection="1">
      <alignment horizontal="right"/>
    </xf>
    <xf numFmtId="0" fontId="77" fillId="16" borderId="20" xfId="0" applyFont="1" applyFill="1" applyBorder="1" applyAlignment="1" applyProtection="1">
      <alignment horizontal="left" vertical="center" indent="1"/>
    </xf>
    <xf numFmtId="0" fontId="66" fillId="16" borderId="4" xfId="0" applyFont="1" applyFill="1" applyBorder="1" applyAlignment="1" applyProtection="1">
      <alignment horizontal="center"/>
    </xf>
    <xf numFmtId="38" fontId="59" fillId="16" borderId="28" xfId="0" applyNumberFormat="1" applyFont="1" applyFill="1" applyBorder="1" applyAlignment="1" applyProtection="1">
      <alignment horizontal="right"/>
    </xf>
    <xf numFmtId="38" fontId="59" fillId="16" borderId="18" xfId="0" applyNumberFormat="1" applyFont="1" applyFill="1" applyBorder="1" applyAlignment="1" applyProtection="1">
      <alignment horizontal="right"/>
    </xf>
    <xf numFmtId="38" fontId="59" fillId="16" borderId="0" xfId="0" applyNumberFormat="1" applyFont="1" applyFill="1" applyAlignment="1" applyProtection="1">
      <alignment horizontal="right"/>
    </xf>
    <xf numFmtId="38" fontId="59" fillId="16" borderId="127" xfId="0" applyNumberFormat="1" applyFont="1" applyFill="1" applyBorder="1" applyAlignment="1" applyProtection="1">
      <alignment horizontal="right" vertical="center"/>
      <protection locked="0"/>
    </xf>
    <xf numFmtId="38" fontId="59" fillId="16" borderId="2" xfId="0" applyNumberFormat="1" applyFont="1" applyFill="1" applyBorder="1" applyAlignment="1" applyProtection="1">
      <alignment horizontal="right" vertical="center"/>
      <protection locked="0"/>
    </xf>
    <xf numFmtId="38" fontId="59" fillId="16" borderId="27" xfId="0" applyNumberFormat="1" applyFont="1" applyFill="1" applyBorder="1" applyAlignment="1" applyProtection="1">
      <alignment horizontal="right" vertical="center"/>
      <protection locked="0"/>
    </xf>
    <xf numFmtId="38" fontId="59" fillId="16" borderId="127" xfId="0" applyNumberFormat="1" applyFont="1" applyFill="1" applyBorder="1" applyAlignment="1" applyProtection="1">
      <alignment horizontal="right" vertical="center"/>
    </xf>
    <xf numFmtId="38" fontId="59" fillId="16" borderId="2" xfId="0" applyNumberFormat="1" applyFont="1" applyFill="1" applyBorder="1" applyAlignment="1" applyProtection="1">
      <alignment horizontal="right" vertical="center"/>
    </xf>
    <xf numFmtId="0" fontId="68" fillId="16" borderId="27" xfId="0" applyFont="1" applyFill="1" applyBorder="1" applyAlignment="1">
      <alignment horizontal="left" vertical="center" wrapText="1" indent="1"/>
    </xf>
    <xf numFmtId="38" fontId="59" fillId="16" borderId="27" xfId="0" applyNumberFormat="1" applyFont="1" applyFill="1" applyBorder="1" applyAlignment="1" applyProtection="1">
      <alignment horizontal="right" vertical="center"/>
    </xf>
    <xf numFmtId="38" fontId="59" fillId="16" borderId="2" xfId="9" applyNumberFormat="1" applyFont="1" applyFill="1" applyBorder="1" applyAlignment="1" applyProtection="1">
      <alignment horizontal="right"/>
    </xf>
    <xf numFmtId="49" fontId="66" fillId="16" borderId="41" xfId="0" applyNumberFormat="1" applyFont="1" applyFill="1" applyBorder="1" applyAlignment="1" applyProtection="1">
      <alignment horizontal="center" vertical="center"/>
    </xf>
    <xf numFmtId="38" fontId="59" fillId="16" borderId="41" xfId="0" applyNumberFormat="1" applyFont="1" applyFill="1" applyBorder="1" applyAlignment="1" applyProtection="1">
      <alignment vertical="center"/>
    </xf>
    <xf numFmtId="49" fontId="66" fillId="16" borderId="7" xfId="0" applyNumberFormat="1" applyFont="1" applyFill="1" applyBorder="1" applyAlignment="1" applyProtection="1">
      <alignment horizontal="center" vertical="center"/>
    </xf>
    <xf numFmtId="38" fontId="59" fillId="16" borderId="41" xfId="0" applyNumberFormat="1" applyFont="1" applyFill="1" applyBorder="1" applyAlignment="1" applyProtection="1">
      <alignment horizontal="right" vertical="center"/>
    </xf>
    <xf numFmtId="49" fontId="66" fillId="16" borderId="7" xfId="0" applyNumberFormat="1" applyFont="1" applyFill="1" applyBorder="1" applyAlignment="1" applyProtection="1">
      <alignment horizontal="left" vertical="center" indent="2"/>
    </xf>
    <xf numFmtId="0" fontId="61" fillId="16" borderId="7" xfId="0" applyFont="1" applyFill="1" applyBorder="1" applyAlignment="1">
      <alignment horizontal="left" indent="2"/>
    </xf>
    <xf numFmtId="38" fontId="59" fillId="16" borderId="60" xfId="0" applyNumberFormat="1" applyFont="1" applyFill="1" applyBorder="1" applyAlignment="1" applyProtection="1"/>
    <xf numFmtId="38" fontId="59" fillId="16" borderId="41" xfId="0" applyNumberFormat="1" applyFont="1" applyFill="1" applyBorder="1" applyAlignment="1" applyProtection="1">
      <alignment horizontal="right"/>
    </xf>
    <xf numFmtId="0" fontId="68" fillId="16" borderId="54" xfId="0" applyFont="1" applyFill="1" applyBorder="1" applyAlignment="1" applyProtection="1">
      <alignment horizontal="left" vertical="center" indent="2"/>
    </xf>
    <xf numFmtId="0" fontId="68" fillId="16" borderId="41" xfId="0" applyFont="1" applyFill="1" applyBorder="1" applyAlignment="1" applyProtection="1">
      <alignment horizontal="center" vertical="center"/>
    </xf>
    <xf numFmtId="0" fontId="68" fillId="16" borderId="41" xfId="0" applyFont="1" applyFill="1" applyBorder="1" applyAlignment="1" applyProtection="1">
      <alignment horizontal="left" vertical="center" indent="1"/>
    </xf>
    <xf numFmtId="0" fontId="61" fillId="16" borderId="41" xfId="0" applyFont="1" applyFill="1" applyBorder="1" applyAlignment="1" applyProtection="1">
      <alignment vertical="center"/>
    </xf>
    <xf numFmtId="38" fontId="59" fillId="16" borderId="22" xfId="0" applyNumberFormat="1" applyFont="1" applyFill="1" applyBorder="1" applyAlignment="1" applyProtection="1">
      <alignment horizontal="right" vertical="center"/>
    </xf>
    <xf numFmtId="0" fontId="66" fillId="16" borderId="0" xfId="10" applyFont="1" applyFill="1" applyAlignment="1">
      <alignment vertical="center"/>
    </xf>
    <xf numFmtId="0" fontId="66" fillId="16" borderId="0" xfId="10" applyFont="1" applyFill="1" applyAlignment="1">
      <alignment horizontal="center" vertical="center"/>
    </xf>
    <xf numFmtId="0" fontId="66" fillId="16" borderId="0" xfId="10" applyFont="1" applyFill="1" applyAlignment="1">
      <alignment horizontal="right" vertical="center"/>
    </xf>
    <xf numFmtId="0" fontId="68" fillId="16" borderId="0" xfId="10" applyFont="1" applyFill="1" applyAlignment="1">
      <alignment horizontal="right" vertical="center" indent="3"/>
    </xf>
    <xf numFmtId="0" fontId="66" fillId="16" borderId="0" xfId="10" applyFont="1" applyFill="1" applyBorder="1" applyAlignment="1">
      <alignment horizontal="right" vertical="center"/>
    </xf>
    <xf numFmtId="3" fontId="68" fillId="16" borderId="57" xfId="10" applyNumberFormat="1" applyFont="1" applyFill="1" applyBorder="1" applyAlignment="1" applyProtection="1">
      <alignment vertical="center"/>
    </xf>
    <xf numFmtId="0" fontId="66" fillId="16" borderId="0" xfId="10" applyFont="1" applyFill="1" applyAlignment="1">
      <alignment horizontal="left" vertical="center"/>
    </xf>
    <xf numFmtId="0" fontId="68" fillId="16" borderId="0" xfId="10" applyFont="1" applyFill="1" applyAlignment="1">
      <alignment horizontal="right" vertical="center"/>
    </xf>
    <xf numFmtId="38" fontId="68" fillId="16" borderId="47" xfId="10" applyNumberFormat="1" applyFont="1" applyFill="1" applyBorder="1" applyAlignment="1">
      <alignment horizontal="right"/>
    </xf>
    <xf numFmtId="0" fontId="66" fillId="16" borderId="0" xfId="10" quotePrefix="1" applyFont="1" applyFill="1" applyAlignment="1">
      <alignment horizontal="left" vertical="center"/>
    </xf>
    <xf numFmtId="38" fontId="66" fillId="16" borderId="58" xfId="10" applyNumberFormat="1" applyFont="1" applyFill="1" applyBorder="1" applyAlignment="1" applyProtection="1">
      <alignment horizontal="right"/>
    </xf>
    <xf numFmtId="0" fontId="66" fillId="16" borderId="0" xfId="11" quotePrefix="1" applyFont="1" applyFill="1" applyAlignment="1">
      <alignment horizontal="left" vertical="center"/>
    </xf>
    <xf numFmtId="0" fontId="68" fillId="16" borderId="0" xfId="10" quotePrefix="1" applyFont="1" applyFill="1" applyAlignment="1">
      <alignment horizontal="left" vertical="center"/>
    </xf>
    <xf numFmtId="40" fontId="68" fillId="16" borderId="47" xfId="10" applyNumberFormat="1" applyFont="1" applyFill="1" applyBorder="1" applyAlignment="1" applyProtection="1">
      <alignment horizontal="right"/>
    </xf>
    <xf numFmtId="0" fontId="66" fillId="16" borderId="0" xfId="11" applyFont="1" applyFill="1" applyAlignment="1">
      <alignment horizontal="left" vertical="center"/>
    </xf>
    <xf numFmtId="0" fontId="66" fillId="16" borderId="0" xfId="11" applyFont="1" applyFill="1" applyAlignment="1">
      <alignment horizontal="right" vertical="center"/>
    </xf>
    <xf numFmtId="0" fontId="68" fillId="16" borderId="0" xfId="11" applyFont="1" applyFill="1" applyAlignment="1">
      <alignment horizontal="right" vertical="center"/>
    </xf>
    <xf numFmtId="0" fontId="66" fillId="16" borderId="0" xfId="11" applyFont="1" applyFill="1" applyBorder="1" applyAlignment="1">
      <alignment horizontal="right" vertical="center"/>
    </xf>
    <xf numFmtId="38" fontId="68" fillId="16" borderId="9" xfId="11" applyNumberFormat="1" applyFont="1" applyFill="1" applyBorder="1" applyAlignment="1" applyProtection="1">
      <alignment horizontal="right"/>
    </xf>
    <xf numFmtId="38" fontId="66" fillId="16" borderId="6" xfId="11" applyNumberFormat="1" applyFont="1" applyFill="1" applyBorder="1" applyAlignment="1" applyProtection="1">
      <alignment horizontal="right"/>
    </xf>
    <xf numFmtId="0" fontId="66" fillId="16" borderId="0" xfId="11" applyFont="1" applyFill="1" applyAlignment="1">
      <alignment vertical="center"/>
    </xf>
    <xf numFmtId="40" fontId="66" fillId="16" borderId="9" xfId="11" applyNumberFormat="1" applyFont="1" applyFill="1" applyBorder="1" applyAlignment="1" applyProtection="1">
      <alignment horizontal="right"/>
    </xf>
    <xf numFmtId="40" fontId="68" fillId="16" borderId="57" xfId="11" applyNumberFormat="1" applyFont="1" applyFill="1" applyBorder="1" applyAlignment="1" applyProtection="1">
      <alignment horizontal="right"/>
    </xf>
    <xf numFmtId="38" fontId="11" fillId="16" borderId="156" xfId="17" applyNumberFormat="1" applyFill="1" applyBorder="1" applyAlignment="1" applyProtection="1">
      <alignment vertical="top"/>
    </xf>
    <xf numFmtId="38" fontId="11" fillId="16" borderId="157" xfId="17" applyNumberFormat="1" applyFill="1" applyBorder="1" applyAlignment="1" applyProtection="1">
      <alignment horizontal="right" vertical="top"/>
    </xf>
    <xf numFmtId="38" fontId="11" fillId="16" borderId="157" xfId="17" applyNumberFormat="1" applyFill="1" applyBorder="1" applyAlignment="1" applyProtection="1">
      <alignment vertical="top"/>
    </xf>
    <xf numFmtId="0" fontId="11" fillId="16" borderId="157" xfId="17" applyFill="1" applyBorder="1" applyAlignment="1" applyProtection="1">
      <alignment horizontal="left" vertical="top" wrapText="1"/>
    </xf>
    <xf numFmtId="49" fontId="11" fillId="16" borderId="157" xfId="17" applyNumberFormat="1" applyFill="1" applyBorder="1" applyAlignment="1" applyProtection="1">
      <alignment vertical="top"/>
    </xf>
    <xf numFmtId="0" fontId="11" fillId="16" borderId="157" xfId="17" applyFill="1" applyBorder="1" applyAlignment="1" applyProtection="1">
      <alignment vertical="top"/>
    </xf>
    <xf numFmtId="0" fontId="59" fillId="16" borderId="126" xfId="0" applyFont="1" applyFill="1" applyBorder="1"/>
    <xf numFmtId="37" fontId="59" fillId="16" borderId="126" xfId="0" applyNumberFormat="1" applyFont="1" applyFill="1" applyBorder="1"/>
    <xf numFmtId="37" fontId="59" fillId="16" borderId="128" xfId="0" applyNumberFormat="1" applyFont="1" applyFill="1" applyBorder="1"/>
    <xf numFmtId="0" fontId="59" fillId="16" borderId="14" xfId="0" applyFont="1" applyFill="1" applyBorder="1"/>
    <xf numFmtId="0" fontId="59" fillId="16" borderId="21" xfId="0" applyFont="1" applyFill="1" applyBorder="1"/>
    <xf numFmtId="37" fontId="59" fillId="16" borderId="14" xfId="0" applyNumberFormat="1" applyFont="1" applyFill="1" applyBorder="1"/>
    <xf numFmtId="37" fontId="59" fillId="16" borderId="21" xfId="0" applyNumberFormat="1" applyFont="1" applyFill="1" applyBorder="1"/>
    <xf numFmtId="38" fontId="59" fillId="16" borderId="14" xfId="0" applyNumberFormat="1" applyFont="1" applyFill="1" applyBorder="1"/>
    <xf numFmtId="0" fontId="66" fillId="16" borderId="0" xfId="0" applyFont="1" applyFill="1" applyBorder="1" applyAlignment="1">
      <alignment horizontal="right"/>
    </xf>
    <xf numFmtId="38" fontId="59" fillId="16" borderId="18" xfId="0" applyNumberFormat="1" applyFont="1" applyFill="1" applyBorder="1"/>
    <xf numFmtId="0" fontId="59" fillId="16" borderId="13" xfId="0" applyFont="1" applyFill="1" applyBorder="1" applyAlignment="1">
      <alignment horizontal="right"/>
    </xf>
    <xf numFmtId="10" fontId="58" fillId="16" borderId="14" xfId="0" applyNumberFormat="1" applyFont="1" applyFill="1" applyBorder="1" applyAlignment="1">
      <alignment horizontal="left" indent="2"/>
    </xf>
    <xf numFmtId="38" fontId="59" fillId="16" borderId="2" xfId="3" applyNumberFormat="1" applyFont="1" applyFill="1" applyBorder="1" applyAlignment="1">
      <alignment vertical="center"/>
    </xf>
    <xf numFmtId="38" fontId="59" fillId="16" borderId="2" xfId="3" applyNumberFormat="1" applyFont="1" applyFill="1" applyBorder="1" applyAlignment="1" applyProtection="1">
      <alignment vertical="center"/>
    </xf>
    <xf numFmtId="38" fontId="59" fillId="16" borderId="27" xfId="3" applyNumberFormat="1" applyFont="1" applyFill="1" applyBorder="1" applyAlignment="1">
      <alignment vertical="center"/>
    </xf>
    <xf numFmtId="9" fontId="59" fillId="16" borderId="4" xfId="3" applyNumberFormat="1" applyFont="1" applyFill="1" applyBorder="1" applyAlignment="1">
      <alignment horizontal="center" vertical="center"/>
    </xf>
    <xf numFmtId="38" fontId="59" fillId="16" borderId="22" xfId="3" applyNumberFormat="1" applyFont="1" applyFill="1" applyBorder="1" applyAlignment="1">
      <alignment horizontal="right" vertical="center"/>
    </xf>
    <xf numFmtId="38" fontId="59" fillId="16" borderId="41" xfId="3" applyNumberFormat="1" applyFont="1" applyFill="1" applyBorder="1" applyAlignment="1">
      <alignment horizontal="right" vertical="center"/>
    </xf>
    <xf numFmtId="38" fontId="59" fillId="16" borderId="75" xfId="3" applyNumberFormat="1" applyFont="1" applyFill="1" applyBorder="1" applyAlignment="1">
      <alignment horizontal="right" vertical="center"/>
    </xf>
    <xf numFmtId="38" fontId="58" fillId="16" borderId="75" xfId="3" applyNumberFormat="1" applyFont="1" applyFill="1" applyBorder="1" applyAlignment="1">
      <alignment horizontal="right" vertical="center"/>
    </xf>
    <xf numFmtId="38" fontId="59" fillId="16" borderId="60" xfId="3" applyNumberFormat="1" applyFont="1" applyFill="1" applyBorder="1" applyAlignment="1">
      <alignment horizontal="right" vertical="center"/>
    </xf>
    <xf numFmtId="38" fontId="58" fillId="16" borderId="60" xfId="3" applyNumberFormat="1" applyFont="1" applyFill="1" applyBorder="1" applyAlignment="1">
      <alignment horizontal="right" vertical="center"/>
    </xf>
    <xf numFmtId="38" fontId="59" fillId="16" borderId="127" xfId="0" applyNumberFormat="1" applyFont="1" applyFill="1" applyBorder="1" applyAlignment="1" applyProtection="1">
      <alignment horizontal="right"/>
    </xf>
    <xf numFmtId="0" fontId="68" fillId="15" borderId="17" xfId="0" applyFont="1" applyFill="1" applyBorder="1" applyAlignment="1">
      <alignment horizontal="left" vertical="center" wrapText="1"/>
    </xf>
    <xf numFmtId="49" fontId="68" fillId="15" borderId="26" xfId="0" applyNumberFormat="1" applyFont="1" applyFill="1" applyBorder="1" applyAlignment="1">
      <alignment horizontal="center" vertical="center"/>
    </xf>
    <xf numFmtId="38" fontId="59" fillId="15" borderId="26" xfId="0" applyNumberFormat="1" applyFont="1" applyFill="1" applyBorder="1" applyAlignment="1">
      <alignment horizontal="right"/>
    </xf>
    <xf numFmtId="38" fontId="59" fillId="15" borderId="3" xfId="0" applyNumberFormat="1" applyFont="1" applyFill="1" applyBorder="1" applyAlignment="1">
      <alignment horizontal="right"/>
    </xf>
    <xf numFmtId="0" fontId="68" fillId="0" borderId="13" xfId="0" applyFont="1" applyFill="1" applyBorder="1" applyAlignment="1">
      <alignment horizontal="left" vertical="center" wrapText="1"/>
    </xf>
    <xf numFmtId="49" fontId="68" fillId="0" borderId="2" xfId="0" applyNumberFormat="1" applyFont="1" applyFill="1" applyBorder="1" applyAlignment="1">
      <alignment horizontal="center" vertical="center"/>
    </xf>
    <xf numFmtId="0" fontId="68" fillId="16" borderId="13" xfId="0" applyFont="1" applyFill="1" applyBorder="1" applyAlignment="1">
      <alignment horizontal="left" vertical="center" wrapText="1"/>
    </xf>
    <xf numFmtId="49" fontId="68" fillId="16" borderId="2" xfId="0" applyNumberFormat="1" applyFont="1" applyFill="1" applyBorder="1" applyAlignment="1">
      <alignment horizontal="center" vertical="center"/>
    </xf>
    <xf numFmtId="3" fontId="66" fillId="0" borderId="13" xfId="0" applyNumberFormat="1" applyFont="1" applyFill="1" applyBorder="1" applyAlignment="1">
      <alignment horizontal="left" vertical="center" wrapText="1" indent="1"/>
    </xf>
    <xf numFmtId="0" fontId="68" fillId="0" borderId="49" xfId="0" applyFont="1" applyFill="1" applyBorder="1" applyAlignment="1">
      <alignment horizontal="left" vertical="center" wrapText="1" indent="1"/>
    </xf>
    <xf numFmtId="0" fontId="68" fillId="0" borderId="13" xfId="0" applyFont="1" applyFill="1" applyBorder="1" applyAlignment="1">
      <alignment horizontal="left" vertical="center" wrapText="1" indent="1"/>
    </xf>
    <xf numFmtId="38" fontId="59" fillId="26" borderId="26" xfId="0" applyNumberFormat="1" applyFont="1" applyFill="1" applyBorder="1" applyAlignment="1">
      <alignment horizontal="right"/>
    </xf>
    <xf numFmtId="3" fontId="66" fillId="0" borderId="12" xfId="0" applyNumberFormat="1" applyFont="1" applyBorder="1" applyAlignment="1">
      <alignment horizontal="left" vertical="top" wrapText="1" indent="1"/>
    </xf>
    <xf numFmtId="38" fontId="59" fillId="16" borderId="19" xfId="0" applyNumberFormat="1" applyFont="1" applyFill="1" applyBorder="1" applyAlignment="1" applyProtection="1">
      <alignment horizontal="right"/>
    </xf>
    <xf numFmtId="49" fontId="37" fillId="0" borderId="0" xfId="2" applyNumberFormat="1" applyBorder="1" applyAlignment="1" applyProtection="1">
      <alignment horizontal="center"/>
    </xf>
    <xf numFmtId="49" fontId="8" fillId="0" borderId="156" xfId="17" applyNumberFormat="1" applyFont="1" applyBorder="1" applyAlignment="1" applyProtection="1">
      <alignment horizontal="center" vertical="center"/>
      <protection locked="0"/>
    </xf>
    <xf numFmtId="14" fontId="61" fillId="0" borderId="0" xfId="0" applyNumberFormat="1" applyFont="1" applyBorder="1" applyAlignment="1" applyProtection="1">
      <alignment vertical="center"/>
      <protection locked="0"/>
    </xf>
    <xf numFmtId="0" fontId="77" fillId="0" borderId="0" xfId="3" applyFont="1" applyBorder="1" applyAlignment="1" applyProtection="1">
      <alignment horizontal="center" vertical="top"/>
    </xf>
    <xf numFmtId="0" fontId="61" fillId="0" borderId="160" xfId="3" applyFont="1" applyBorder="1" applyProtection="1"/>
    <xf numFmtId="49" fontId="66" fillId="0" borderId="14" xfId="0" applyNumberFormat="1" applyFont="1" applyFill="1" applyBorder="1" applyAlignment="1" applyProtection="1">
      <alignment horizontal="center" vertical="center"/>
    </xf>
    <xf numFmtId="38" fontId="59" fillId="15" borderId="3" xfId="0" applyNumberFormat="1" applyFont="1" applyFill="1" applyBorder="1" applyAlignment="1" applyProtection="1">
      <alignment horizontal="right"/>
    </xf>
    <xf numFmtId="38" fontId="59" fillId="15" borderId="26" xfId="0" applyNumberFormat="1" applyFont="1" applyFill="1" applyBorder="1" applyAlignment="1" applyProtection="1">
      <alignment horizontal="right"/>
    </xf>
    <xf numFmtId="38" fontId="11" fillId="0" borderId="156" xfId="17" applyNumberFormat="1" applyBorder="1" applyAlignment="1" applyProtection="1">
      <alignment horizontal="right" vertical="top"/>
      <protection locked="0"/>
    </xf>
    <xf numFmtId="0" fontId="66" fillId="0" borderId="0" xfId="3" applyFont="1" applyBorder="1" applyAlignment="1" applyProtection="1">
      <alignment horizontal="left" vertical="top" wrapText="1"/>
    </xf>
    <xf numFmtId="0" fontId="58" fillId="0" borderId="0" xfId="3" applyFont="1" applyAlignment="1" applyProtection="1">
      <alignment horizontal="center"/>
    </xf>
    <xf numFmtId="0" fontId="104" fillId="0" borderId="0" xfId="18" applyFont="1"/>
    <xf numFmtId="0" fontId="105" fillId="23" borderId="0" xfId="18" applyFont="1" applyFill="1" applyAlignment="1">
      <alignment horizontal="centerContinuous" vertical="center"/>
    </xf>
    <xf numFmtId="0" fontId="104" fillId="23" borderId="0" xfId="18" applyFont="1" applyFill="1" applyAlignment="1">
      <alignment horizontal="centerContinuous"/>
    </xf>
    <xf numFmtId="0" fontId="92" fillId="0" borderId="137" xfId="18" applyFont="1" applyFill="1" applyBorder="1" applyAlignment="1">
      <alignment horizontal="center" vertical="top" wrapText="1"/>
    </xf>
    <xf numFmtId="0" fontId="92" fillId="0" borderId="0" xfId="18" applyFont="1" applyFill="1" applyBorder="1" applyAlignment="1">
      <alignment horizontal="center" vertical="top" wrapText="1"/>
    </xf>
    <xf numFmtId="0" fontId="8" fillId="0" borderId="0" xfId="18" applyFont="1" applyAlignment="1">
      <alignment wrapText="1"/>
    </xf>
    <xf numFmtId="0" fontId="136" fillId="0" borderId="161" xfId="18" applyFont="1" applyFill="1" applyBorder="1" applyAlignment="1" applyProtection="1">
      <alignment horizontal="center" vertical="center"/>
      <protection locked="0"/>
    </xf>
    <xf numFmtId="0" fontId="107" fillId="0" borderId="0" xfId="18" applyNumberFormat="1" applyFont="1"/>
    <xf numFmtId="0" fontId="82" fillId="0" borderId="107" xfId="18" applyFont="1" applyBorder="1" applyAlignment="1">
      <alignment horizontal="left" vertical="center" wrapText="1"/>
    </xf>
    <xf numFmtId="0" fontId="82" fillId="0" borderId="163" xfId="18" applyFont="1" applyBorder="1" applyAlignment="1">
      <alignment horizontal="left" vertical="center" wrapText="1"/>
    </xf>
    <xf numFmtId="49" fontId="130" fillId="0" borderId="106" xfId="18" applyNumberFormat="1" applyFont="1" applyBorder="1" applyAlignment="1" applyProtection="1">
      <alignment horizontal="center" vertical="center"/>
      <protection locked="0"/>
    </xf>
    <xf numFmtId="0" fontId="130" fillId="0" borderId="106" xfId="18" applyFont="1" applyFill="1" applyBorder="1" applyAlignment="1" applyProtection="1">
      <alignment horizontal="center" vertical="center" wrapText="1"/>
      <protection locked="0"/>
    </xf>
    <xf numFmtId="0" fontId="104" fillId="0" borderId="106" xfId="18" applyFont="1" applyFill="1" applyBorder="1"/>
    <xf numFmtId="0" fontId="108" fillId="0" borderId="158" xfId="18" applyFont="1" applyBorder="1" applyAlignment="1">
      <alignment horizontal="left" vertical="center" wrapText="1"/>
    </xf>
    <xf numFmtId="0" fontId="108" fillId="0" borderId="159" xfId="18" applyFont="1" applyBorder="1" applyAlignment="1">
      <alignment horizontal="left" vertical="center" wrapText="1"/>
    </xf>
    <xf numFmtId="49" fontId="108" fillId="17" borderId="106" xfId="18" applyNumberFormat="1" applyFont="1" applyFill="1" applyBorder="1" applyAlignment="1">
      <alignment horizontal="center" vertical="center"/>
    </xf>
    <xf numFmtId="0" fontId="82" fillId="0" borderId="107" xfId="18" applyFont="1" applyFill="1" applyBorder="1" applyAlignment="1">
      <alignment horizontal="left" vertical="center" wrapText="1"/>
    </xf>
    <xf numFmtId="0" fontId="82" fillId="0" borderId="132" xfId="18" applyFont="1" applyFill="1" applyBorder="1" applyAlignment="1">
      <alignment horizontal="left" vertical="center" wrapText="1"/>
    </xf>
    <xf numFmtId="49" fontId="137" fillId="0" borderId="105" xfId="18" applyNumberFormat="1" applyFont="1" applyBorder="1" applyAlignment="1" applyProtection="1">
      <alignment horizontal="center" vertical="center"/>
      <protection locked="0"/>
    </xf>
    <xf numFmtId="49" fontId="137" fillId="0" borderId="109" xfId="18" applyNumberFormat="1" applyFont="1" applyFill="1" applyBorder="1" applyAlignment="1" applyProtection="1">
      <alignment horizontal="center" vertical="center"/>
      <protection locked="0"/>
    </xf>
    <xf numFmtId="0" fontId="104" fillId="0" borderId="105" xfId="18" applyFont="1" applyBorder="1" applyProtection="1">
      <protection locked="0"/>
    </xf>
    <xf numFmtId="49" fontId="137" fillId="0" borderId="107" xfId="18" applyNumberFormat="1" applyFont="1" applyFill="1" applyBorder="1" applyAlignment="1" applyProtection="1">
      <alignment horizontal="center" vertical="center"/>
      <protection locked="0"/>
    </xf>
    <xf numFmtId="0" fontId="104" fillId="0" borderId="0" xfId="18" applyFont="1" applyProtection="1"/>
    <xf numFmtId="0" fontId="8" fillId="0" borderId="0" xfId="18" applyFont="1"/>
    <xf numFmtId="0" fontId="52" fillId="0" borderId="140" xfId="18" applyFont="1" applyBorder="1" applyAlignment="1">
      <alignment vertical="top"/>
    </xf>
    <xf numFmtId="0" fontId="52" fillId="0" borderId="141" xfId="18" applyFont="1" applyBorder="1" applyAlignment="1">
      <alignment vertical="top"/>
    </xf>
    <xf numFmtId="0" fontId="53" fillId="15" borderId="76" xfId="18" applyFont="1" applyFill="1" applyBorder="1" applyAlignment="1">
      <alignment vertical="top"/>
    </xf>
    <xf numFmtId="0" fontId="52" fillId="0" borderId="140" xfId="18" applyFont="1" applyBorder="1" applyAlignment="1">
      <alignment vertical="top" wrapText="1"/>
    </xf>
    <xf numFmtId="0" fontId="52" fillId="0" borderId="141" xfId="18" applyFont="1" applyBorder="1" applyAlignment="1">
      <alignment vertical="top" wrapText="1"/>
    </xf>
    <xf numFmtId="0" fontId="104" fillId="0" borderId="0" xfId="18" applyFont="1" applyAlignment="1">
      <alignment horizontal="left" vertical="center" wrapText="1"/>
    </xf>
    <xf numFmtId="0" fontId="104" fillId="0" borderId="0" xfId="18" applyFont="1" applyFill="1" applyBorder="1"/>
    <xf numFmtId="0" fontId="107" fillId="0" borderId="0" xfId="18" applyFont="1"/>
    <xf numFmtId="0" fontId="138" fillId="0" borderId="0" xfId="18" applyFont="1"/>
    <xf numFmtId="0" fontId="69" fillId="12" borderId="46" xfId="0" applyFont="1" applyFill="1" applyBorder="1" applyAlignment="1" applyProtection="1">
      <alignment horizontal="left" vertical="center"/>
    </xf>
    <xf numFmtId="0" fontId="68" fillId="12" borderId="6" xfId="0" applyFont="1" applyFill="1" applyBorder="1" applyAlignment="1" applyProtection="1">
      <alignment horizontal="left" vertical="center"/>
    </xf>
    <xf numFmtId="0" fontId="66" fillId="12" borderId="7" xfId="0" applyFont="1" applyFill="1" applyBorder="1" applyAlignment="1" applyProtection="1">
      <alignment horizontal="left" vertical="center" indent="2"/>
    </xf>
    <xf numFmtId="0" fontId="69" fillId="12" borderId="2" xfId="0" applyFont="1" applyFill="1" applyBorder="1" applyAlignment="1">
      <alignment horizontal="center" vertical="center"/>
    </xf>
    <xf numFmtId="49" fontId="68" fillId="0" borderId="2" xfId="0" applyNumberFormat="1" applyFont="1" applyFill="1" applyBorder="1" applyAlignment="1" applyProtection="1">
      <alignment horizontal="center" vertical="top" wrapText="1"/>
    </xf>
    <xf numFmtId="49" fontId="68" fillId="0" borderId="2" xfId="9" applyNumberFormat="1" applyFont="1" applyFill="1" applyBorder="1" applyAlignment="1">
      <alignment horizontal="center" vertical="top" wrapText="1"/>
    </xf>
    <xf numFmtId="49" fontId="68" fillId="5" borderId="2" xfId="9" applyNumberFormat="1" applyFont="1" applyFill="1" applyBorder="1" applyAlignment="1" applyProtection="1">
      <alignment horizontal="center" vertical="top" wrapText="1"/>
    </xf>
    <xf numFmtId="0" fontId="104" fillId="23" borderId="0" xfId="18" applyFont="1" applyFill="1" applyAlignment="1">
      <alignment horizontal="centerContinuous" vertical="center"/>
    </xf>
    <xf numFmtId="0" fontId="108" fillId="23" borderId="138" xfId="18" applyFont="1" applyFill="1" applyBorder="1" applyAlignment="1">
      <alignment horizontal="center" vertical="center" wrapText="1"/>
    </xf>
    <xf numFmtId="0" fontId="108" fillId="23" borderId="162" xfId="18" applyFont="1" applyFill="1" applyBorder="1" applyAlignment="1">
      <alignment horizontal="center" vertical="center" wrapText="1"/>
    </xf>
    <xf numFmtId="0" fontId="108" fillId="17" borderId="139" xfId="18" applyFont="1" applyFill="1" applyBorder="1" applyAlignment="1">
      <alignment horizontal="center" vertical="center" wrapText="1"/>
    </xf>
    <xf numFmtId="49" fontId="108" fillId="17" borderId="107" xfId="18" applyNumberFormat="1" applyFont="1" applyFill="1" applyBorder="1" applyAlignment="1">
      <alignment horizontal="center" vertical="center" wrapText="1"/>
    </xf>
    <xf numFmtId="0" fontId="53" fillId="17" borderId="108" xfId="18" applyFont="1" applyFill="1" applyBorder="1" applyAlignment="1">
      <alignment horizontal="center"/>
    </xf>
    <xf numFmtId="0" fontId="106" fillId="0" borderId="139" xfId="18" applyFont="1" applyFill="1" applyBorder="1" applyAlignment="1" applyProtection="1">
      <alignment horizontal="right"/>
    </xf>
    <xf numFmtId="0" fontId="69" fillId="23" borderId="12" xfId="3" applyNumberFormat="1" applyFont="1" applyFill="1" applyBorder="1" applyAlignment="1">
      <alignment horizontal="left"/>
    </xf>
    <xf numFmtId="0" fontId="58" fillId="0" borderId="12" xfId="3" applyNumberFormat="1" applyFont="1" applyFill="1" applyBorder="1" applyAlignment="1">
      <alignment horizontal="centerContinuous" vertical="center"/>
    </xf>
    <xf numFmtId="0" fontId="58" fillId="0" borderId="3" xfId="3" applyNumberFormat="1" applyFont="1" applyFill="1" applyBorder="1" applyAlignment="1">
      <alignment horizontal="centerContinuous" vertical="center"/>
    </xf>
    <xf numFmtId="0" fontId="59" fillId="12" borderId="39" xfId="0" applyFont="1" applyFill="1" applyBorder="1"/>
    <xf numFmtId="0" fontId="59" fillId="12" borderId="23" xfId="0" applyFont="1" applyFill="1" applyBorder="1" applyAlignment="1">
      <alignment horizontal="left" vertical="top"/>
    </xf>
    <xf numFmtId="0" fontId="59" fillId="12" borderId="23" xfId="0" applyFont="1" applyFill="1" applyBorder="1" applyAlignment="1">
      <alignment vertical="top" wrapText="1"/>
    </xf>
    <xf numFmtId="0" fontId="68" fillId="12" borderId="62" xfId="0" applyFont="1" applyFill="1" applyBorder="1" applyAlignment="1">
      <alignment vertical="top"/>
    </xf>
    <xf numFmtId="6" fontId="59" fillId="0" borderId="78" xfId="3" applyNumberFormat="1" applyFont="1" applyBorder="1" applyAlignment="1" applyProtection="1">
      <alignment horizontal="center"/>
      <protection locked="0"/>
    </xf>
    <xf numFmtId="0" fontId="61" fillId="0" borderId="0" xfId="3" applyFont="1" applyFill="1" applyBorder="1" applyAlignment="1" applyProtection="1">
      <alignment horizontal="center" vertical="center"/>
    </xf>
    <xf numFmtId="3" fontId="59" fillId="0" borderId="0" xfId="3" applyNumberFormat="1" applyFont="1" applyBorder="1" applyAlignment="1" applyProtection="1">
      <alignment horizontal="right" indent="1"/>
    </xf>
    <xf numFmtId="5" fontId="59" fillId="0" borderId="0" xfId="3" applyNumberFormat="1" applyFont="1" applyBorder="1" applyAlignment="1" applyProtection="1"/>
    <xf numFmtId="5" fontId="59" fillId="0" borderId="0" xfId="3" applyNumberFormat="1" applyFont="1" applyBorder="1" applyAlignment="1" applyProtection="1">
      <alignment horizontal="center"/>
    </xf>
    <xf numFmtId="38" fontId="66" fillId="0" borderId="147" xfId="11" applyNumberFormat="1" applyFont="1" applyFill="1" applyBorder="1" applyAlignment="1" applyProtection="1">
      <alignment horizontal="right"/>
      <protection locked="0"/>
    </xf>
    <xf numFmtId="38" fontId="66" fillId="16" borderId="9" xfId="11" applyNumberFormat="1" applyFont="1" applyFill="1" applyBorder="1" applyAlignment="1" applyProtection="1">
      <alignment horizontal="right"/>
    </xf>
    <xf numFmtId="3" fontId="66" fillId="16" borderId="9" xfId="10" applyNumberFormat="1" applyFont="1" applyFill="1" applyBorder="1" applyAlignment="1" applyProtection="1">
      <alignment vertical="center"/>
    </xf>
    <xf numFmtId="3" fontId="66" fillId="16" borderId="6" xfId="10" applyNumberFormat="1" applyFont="1" applyFill="1" applyBorder="1" applyAlignment="1" applyProtection="1">
      <alignment vertical="center"/>
    </xf>
    <xf numFmtId="38" fontId="66" fillId="16" borderId="9" xfId="10" applyNumberFormat="1" applyFont="1" applyFill="1" applyBorder="1" applyAlignment="1" applyProtection="1">
      <alignment horizontal="right" vertical="center"/>
    </xf>
    <xf numFmtId="38" fontId="66" fillId="16" borderId="0" xfId="10" applyNumberFormat="1" applyFont="1" applyFill="1" applyAlignment="1">
      <alignment vertical="top"/>
    </xf>
    <xf numFmtId="38" fontId="66" fillId="16" borderId="6" xfId="10" applyNumberFormat="1" applyFont="1" applyFill="1" applyBorder="1" applyAlignment="1" applyProtection="1">
      <alignment horizontal="right" vertical="center"/>
    </xf>
    <xf numFmtId="38" fontId="66" fillId="16" borderId="6" xfId="10" applyNumberFormat="1" applyFont="1" applyFill="1" applyBorder="1" applyAlignment="1" applyProtection="1">
      <alignment horizontal="right"/>
    </xf>
    <xf numFmtId="38" fontId="66" fillId="16" borderId="0" xfId="10" applyNumberFormat="1" applyFont="1" applyFill="1" applyAlignment="1">
      <alignment horizontal="right"/>
    </xf>
    <xf numFmtId="38" fontId="66" fillId="16" borderId="9" xfId="10" applyNumberFormat="1" applyFont="1" applyFill="1" applyBorder="1" applyAlignment="1" applyProtection="1">
      <alignment horizontal="right"/>
    </xf>
    <xf numFmtId="38" fontId="66" fillId="16" borderId="6" xfId="10" applyNumberFormat="1" applyFont="1" applyFill="1" applyBorder="1" applyAlignment="1">
      <alignment horizontal="right"/>
    </xf>
    <xf numFmtId="38" fontId="66" fillId="16" borderId="147" xfId="10" applyNumberFormat="1" applyFont="1" applyFill="1" applyBorder="1" applyAlignment="1" applyProtection="1">
      <alignment horizontal="right"/>
    </xf>
    <xf numFmtId="0" fontId="68" fillId="0" borderId="0" xfId="11" quotePrefix="1" applyFont="1" applyAlignment="1">
      <alignment horizontal="left" vertical="top"/>
    </xf>
    <xf numFmtId="0" fontId="68" fillId="0" borderId="0" xfId="11" applyFont="1" applyAlignment="1">
      <alignment horizontal="left" vertical="top"/>
    </xf>
    <xf numFmtId="0" fontId="68" fillId="0" borderId="0" xfId="11" applyFont="1" applyAlignment="1">
      <alignment horizontal="center" vertical="top"/>
    </xf>
    <xf numFmtId="0" fontId="68" fillId="0" borderId="0" xfId="11" applyFont="1" applyAlignment="1">
      <alignment horizontal="left" vertical="top" wrapText="1"/>
    </xf>
    <xf numFmtId="0" fontId="68" fillId="0" borderId="0" xfId="10" applyFont="1" applyAlignment="1">
      <alignment vertical="center"/>
    </xf>
    <xf numFmtId="0" fontId="68" fillId="0" borderId="0" xfId="11" applyFont="1" applyAlignment="1">
      <alignment vertical="center"/>
    </xf>
    <xf numFmtId="0" fontId="68" fillId="0" borderId="0" xfId="11" applyFont="1" applyAlignment="1">
      <alignment horizontal="right" vertical="center"/>
    </xf>
    <xf numFmtId="0" fontId="68" fillId="0" borderId="0" xfId="0" applyFont="1" applyBorder="1" applyAlignment="1" applyProtection="1">
      <alignment horizontal="left" vertical="center"/>
    </xf>
    <xf numFmtId="0" fontId="91" fillId="0" borderId="0" xfId="2" applyFont="1" applyAlignment="1" applyProtection="1">
      <alignment horizontal="right" vertical="center"/>
    </xf>
    <xf numFmtId="0" fontId="37" fillId="0" borderId="0" xfId="2" applyAlignment="1" applyProtection="1">
      <alignment vertical="center"/>
    </xf>
    <xf numFmtId="0" fontId="68" fillId="17" borderId="21" xfId="0" applyFont="1" applyFill="1" applyBorder="1" applyAlignment="1" applyProtection="1">
      <alignment vertical="center"/>
    </xf>
    <xf numFmtId="0" fontId="68" fillId="17" borderId="2" xfId="0" applyFont="1" applyFill="1" applyBorder="1" applyAlignment="1" applyProtection="1">
      <alignment vertical="center"/>
    </xf>
    <xf numFmtId="0" fontId="66" fillId="0" borderId="21" xfId="0" applyFont="1" applyBorder="1" applyAlignment="1" applyProtection="1">
      <alignment horizontal="left" vertical="center" indent="1"/>
    </xf>
    <xf numFmtId="0" fontId="128" fillId="0" borderId="21" xfId="0" applyFont="1" applyBorder="1" applyAlignment="1" applyProtection="1">
      <alignment horizontal="left" vertical="center" indent="1"/>
    </xf>
    <xf numFmtId="38" fontId="7" fillId="16" borderId="156" xfId="17" applyNumberFormat="1" applyFont="1" applyFill="1" applyBorder="1" applyAlignment="1" applyProtection="1">
      <alignment horizontal="right" vertical="top"/>
    </xf>
    <xf numFmtId="38" fontId="7" fillId="16" borderId="157" xfId="17" applyNumberFormat="1" applyFont="1" applyFill="1" applyBorder="1" applyAlignment="1" applyProtection="1">
      <alignment horizontal="right" vertical="top"/>
    </xf>
    <xf numFmtId="49" fontId="7" fillId="0" borderId="156" xfId="17" applyNumberFormat="1" applyFont="1" applyBorder="1" applyAlignment="1" applyProtection="1">
      <alignment horizontal="center" vertical="center"/>
      <protection locked="0"/>
    </xf>
    <xf numFmtId="0" fontId="61" fillId="0" borderId="77" xfId="3" applyNumberFormat="1" applyFont="1" applyBorder="1" applyAlignment="1" applyProtection="1">
      <alignment horizontal="center"/>
      <protection locked="0"/>
    </xf>
    <xf numFmtId="38" fontId="59" fillId="0" borderId="14" xfId="0" applyNumberFormat="1" applyFont="1" applyBorder="1" applyAlignment="1" applyProtection="1">
      <alignment horizontal="right"/>
      <protection locked="0"/>
    </xf>
    <xf numFmtId="38" fontId="59" fillId="0" borderId="2"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3" xfId="0" applyNumberFormat="1" applyFont="1" applyBorder="1" applyAlignment="1" applyProtection="1">
      <alignment horizontal="right"/>
      <protection locked="0"/>
    </xf>
    <xf numFmtId="38" fontId="59" fillId="0" borderId="3" xfId="0" applyNumberFormat="1" applyFont="1" applyFill="1" applyBorder="1" applyAlignment="1" applyProtection="1">
      <alignment horizontal="right"/>
      <protection locked="0"/>
    </xf>
    <xf numFmtId="38" fontId="59" fillId="0" borderId="14" xfId="0" applyNumberFormat="1" applyFont="1" applyFill="1" applyBorder="1" applyAlignment="1" applyProtection="1">
      <alignment horizontal="right"/>
      <protection locked="0"/>
    </xf>
    <xf numFmtId="38" fontId="59" fillId="0" borderId="127" xfId="0" applyNumberFormat="1" applyFont="1" applyFill="1" applyBorder="1" applyAlignment="1" applyProtection="1">
      <alignment horizontal="right"/>
      <protection locked="0"/>
    </xf>
    <xf numFmtId="38" fontId="59" fillId="0" borderId="26" xfId="0" applyNumberFormat="1" applyFont="1" applyFill="1" applyBorder="1" applyAlignment="1" applyProtection="1">
      <alignment horizontal="right"/>
      <protection locked="0"/>
    </xf>
    <xf numFmtId="38" fontId="59" fillId="0" borderId="127" xfId="0" applyNumberFormat="1" applyFont="1" applyBorder="1" applyAlignment="1" applyProtection="1">
      <alignment horizontal="right"/>
      <protection locked="0"/>
    </xf>
    <xf numFmtId="38" fontId="59" fillId="0" borderId="12" xfId="0" applyNumberFormat="1" applyFont="1" applyFill="1" applyBorder="1" applyAlignment="1" applyProtection="1">
      <alignment horizontal="right"/>
      <protection locked="0"/>
    </xf>
    <xf numFmtId="38" fontId="59" fillId="0" borderId="13" xfId="0" applyNumberFormat="1" applyFont="1" applyFill="1" applyBorder="1" applyAlignment="1" applyProtection="1">
      <alignment horizontal="right"/>
      <protection locked="0"/>
    </xf>
    <xf numFmtId="38" fontId="59" fillId="0" borderId="26"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3" xfId="0" applyNumberFormat="1" applyFont="1" applyFill="1" applyBorder="1" applyAlignment="1" applyProtection="1">
      <alignment horizontal="right"/>
      <protection locked="0"/>
    </xf>
    <xf numFmtId="38" fontId="59" fillId="0" borderId="27" xfId="0" applyNumberFormat="1" applyFont="1" applyFill="1" applyBorder="1" applyAlignment="1" applyProtection="1">
      <alignment horizontal="right"/>
      <protection locked="0"/>
    </xf>
    <xf numFmtId="38" fontId="59" fillId="0" borderId="33" xfId="0" applyNumberFormat="1" applyFont="1" applyFill="1" applyBorder="1" applyAlignment="1" applyProtection="1">
      <alignment horizontal="right"/>
      <protection locked="0"/>
    </xf>
    <xf numFmtId="38" fontId="59" fillId="0" borderId="2"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27" xfId="0" applyNumberFormat="1" applyFont="1" applyFill="1" applyBorder="1" applyAlignment="1" applyProtection="1">
      <alignment horizontal="right"/>
      <protection locked="0"/>
    </xf>
    <xf numFmtId="38" fontId="59" fillId="0" borderId="32" xfId="0" applyNumberFormat="1" applyFont="1" applyFill="1" applyBorder="1" applyAlignment="1" applyProtection="1">
      <alignment horizontal="right"/>
      <protection locked="0"/>
    </xf>
    <xf numFmtId="38" fontId="59" fillId="0" borderId="29" xfId="0" applyNumberFormat="1" applyFont="1" applyFill="1" applyBorder="1" applyAlignment="1" applyProtection="1">
      <alignment horizontal="right"/>
      <protection locked="0"/>
    </xf>
    <xf numFmtId="38" fontId="59" fillId="0" borderId="13" xfId="0" applyNumberFormat="1" applyFont="1" applyBorder="1" applyAlignment="1" applyProtection="1">
      <alignment horizontal="right"/>
      <protection locked="0"/>
    </xf>
    <xf numFmtId="38" fontId="59" fillId="0" borderId="2"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0" xfId="0" applyNumberFormat="1" applyFont="1" applyAlignment="1" applyProtection="1">
      <alignment horizontal="right"/>
      <protection locked="0"/>
    </xf>
    <xf numFmtId="38" fontId="59" fillId="0" borderId="2"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3" xfId="0" applyNumberFormat="1" applyFont="1" applyFill="1" applyBorder="1" applyAlignment="1" applyProtection="1">
      <alignment horizontal="right"/>
      <protection locked="0"/>
    </xf>
    <xf numFmtId="38" fontId="59" fillId="0" borderId="26" xfId="0" applyNumberFormat="1" applyFont="1" applyFill="1" applyBorder="1" applyAlignment="1" applyProtection="1">
      <alignment horizontal="right"/>
      <protection locked="0"/>
    </xf>
    <xf numFmtId="38" fontId="59" fillId="0" borderId="13" xfId="0" applyNumberFormat="1" applyFont="1" applyFill="1" applyBorder="1" applyAlignment="1" applyProtection="1">
      <alignment horizontal="right"/>
      <protection locked="0"/>
    </xf>
    <xf numFmtId="38" fontId="59" fillId="0" borderId="13" xfId="0" applyNumberFormat="1" applyFont="1" applyBorder="1" applyAlignment="1" applyProtection="1">
      <alignment horizontal="right"/>
      <protection locked="0"/>
    </xf>
    <xf numFmtId="38" fontId="59" fillId="0" borderId="2"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13" xfId="0" applyNumberFormat="1" applyFont="1" applyFill="1" applyBorder="1" applyAlignment="1" applyProtection="1">
      <alignment horizontal="right"/>
      <protection locked="0"/>
    </xf>
    <xf numFmtId="38" fontId="59" fillId="0" borderId="13" xfId="0" applyNumberFormat="1" applyFont="1" applyBorder="1" applyAlignment="1" applyProtection="1">
      <alignment horizontal="right"/>
      <protection locked="0"/>
    </xf>
    <xf numFmtId="38" fontId="59" fillId="0" borderId="2"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3" xfId="0" applyNumberFormat="1" applyFont="1" applyFill="1" applyBorder="1" applyAlignment="1" applyProtection="1">
      <alignment horizontal="right"/>
      <protection locked="0"/>
    </xf>
    <xf numFmtId="38" fontId="59" fillId="0" borderId="127" xfId="0" applyNumberFormat="1" applyFont="1" applyBorder="1" applyAlignment="1" applyProtection="1">
      <alignment horizontal="right"/>
      <protection locked="0"/>
    </xf>
    <xf numFmtId="38" fontId="59" fillId="0" borderId="13" xfId="0" applyNumberFormat="1" applyFont="1" applyFill="1" applyBorder="1" applyAlignment="1" applyProtection="1">
      <alignment horizontal="right"/>
      <protection locked="0"/>
    </xf>
    <xf numFmtId="38" fontId="59" fillId="0" borderId="27" xfId="0" applyNumberFormat="1" applyFont="1" applyFill="1" applyBorder="1" applyAlignment="1" applyProtection="1">
      <alignment horizontal="right"/>
      <protection locked="0"/>
    </xf>
    <xf numFmtId="38" fontId="59" fillId="0" borderId="33" xfId="0" applyNumberFormat="1" applyFont="1" applyFill="1" applyBorder="1" applyAlignment="1" applyProtection="1">
      <alignment horizontal="right"/>
      <protection locked="0"/>
    </xf>
    <xf numFmtId="38" fontId="59" fillId="0" borderId="32" xfId="0" applyNumberFormat="1" applyFont="1" applyFill="1" applyBorder="1" applyAlignment="1" applyProtection="1">
      <alignment horizontal="right"/>
      <protection locked="0"/>
    </xf>
    <xf numFmtId="38" fontId="59" fillId="0" borderId="0" xfId="0" applyNumberFormat="1" applyFont="1" applyAlignment="1" applyProtection="1">
      <alignment horizontal="right"/>
      <protection locked="0"/>
    </xf>
    <xf numFmtId="38" fontId="59" fillId="0" borderId="13" xfId="0" applyNumberFormat="1" applyFont="1" applyBorder="1" applyAlignment="1" applyProtection="1">
      <alignment horizontal="right"/>
      <protection locked="0"/>
    </xf>
    <xf numFmtId="38" fontId="59" fillId="0" borderId="32" xfId="0" applyNumberFormat="1" applyFont="1" applyBorder="1" applyAlignment="1" applyProtection="1">
      <alignment horizontal="right"/>
      <protection locked="0"/>
    </xf>
    <xf numFmtId="38" fontId="59" fillId="0" borderId="37" xfId="0" applyNumberFormat="1" applyFont="1" applyBorder="1" applyAlignment="1" applyProtection="1">
      <alignment horizontal="right"/>
      <protection locked="0"/>
    </xf>
    <xf numFmtId="38" fontId="59" fillId="0" borderId="33" xfId="0" applyNumberFormat="1" applyFont="1" applyBorder="1" applyAlignment="1" applyProtection="1">
      <alignment horizontal="right"/>
      <protection locked="0"/>
    </xf>
    <xf numFmtId="38" fontId="59" fillId="0" borderId="36" xfId="0" applyNumberFormat="1" applyFont="1" applyFill="1" applyBorder="1" applyAlignment="1" applyProtection="1">
      <alignment horizontal="right"/>
      <protection locked="0"/>
    </xf>
    <xf numFmtId="38" fontId="59" fillId="0" borderId="27" xfId="0" applyNumberFormat="1" applyFont="1" applyBorder="1" applyAlignment="1" applyProtection="1">
      <alignment horizontal="right"/>
      <protection locked="0"/>
    </xf>
    <xf numFmtId="38" fontId="59" fillId="0" borderId="55" xfId="0" applyNumberFormat="1" applyFont="1" applyBorder="1" applyAlignment="1" applyProtection="1">
      <alignment horizontal="right" vertical="center"/>
      <protection locked="0"/>
    </xf>
    <xf numFmtId="38" fontId="59" fillId="0" borderId="32" xfId="0" applyNumberFormat="1" applyFont="1" applyBorder="1" applyAlignment="1" applyProtection="1">
      <alignment horizontal="right" vertical="center"/>
      <protection locked="0"/>
    </xf>
    <xf numFmtId="38" fontId="59" fillId="0" borderId="27" xfId="0" applyNumberFormat="1" applyFont="1" applyFill="1" applyBorder="1" applyAlignment="1" applyProtection="1">
      <alignment horizontal="right" vertical="center"/>
      <protection locked="0"/>
    </xf>
    <xf numFmtId="38" fontId="59" fillId="0" borderId="32" xfId="0" applyNumberFormat="1" applyFont="1" applyFill="1" applyBorder="1" applyAlignment="1" applyProtection="1">
      <alignment horizontal="right" vertical="center"/>
      <protection locked="0"/>
    </xf>
    <xf numFmtId="38" fontId="59" fillId="0" borderId="2" xfId="0" applyNumberFormat="1" applyFont="1" applyFill="1" applyBorder="1" applyAlignment="1" applyProtection="1">
      <alignment horizontal="right" vertical="center"/>
      <protection locked="0"/>
    </xf>
    <xf numFmtId="38" fontId="59" fillId="0" borderId="124" xfId="0" applyNumberFormat="1" applyFont="1" applyFill="1" applyBorder="1" applyAlignment="1" applyProtection="1">
      <alignment horizontal="right"/>
      <protection locked="0"/>
    </xf>
    <xf numFmtId="38" fontId="59" fillId="0" borderId="123" xfId="0" applyNumberFormat="1" applyFont="1" applyFill="1" applyBorder="1" applyAlignment="1" applyProtection="1">
      <alignment horizontal="right"/>
      <protection locked="0"/>
    </xf>
    <xf numFmtId="38" fontId="59" fillId="0" borderId="2"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3" xfId="0" applyNumberFormat="1" applyFont="1" applyBorder="1" applyAlignment="1" applyProtection="1">
      <alignment horizontal="right"/>
      <protection locked="0"/>
    </xf>
    <xf numFmtId="38" fontId="59" fillId="0" borderId="3" xfId="0" applyNumberFormat="1" applyFont="1" applyFill="1" applyBorder="1" applyAlignment="1" applyProtection="1">
      <alignment horizontal="right"/>
      <protection locked="0"/>
    </xf>
    <xf numFmtId="38" fontId="59" fillId="0" borderId="127" xfId="0" applyNumberFormat="1" applyFont="1" applyFill="1" applyBorder="1" applyAlignment="1" applyProtection="1">
      <alignment horizontal="right"/>
      <protection locked="0"/>
    </xf>
    <xf numFmtId="38" fontId="59" fillId="0" borderId="26" xfId="0" applyNumberFormat="1" applyFont="1" applyFill="1" applyBorder="1" applyAlignment="1" applyProtection="1">
      <alignment horizontal="right"/>
      <protection locked="0"/>
    </xf>
    <xf numFmtId="38" fontId="59" fillId="0" borderId="127" xfId="0" applyNumberFormat="1" applyFont="1" applyBorder="1" applyAlignment="1" applyProtection="1">
      <alignment horizontal="right"/>
      <protection locked="0"/>
    </xf>
    <xf numFmtId="38" fontId="59" fillId="0" borderId="27" xfId="0" applyNumberFormat="1" applyFont="1" applyFill="1" applyBorder="1" applyAlignment="1" applyProtection="1">
      <alignment horizontal="right"/>
      <protection locked="0"/>
    </xf>
    <xf numFmtId="38" fontId="59" fillId="0" borderId="33" xfId="0" applyNumberFormat="1" applyFont="1" applyFill="1" applyBorder="1" applyAlignment="1" applyProtection="1">
      <alignment horizontal="right"/>
      <protection locked="0"/>
    </xf>
    <xf numFmtId="38" fontId="59" fillId="0" borderId="32" xfId="0" applyNumberFormat="1" applyFont="1" applyFill="1" applyBorder="1" applyAlignment="1" applyProtection="1">
      <alignment horizontal="right"/>
      <protection locked="0"/>
    </xf>
    <xf numFmtId="38" fontId="59" fillId="0" borderId="29" xfId="0" applyNumberFormat="1" applyFont="1" applyFill="1" applyBorder="1" applyAlignment="1" applyProtection="1">
      <alignment horizontal="right"/>
      <protection locked="0"/>
    </xf>
    <xf numFmtId="38" fontId="59" fillId="0" borderId="32" xfId="0" applyNumberFormat="1" applyFont="1" applyBorder="1" applyAlignment="1" applyProtection="1">
      <alignment horizontal="right"/>
      <protection locked="0"/>
    </xf>
    <xf numFmtId="38" fontId="59" fillId="0" borderId="37" xfId="0" applyNumberFormat="1" applyFont="1" applyBorder="1" applyAlignment="1" applyProtection="1">
      <alignment horizontal="right"/>
      <protection locked="0"/>
    </xf>
    <xf numFmtId="38" fontId="59" fillId="0" borderId="33" xfId="0" applyNumberFormat="1" applyFont="1" applyBorder="1" applyAlignment="1" applyProtection="1">
      <alignment horizontal="right"/>
      <protection locked="0"/>
    </xf>
    <xf numFmtId="38" fontId="59" fillId="0" borderId="27" xfId="0" applyNumberFormat="1" applyFont="1" applyBorder="1" applyAlignment="1" applyProtection="1">
      <alignment horizontal="right"/>
      <protection locked="0"/>
    </xf>
    <xf numFmtId="38" fontId="59" fillId="0" borderId="111" xfId="0" applyNumberFormat="1" applyFont="1" applyFill="1" applyBorder="1" applyAlignment="1" applyProtection="1">
      <alignment horizontal="right"/>
      <protection locked="0"/>
    </xf>
    <xf numFmtId="38" fontId="59" fillId="0" borderId="29"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26" xfId="0" applyNumberFormat="1" applyFont="1" applyFill="1" applyBorder="1" applyAlignment="1" applyProtection="1">
      <alignment horizontal="right"/>
      <protection locked="0"/>
    </xf>
    <xf numFmtId="38" fontId="59" fillId="0" borderId="37" xfId="0" applyNumberFormat="1" applyFont="1" applyBorder="1" applyAlignment="1" applyProtection="1">
      <alignment horizontal="right"/>
      <protection locked="0"/>
    </xf>
    <xf numFmtId="38" fontId="59" fillId="0" borderId="33" xfId="0" applyNumberFormat="1" applyFont="1" applyBorder="1" applyAlignment="1" applyProtection="1">
      <alignment horizontal="right"/>
      <protection locked="0"/>
    </xf>
    <xf numFmtId="38" fontId="59" fillId="0" borderId="2" xfId="8" applyNumberFormat="1" applyFont="1" applyFill="1" applyBorder="1" applyAlignment="1" applyProtection="1">
      <alignment horizontal="right"/>
      <protection locked="0"/>
    </xf>
    <xf numFmtId="38" fontId="59" fillId="0" borderId="2"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3" xfId="0" applyNumberFormat="1" applyFont="1" applyBorder="1" applyAlignment="1" applyProtection="1">
      <alignment horizontal="right"/>
      <protection locked="0"/>
    </xf>
    <xf numFmtId="38" fontId="59" fillId="0" borderId="3" xfId="0" applyNumberFormat="1" applyFont="1" applyFill="1" applyBorder="1" applyAlignment="1" applyProtection="1">
      <alignment horizontal="right"/>
      <protection locked="0"/>
    </xf>
    <xf numFmtId="38" fontId="59" fillId="0" borderId="127" xfId="0" applyNumberFormat="1" applyFont="1" applyFill="1" applyBorder="1" applyAlignment="1" applyProtection="1">
      <alignment horizontal="right"/>
      <protection locked="0"/>
    </xf>
    <xf numFmtId="38" fontId="59" fillId="0" borderId="26" xfId="0" applyNumberFormat="1" applyFont="1" applyFill="1" applyBorder="1" applyAlignment="1" applyProtection="1">
      <alignment horizontal="right"/>
      <protection locked="0"/>
    </xf>
    <xf numFmtId="38" fontId="59" fillId="0" borderId="127" xfId="0" applyNumberFormat="1" applyFont="1" applyBorder="1" applyAlignment="1" applyProtection="1">
      <alignment horizontal="right"/>
      <protection locked="0"/>
    </xf>
    <xf numFmtId="38" fontId="59" fillId="0" borderId="26" xfId="0" applyNumberFormat="1" applyFont="1" applyBorder="1" applyAlignment="1" applyProtection="1">
      <alignment horizontal="right"/>
      <protection locked="0"/>
    </xf>
    <xf numFmtId="38" fontId="59" fillId="0" borderId="27" xfId="0" applyNumberFormat="1" applyFont="1" applyFill="1" applyBorder="1" applyAlignment="1" applyProtection="1">
      <alignment horizontal="right"/>
      <protection locked="0"/>
    </xf>
    <xf numFmtId="38" fontId="59" fillId="0" borderId="33" xfId="0" applyNumberFormat="1" applyFont="1" applyFill="1" applyBorder="1" applyAlignment="1" applyProtection="1">
      <alignment horizontal="right"/>
      <protection locked="0"/>
    </xf>
    <xf numFmtId="38" fontId="59" fillId="0" borderId="32" xfId="0" applyNumberFormat="1" applyFont="1" applyFill="1" applyBorder="1" applyAlignment="1" applyProtection="1">
      <alignment horizontal="right"/>
      <protection locked="0"/>
    </xf>
    <xf numFmtId="38" fontId="59" fillId="0" borderId="29" xfId="0" applyNumberFormat="1" applyFont="1" applyFill="1" applyBorder="1" applyAlignment="1" applyProtection="1">
      <alignment horizontal="right"/>
      <protection locked="0"/>
    </xf>
    <xf numFmtId="38" fontId="59" fillId="0" borderId="32" xfId="0" applyNumberFormat="1" applyFont="1" applyBorder="1" applyAlignment="1" applyProtection="1">
      <alignment horizontal="right"/>
      <protection locked="0"/>
    </xf>
    <xf numFmtId="38" fontId="59" fillId="0" borderId="33" xfId="0" applyNumberFormat="1" applyFont="1" applyBorder="1" applyAlignment="1" applyProtection="1">
      <alignment horizontal="right"/>
      <protection locked="0"/>
    </xf>
    <xf numFmtId="38" fontId="59" fillId="0" borderId="27" xfId="0" applyNumberFormat="1" applyFont="1" applyBorder="1" applyAlignment="1" applyProtection="1">
      <alignment horizontal="right"/>
      <protection locked="0"/>
    </xf>
    <xf numFmtId="38" fontId="59" fillId="0" borderId="29" xfId="0" applyNumberFormat="1" applyFont="1" applyBorder="1" applyAlignment="1" applyProtection="1">
      <alignment horizontal="right"/>
      <protection locked="0"/>
    </xf>
    <xf numFmtId="38" fontId="59" fillId="0" borderId="2" xfId="6" applyNumberFormat="1" applyFont="1" applyBorder="1" applyProtection="1">
      <protection locked="0"/>
    </xf>
    <xf numFmtId="0" fontId="2" fillId="0" borderId="156" xfId="3493" applyFont="1" applyBorder="1" applyAlignment="1" applyProtection="1">
      <alignment horizontal="left" vertical="top" wrapText="1"/>
      <protection locked="0"/>
    </xf>
    <xf numFmtId="0" fontId="2" fillId="0" borderId="156" xfId="3493" applyFont="1" applyBorder="1" applyAlignment="1" applyProtection="1">
      <alignment vertical="top"/>
      <protection locked="0"/>
    </xf>
    <xf numFmtId="38" fontId="2" fillId="0" borderId="156" xfId="3493" applyNumberFormat="1" applyBorder="1" applyAlignment="1" applyProtection="1">
      <alignment horizontal="right" vertical="top"/>
      <protection locked="0"/>
    </xf>
    <xf numFmtId="49" fontId="2" fillId="0" borderId="156" xfId="3493" applyNumberFormat="1" applyFont="1" applyBorder="1" applyAlignment="1" applyProtection="1">
      <alignment horizontal="center" vertical="top"/>
      <protection locked="0"/>
    </xf>
    <xf numFmtId="0" fontId="61" fillId="0" borderId="0" xfId="3" applyFont="1" applyAlignment="1" applyProtection="1">
      <alignment wrapText="1"/>
      <protection locked="0"/>
    </xf>
    <xf numFmtId="0" fontId="104" fillId="0" borderId="105" xfId="5237" applyFont="1" applyFill="1" applyBorder="1" applyProtection="1">
      <protection locked="0"/>
    </xf>
    <xf numFmtId="164" fontId="59" fillId="0" borderId="0" xfId="0" applyNumberFormat="1" applyFont="1"/>
    <xf numFmtId="0" fontId="61" fillId="0" borderId="0" xfId="0" applyFont="1"/>
    <xf numFmtId="49" fontId="137" fillId="0" borderId="105" xfId="5237" applyNumberFormat="1" applyFont="1" applyBorder="1" applyAlignment="1" applyProtection="1">
      <alignment horizontal="center" vertical="center"/>
      <protection locked="0"/>
    </xf>
    <xf numFmtId="49" fontId="137" fillId="0" borderId="107" xfId="5237" applyNumberFormat="1" applyFont="1" applyFill="1" applyBorder="1" applyAlignment="1" applyProtection="1">
      <alignment horizontal="center" vertical="center"/>
      <protection locked="0"/>
    </xf>
    <xf numFmtId="0" fontId="61" fillId="0" borderId="0" xfId="0" applyFont="1"/>
    <xf numFmtId="0" fontId="61" fillId="0" borderId="0" xfId="0" applyFont="1" applyFill="1"/>
    <xf numFmtId="0" fontId="61" fillId="0" borderId="0" xfId="3" applyFont="1" applyBorder="1" applyAlignment="1" applyProtection="1">
      <alignment wrapText="1"/>
      <protection locked="0"/>
    </xf>
    <xf numFmtId="0" fontId="14" fillId="0" borderId="0" xfId="3767" applyFont="1" applyProtection="1"/>
    <xf numFmtId="49" fontId="17" fillId="0" borderId="0" xfId="3767" applyNumberFormat="1" applyFont="1" applyBorder="1" applyAlignment="1" applyProtection="1">
      <alignment horizontal="center" vertical="top"/>
    </xf>
    <xf numFmtId="165" fontId="24" fillId="0" borderId="0" xfId="3767" applyNumberFormat="1" applyFont="1" applyBorder="1" applyAlignment="1" applyProtection="1">
      <alignment horizontal="center" vertical="center"/>
    </xf>
    <xf numFmtId="166" fontId="17" fillId="0" borderId="0" xfId="3767" applyNumberFormat="1" applyFont="1" applyBorder="1" applyAlignment="1" applyProtection="1">
      <alignment horizontal="center" vertical="top"/>
    </xf>
    <xf numFmtId="0" fontId="24" fillId="0" borderId="0" xfId="3767" applyFont="1" applyAlignment="1" applyProtection="1">
      <alignment horizontal="center" vertical="center"/>
    </xf>
    <xf numFmtId="0" fontId="24" fillId="0" borderId="0" xfId="3767" applyFont="1" applyBorder="1" applyAlignment="1" applyProtection="1">
      <alignment horizontal="center" vertical="center"/>
    </xf>
    <xf numFmtId="0" fontId="17" fillId="0" borderId="0" xfId="4266" applyFont="1" applyProtection="1"/>
    <xf numFmtId="0" fontId="14" fillId="0" borderId="0" xfId="3767" applyFont="1" applyFill="1" applyBorder="1" applyProtection="1"/>
    <xf numFmtId="0" fontId="20" fillId="0" borderId="0" xfId="3767" applyFont="1" applyProtection="1"/>
    <xf numFmtId="0" fontId="14" fillId="0" borderId="144" xfId="4266" applyFont="1" applyBorder="1" applyProtection="1"/>
    <xf numFmtId="0" fontId="14" fillId="0" borderId="144" xfId="4266" applyFont="1" applyBorder="1" applyAlignment="1" applyProtection="1">
      <alignment horizontal="center"/>
    </xf>
    <xf numFmtId="0" fontId="17" fillId="0" borderId="0" xfId="3767" applyFont="1" applyFill="1" applyBorder="1" applyAlignment="1" applyProtection="1">
      <alignment horizontal="centerContinuous"/>
    </xf>
    <xf numFmtId="0" fontId="16" fillId="0" borderId="0" xfId="4266" applyFont="1" applyProtection="1"/>
    <xf numFmtId="0" fontId="17" fillId="0" borderId="0" xfId="4266" applyFont="1" applyAlignment="1" applyProtection="1">
      <alignment horizontal="right"/>
    </xf>
    <xf numFmtId="178" fontId="17" fillId="0" borderId="74" xfId="4266" applyNumberFormat="1" applyFont="1" applyBorder="1" applyAlignment="1" applyProtection="1">
      <alignment horizontal="center"/>
      <protection locked="0"/>
    </xf>
    <xf numFmtId="0" fontId="14" fillId="0" borderId="0" xfId="4266" applyFont="1" applyBorder="1" applyProtection="1"/>
    <xf numFmtId="0" fontId="16" fillId="0" borderId="0" xfId="4266" applyFont="1" applyBorder="1" applyProtection="1"/>
    <xf numFmtId="0" fontId="14" fillId="0" borderId="22" xfId="4266" applyFont="1" applyBorder="1" applyAlignment="1" applyProtection="1">
      <alignment horizontal="center"/>
      <protection locked="0"/>
    </xf>
    <xf numFmtId="0" fontId="15" fillId="0" borderId="0" xfId="4266" applyFont="1" applyAlignment="1" applyProtection="1">
      <alignment horizontal="left" vertical="center" indent="1"/>
    </xf>
    <xf numFmtId="0" fontId="15" fillId="0" borderId="0" xfId="4266" applyFont="1" applyAlignment="1" applyProtection="1">
      <alignment horizontal="left" indent="1"/>
    </xf>
    <xf numFmtId="0" fontId="14" fillId="0" borderId="0" xfId="4266" applyFont="1" applyBorder="1" applyAlignment="1" applyProtection="1">
      <alignment horizontal="center"/>
    </xf>
    <xf numFmtId="0" fontId="15" fillId="0" borderId="0" xfId="4266" applyFont="1" applyBorder="1" applyAlignment="1" applyProtection="1">
      <alignment horizontal="left"/>
    </xf>
    <xf numFmtId="0" fontId="14" fillId="0" borderId="74" xfId="4266" applyFont="1" applyBorder="1" applyProtection="1">
      <protection locked="0"/>
    </xf>
    <xf numFmtId="0" fontId="17" fillId="0" borderId="9" xfId="4266" applyFont="1" applyBorder="1" applyProtection="1"/>
    <xf numFmtId="0" fontId="14" fillId="0" borderId="9" xfId="4266" applyFont="1" applyBorder="1" applyProtection="1"/>
    <xf numFmtId="0" fontId="14" fillId="0" borderId="9" xfId="4266" applyFont="1" applyBorder="1" applyAlignment="1" applyProtection="1">
      <alignment horizontal="center"/>
    </xf>
    <xf numFmtId="0" fontId="14" fillId="0" borderId="0" xfId="4266" applyFont="1" applyBorder="1" applyAlignment="1" applyProtection="1">
      <alignment vertical="center"/>
    </xf>
    <xf numFmtId="0" fontId="14" fillId="0" borderId="0" xfId="4266" applyFont="1" applyBorder="1" applyAlignment="1" applyProtection="1"/>
    <xf numFmtId="0" fontId="15" fillId="0" borderId="0" xfId="4266" applyFont="1" applyBorder="1" applyProtection="1"/>
    <xf numFmtId="0" fontId="20" fillId="0" borderId="0" xfId="3767" applyFont="1" applyFill="1" applyBorder="1" applyProtection="1"/>
    <xf numFmtId="0" fontId="16" fillId="0" borderId="0" xfId="4266" applyFont="1" applyAlignment="1" applyProtection="1">
      <alignment horizontal="center"/>
    </xf>
    <xf numFmtId="0" fontId="14" fillId="0" borderId="0" xfId="3767" applyFont="1" applyFill="1" applyBorder="1" applyAlignment="1" applyProtection="1"/>
    <xf numFmtId="0" fontId="17" fillId="0" borderId="0" xfId="4266" applyFont="1" applyAlignment="1" applyProtection="1">
      <alignment vertical="center"/>
    </xf>
    <xf numFmtId="0" fontId="17" fillId="0" borderId="0" xfId="4266" applyFont="1" applyAlignment="1" applyProtection="1">
      <alignment horizontal="center"/>
    </xf>
    <xf numFmtId="0" fontId="17" fillId="0" borderId="0" xfId="4266" applyFont="1" applyBorder="1" applyAlignment="1" applyProtection="1">
      <alignment horizontal="center"/>
    </xf>
    <xf numFmtId="0" fontId="17" fillId="0" borderId="0" xfId="4266" applyFont="1" applyBorder="1" applyProtection="1"/>
    <xf numFmtId="0" fontId="17" fillId="0" borderId="0" xfId="4266" applyFont="1" applyAlignment="1" applyProtection="1"/>
    <xf numFmtId="0" fontId="16" fillId="0" borderId="0" xfId="4266" quotePrefix="1" applyFont="1" applyBorder="1" applyAlignment="1" applyProtection="1">
      <alignment horizontal="left"/>
    </xf>
    <xf numFmtId="0" fontId="20" fillId="0" borderId="0" xfId="4266" applyFont="1" applyBorder="1" applyProtection="1"/>
    <xf numFmtId="0" fontId="20" fillId="0" borderId="0" xfId="4266" applyFont="1" applyBorder="1" applyAlignment="1" applyProtection="1">
      <alignment horizontal="center"/>
    </xf>
    <xf numFmtId="0" fontId="14" fillId="0" borderId="9" xfId="4266" applyFont="1" applyBorder="1" applyAlignment="1" applyProtection="1">
      <alignment horizontal="left"/>
    </xf>
    <xf numFmtId="0" fontId="14" fillId="0" borderId="9" xfId="4266" applyFont="1" applyBorder="1" applyAlignment="1" applyProtection="1"/>
    <xf numFmtId="170" fontId="14" fillId="0" borderId="9" xfId="4266" applyNumberFormat="1" applyFont="1" applyBorder="1" applyAlignment="1" applyProtection="1">
      <alignment horizontal="centerContinuous"/>
    </xf>
    <xf numFmtId="0" fontId="14" fillId="0" borderId="0" xfId="3767" applyFont="1" applyBorder="1" applyProtection="1"/>
    <xf numFmtId="0" fontId="26" fillId="0" borderId="0" xfId="3767" applyFont="1" applyBorder="1" applyAlignment="1" applyProtection="1">
      <alignment horizontal="right" vertical="top" textRotation="180"/>
    </xf>
    <xf numFmtId="0" fontId="14" fillId="0" borderId="0" xfId="4266" applyFont="1" applyFill="1" applyBorder="1" applyAlignment="1" applyProtection="1">
      <alignment horizontal="left"/>
    </xf>
    <xf numFmtId="0" fontId="14" fillId="0" borderId="0" xfId="4266" applyFont="1" applyFill="1" applyBorder="1" applyProtection="1"/>
    <xf numFmtId="0" fontId="14" fillId="0" borderId="0" xfId="4266" applyFont="1" applyFill="1" applyBorder="1" applyAlignment="1" applyProtection="1">
      <alignment horizontal="center"/>
    </xf>
    <xf numFmtId="0" fontId="16" fillId="0" borderId="144" xfId="4266" applyFont="1" applyFill="1" applyBorder="1" applyAlignment="1" applyProtection="1">
      <alignment horizontal="left"/>
    </xf>
    <xf numFmtId="0" fontId="17" fillId="0" borderId="144" xfId="4266" applyFont="1" applyFill="1" applyBorder="1" applyProtection="1"/>
    <xf numFmtId="0" fontId="14" fillId="0" borderId="144" xfId="4266" applyFont="1" applyFill="1" applyBorder="1" applyProtection="1"/>
    <xf numFmtId="0" fontId="14" fillId="0" borderId="144" xfId="4266" applyFont="1" applyFill="1" applyBorder="1" applyAlignment="1" applyProtection="1">
      <alignment horizontal="center"/>
    </xf>
    <xf numFmtId="0" fontId="188" fillId="0" borderId="178" xfId="4266" applyFont="1" applyFill="1" applyBorder="1" applyAlignment="1" applyProtection="1">
      <alignment horizontal="left"/>
    </xf>
    <xf numFmtId="0" fontId="14" fillId="0" borderId="178" xfId="4266" applyFont="1" applyFill="1" applyBorder="1" applyProtection="1"/>
    <xf numFmtId="0" fontId="14" fillId="0" borderId="178" xfId="4266" applyFont="1" applyFill="1" applyBorder="1" applyAlignment="1" applyProtection="1">
      <alignment horizontal="center"/>
    </xf>
    <xf numFmtId="0" fontId="16" fillId="0" borderId="0" xfId="3767" applyFont="1" applyAlignment="1" applyProtection="1">
      <alignment horizontal="center" vertical="top" textRotation="180"/>
    </xf>
    <xf numFmtId="0" fontId="189" fillId="0" borderId="0" xfId="4266" applyFont="1" applyBorder="1" applyProtection="1"/>
    <xf numFmtId="0" fontId="189" fillId="0" borderId="0" xfId="4266" applyFont="1" applyProtection="1"/>
    <xf numFmtId="0" fontId="14" fillId="0" borderId="0" xfId="4266" applyFont="1" applyProtection="1"/>
    <xf numFmtId="0" fontId="14" fillId="0" borderId="0" xfId="3767" applyFont="1" applyAlignment="1" applyProtection="1">
      <alignment horizontal="center"/>
    </xf>
    <xf numFmtId="0" fontId="37" fillId="0" borderId="19" xfId="2" applyBorder="1" applyAlignment="1" applyProtection="1">
      <protection locked="0"/>
    </xf>
    <xf numFmtId="0" fontId="23" fillId="0" borderId="20" xfId="0" applyFont="1" applyBorder="1" applyProtection="1">
      <protection locked="0"/>
    </xf>
    <xf numFmtId="0" fontId="23" fillId="0" borderId="11" xfId="0" applyFont="1" applyBorder="1" applyProtection="1">
      <protection locked="0"/>
    </xf>
    <xf numFmtId="0" fontId="17" fillId="0" borderId="17" xfId="12" applyNumberFormat="1" applyFont="1" applyBorder="1" applyAlignment="1" applyProtection="1">
      <alignment horizontal="left" vertical="center" indent="1"/>
      <protection locked="0"/>
    </xf>
    <xf numFmtId="0" fontId="17" fillId="0" borderId="0" xfId="0" applyFont="1" applyBorder="1" applyAlignment="1" applyProtection="1">
      <alignment horizontal="left" vertical="center" indent="1"/>
      <protection locked="0"/>
    </xf>
    <xf numFmtId="180" fontId="17" fillId="0" borderId="19" xfId="0" applyNumberFormat="1" applyFont="1" applyBorder="1" applyAlignment="1" applyProtection="1">
      <alignment horizontal="left" vertical="center"/>
      <protection locked="0"/>
    </xf>
    <xf numFmtId="180" fontId="17" fillId="0" borderId="20" xfId="0" applyNumberFormat="1" applyFont="1" applyBorder="1" applyAlignment="1" applyProtection="1">
      <alignment horizontal="left" vertical="center"/>
      <protection locked="0"/>
    </xf>
    <xf numFmtId="180" fontId="17" fillId="0" borderId="11" xfId="0" applyNumberFormat="1" applyFont="1" applyBorder="1" applyAlignment="1" applyProtection="1">
      <alignment horizontal="left" vertical="center"/>
      <protection locked="0"/>
    </xf>
    <xf numFmtId="180" fontId="17" fillId="0" borderId="17" xfId="12" applyNumberFormat="1" applyFont="1" applyBorder="1" applyAlignment="1" applyProtection="1">
      <alignment horizontal="left" vertical="center" indent="1"/>
      <protection locked="0"/>
    </xf>
    <xf numFmtId="180" fontId="17" fillId="0" borderId="0" xfId="0" applyNumberFormat="1" applyFont="1" applyBorder="1" applyAlignment="1" applyProtection="1">
      <alignment horizontal="left" vertical="center" indent="1"/>
      <protection locked="0"/>
    </xf>
    <xf numFmtId="180" fontId="17" fillId="0" borderId="19" xfId="12" applyNumberFormat="1" applyFont="1" applyBorder="1" applyAlignment="1" applyProtection="1">
      <alignment horizontal="left" vertical="center"/>
      <protection locked="0"/>
    </xf>
    <xf numFmtId="0" fontId="17" fillId="0" borderId="19" xfId="12" applyNumberFormat="1" applyFont="1" applyBorder="1" applyAlignment="1" applyProtection="1">
      <alignment horizontal="left" vertical="center"/>
      <protection locked="0"/>
    </xf>
    <xf numFmtId="0" fontId="17" fillId="0" borderId="20" xfId="0" applyNumberFormat="1" applyFont="1" applyBorder="1" applyAlignment="1" applyProtection="1">
      <alignment horizontal="left" vertical="center"/>
      <protection locked="0"/>
    </xf>
    <xf numFmtId="0" fontId="17" fillId="0" borderId="20" xfId="0" applyFont="1" applyBorder="1" applyAlignment="1" applyProtection="1">
      <alignment horizontal="left" vertical="center"/>
      <protection locked="0"/>
    </xf>
    <xf numFmtId="0" fontId="17" fillId="0" borderId="11" xfId="0" applyFont="1" applyBorder="1" applyAlignment="1" applyProtection="1">
      <alignment horizontal="left" vertical="center"/>
      <protection locked="0"/>
    </xf>
    <xf numFmtId="0" fontId="48" fillId="0" borderId="19" xfId="2" applyNumberFormat="1" applyFont="1" applyBorder="1" applyAlignment="1" applyProtection="1">
      <alignment horizontal="left" vertical="center"/>
      <protection locked="0"/>
    </xf>
    <xf numFmtId="0" fontId="48" fillId="0" borderId="20" xfId="2" applyNumberFormat="1" applyFont="1" applyBorder="1" applyAlignment="1" applyProtection="1">
      <alignment horizontal="left" vertical="center"/>
      <protection locked="0"/>
    </xf>
    <xf numFmtId="0" fontId="48" fillId="0" borderId="20" xfId="2" applyFont="1" applyBorder="1" applyAlignment="1" applyProtection="1">
      <alignment horizontal="left" vertical="center"/>
      <protection locked="0"/>
    </xf>
    <xf numFmtId="0" fontId="48" fillId="0" borderId="11" xfId="2" applyFont="1" applyBorder="1" applyAlignment="1" applyProtection="1">
      <alignment horizontal="left" vertical="center"/>
      <protection locked="0"/>
    </xf>
    <xf numFmtId="14" fontId="17" fillId="0" borderId="125" xfId="12" applyNumberFormat="1" applyFont="1" applyBorder="1" applyAlignment="1" applyProtection="1">
      <alignment horizontal="left" vertical="center" indent="1"/>
      <protection locked="0"/>
    </xf>
    <xf numFmtId="0" fontId="17" fillId="0" borderId="128" xfId="12" applyNumberFormat="1" applyFont="1" applyBorder="1" applyAlignment="1" applyProtection="1">
      <alignment horizontal="left" vertical="center" indent="1"/>
      <protection locked="0"/>
    </xf>
    <xf numFmtId="0" fontId="17" fillId="0" borderId="126" xfId="12" applyNumberFormat="1" applyFont="1" applyBorder="1" applyAlignment="1" applyProtection="1">
      <alignment horizontal="left" vertical="center" indent="1"/>
      <protection locked="0"/>
    </xf>
    <xf numFmtId="180" fontId="17" fillId="0" borderId="125" xfId="12" applyNumberFormat="1" applyFont="1" applyBorder="1" applyAlignment="1" applyProtection="1">
      <alignment horizontal="left" vertical="center" indent="1"/>
      <protection locked="0"/>
    </xf>
    <xf numFmtId="180" fontId="17" fillId="0" borderId="128" xfId="12" applyNumberFormat="1" applyFont="1" applyBorder="1" applyAlignment="1" applyProtection="1">
      <alignment horizontal="left" vertical="center" indent="1"/>
      <protection locked="0"/>
    </xf>
    <xf numFmtId="180" fontId="17" fillId="0" borderId="126" xfId="12" applyNumberFormat="1" applyFont="1" applyBorder="1" applyAlignment="1" applyProtection="1">
      <alignment horizontal="left" vertical="center" indent="1"/>
      <protection locked="0"/>
    </xf>
    <xf numFmtId="0" fontId="38"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8" fillId="0" borderId="17"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18" xfId="0" applyFont="1" applyBorder="1" applyAlignment="1">
      <alignment horizontal="center" vertical="center"/>
    </xf>
    <xf numFmtId="0" fontId="43" fillId="0" borderId="19" xfId="0" applyFont="1" applyBorder="1" applyAlignment="1">
      <alignment horizontal="center" vertical="top"/>
    </xf>
    <xf numFmtId="0" fontId="43" fillId="0" borderId="20" xfId="0" applyFont="1" applyBorder="1" applyAlignment="1">
      <alignment horizontal="center" vertical="top"/>
    </xf>
    <xf numFmtId="0" fontId="43" fillId="0" borderId="11" xfId="0" applyFont="1" applyBorder="1" applyAlignment="1">
      <alignment horizontal="center" vertical="top"/>
    </xf>
    <xf numFmtId="0" fontId="17" fillId="0" borderId="19" xfId="12" applyNumberFormat="1" applyFont="1" applyFill="1" applyBorder="1" applyAlignment="1" applyProtection="1">
      <alignment horizontal="left" vertical="center" indent="1"/>
      <protection locked="0"/>
    </xf>
    <xf numFmtId="0" fontId="17" fillId="0" borderId="20" xfId="0" applyFont="1" applyBorder="1" applyAlignment="1" applyProtection="1">
      <alignment horizontal="left" vertical="center" indent="1"/>
      <protection locked="0"/>
    </xf>
    <xf numFmtId="0" fontId="17" fillId="0" borderId="11"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indent="1"/>
      <protection locked="0"/>
    </xf>
    <xf numFmtId="0" fontId="17" fillId="0" borderId="20" xfId="0" applyNumberFormat="1" applyFont="1" applyBorder="1" applyAlignment="1" applyProtection="1">
      <alignment horizontal="left" vertical="center" indent="1"/>
      <protection locked="0"/>
    </xf>
    <xf numFmtId="174" fontId="17" fillId="0" borderId="17" xfId="12" applyNumberFormat="1" applyFont="1" applyBorder="1" applyAlignment="1" applyProtection="1">
      <alignment horizontal="left" vertical="center" indent="1"/>
      <protection locked="0"/>
    </xf>
    <xf numFmtId="174" fontId="17" fillId="0" borderId="0" xfId="0" applyNumberFormat="1" applyFont="1" applyBorder="1" applyAlignment="1" applyProtection="1">
      <alignment horizontal="left" vertical="center" indent="1"/>
      <protection locked="0"/>
    </xf>
    <xf numFmtId="174" fontId="17" fillId="0" borderId="18" xfId="0" applyNumberFormat="1" applyFont="1" applyBorder="1" applyAlignment="1" applyProtection="1">
      <alignment horizontal="left" vertical="center" indent="1"/>
      <protection locked="0"/>
    </xf>
    <xf numFmtId="0" fontId="17" fillId="0" borderId="20" xfId="12" applyNumberFormat="1" applyFont="1" applyBorder="1" applyAlignment="1" applyProtection="1">
      <alignment horizontal="left" vertical="center" indent="1"/>
      <protection locked="0"/>
    </xf>
    <xf numFmtId="0" fontId="17" fillId="0" borderId="11" xfId="12" applyNumberFormat="1"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readingOrder="1"/>
      <protection locked="0"/>
    </xf>
    <xf numFmtId="0" fontId="17" fillId="0" borderId="20" xfId="0" applyNumberFormat="1" applyFont="1" applyBorder="1" applyAlignment="1" applyProtection="1">
      <alignment horizontal="left" vertical="center" readingOrder="1"/>
      <protection locked="0"/>
    </xf>
    <xf numFmtId="0" fontId="18" fillId="0" borderId="20" xfId="0" applyFont="1" applyBorder="1" applyAlignment="1" applyProtection="1">
      <alignment vertical="center" readingOrder="1"/>
      <protection locked="0"/>
    </xf>
    <xf numFmtId="0" fontId="18" fillId="0" borderId="11" xfId="0" applyFont="1" applyBorder="1" applyAlignment="1" applyProtection="1">
      <alignment vertical="center" readingOrder="1"/>
      <protection locked="0"/>
    </xf>
    <xf numFmtId="0" fontId="18" fillId="0" borderId="20" xfId="0" applyFont="1" applyBorder="1" applyAlignment="1" applyProtection="1">
      <alignment vertical="center"/>
      <protection locked="0"/>
    </xf>
    <xf numFmtId="0" fontId="18" fillId="0" borderId="11" xfId="0" applyFont="1" applyBorder="1" applyAlignment="1" applyProtection="1">
      <alignment vertical="center"/>
      <protection locked="0"/>
    </xf>
    <xf numFmtId="0" fontId="17" fillId="0" borderId="136" xfId="12" applyFont="1" applyBorder="1" applyAlignment="1" applyProtection="1">
      <alignment horizontal="left" vertical="center" indent="1"/>
      <protection locked="0"/>
    </xf>
    <xf numFmtId="0" fontId="17" fillId="0" borderId="126" xfId="0" applyFont="1" applyBorder="1" applyAlignment="1" applyProtection="1">
      <alignment horizontal="left" vertical="center" indent="1"/>
      <protection locked="0"/>
    </xf>
    <xf numFmtId="0" fontId="17" fillId="0" borderId="19" xfId="0" applyFont="1" applyBorder="1" applyAlignment="1" applyProtection="1">
      <alignment horizontal="left" vertical="center" indent="1"/>
      <protection locked="0"/>
    </xf>
    <xf numFmtId="0" fontId="17" fillId="0" borderId="128" xfId="0" applyFont="1" applyBorder="1" applyAlignment="1" applyProtection="1">
      <alignment horizontal="left" vertical="center" indent="1"/>
      <protection locked="0"/>
    </xf>
    <xf numFmtId="0" fontId="24"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7" fillId="0" borderId="19" xfId="2" applyNumberFormat="1" applyFill="1" applyBorder="1" applyAlignment="1" applyProtection="1">
      <alignment horizontal="left" vertical="center" indent="1"/>
      <protection locked="0"/>
    </xf>
    <xf numFmtId="49" fontId="41" fillId="0" borderId="20" xfId="0" applyNumberFormat="1" applyFont="1" applyBorder="1" applyAlignment="1" applyProtection="1">
      <alignment horizontal="left" vertical="center" indent="1"/>
      <protection locked="0"/>
    </xf>
    <xf numFmtId="49" fontId="41" fillId="0" borderId="11" xfId="0" applyNumberFormat="1" applyFont="1" applyBorder="1" applyAlignment="1" applyProtection="1">
      <alignment horizontal="left" vertical="center" indent="1"/>
      <protection locked="0"/>
    </xf>
    <xf numFmtId="0" fontId="25" fillId="0" borderId="17" xfId="12" applyNumberFormat="1" applyFont="1" applyBorder="1" applyAlignment="1" applyProtection="1">
      <alignment horizontal="center" vertical="center"/>
    </xf>
    <xf numFmtId="0" fontId="37" fillId="0" borderId="17" xfId="2" applyNumberFormat="1" applyBorder="1" applyAlignment="1" applyProtection="1">
      <alignment horizontal="center" vertical="center"/>
    </xf>
    <xf numFmtId="0" fontId="37" fillId="0" borderId="0" xfId="2" applyBorder="1" applyAlignment="1" applyProtection="1">
      <alignment horizontal="center" vertical="center"/>
    </xf>
    <xf numFmtId="0" fontId="37" fillId="0" borderId="18" xfId="2" applyBorder="1" applyAlignment="1" applyProtection="1">
      <alignment horizontal="center" vertical="center"/>
    </xf>
    <xf numFmtId="0" fontId="38"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7" fillId="0" borderId="0" xfId="0" applyNumberFormat="1" applyFont="1" applyBorder="1" applyAlignment="1" applyProtection="1">
      <alignment horizontal="left" vertical="center" indent="1"/>
      <protection locked="0"/>
    </xf>
    <xf numFmtId="0" fontId="17" fillId="0" borderId="18" xfId="0" applyFont="1" applyBorder="1" applyAlignment="1" applyProtection="1">
      <alignment horizontal="left" vertical="center" indent="1"/>
      <protection locked="0"/>
    </xf>
    <xf numFmtId="49" fontId="20" fillId="0" borderId="0" xfId="12" applyNumberFormat="1" applyFont="1" applyBorder="1" applyAlignment="1" applyProtection="1">
      <alignment horizontal="center" vertical="center"/>
    </xf>
    <xf numFmtId="0" fontId="20" fillId="0" borderId="0" xfId="0" applyFont="1" applyBorder="1" applyAlignment="1">
      <alignment horizontal="center" vertical="center"/>
    </xf>
    <xf numFmtId="0" fontId="20" fillId="0" borderId="0" xfId="12" applyFont="1" applyBorder="1" applyAlignment="1" applyProtection="1">
      <alignment horizontal="center" vertical="center"/>
    </xf>
    <xf numFmtId="171" fontId="17"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8" fillId="0" borderId="12" xfId="12" applyFont="1" applyBorder="1" applyAlignment="1" applyProtection="1">
      <alignment horizontal="center"/>
    </xf>
    <xf numFmtId="0" fontId="18" fillId="0" borderId="16" xfId="0" applyFont="1" applyBorder="1" applyAlignment="1">
      <alignment horizontal="center"/>
    </xf>
    <xf numFmtId="0" fontId="18" fillId="0" borderId="10" xfId="0" applyFont="1" applyBorder="1" applyAlignment="1">
      <alignment horizontal="center"/>
    </xf>
    <xf numFmtId="0" fontId="17" fillId="0" borderId="0" xfId="12" applyFont="1" applyBorder="1" applyAlignment="1" applyProtection="1">
      <alignment horizontal="center" vertical="center"/>
    </xf>
    <xf numFmtId="49" fontId="17" fillId="0" borderId="0" xfId="12" applyNumberFormat="1" applyFont="1" applyBorder="1" applyAlignment="1" applyProtection="1">
      <alignment horizontal="center" vertical="center"/>
    </xf>
    <xf numFmtId="0" fontId="18" fillId="0" borderId="19" xfId="12" applyFont="1" applyBorder="1" applyAlignment="1" applyProtection="1">
      <alignment vertical="center"/>
    </xf>
    <xf numFmtId="0" fontId="18"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7" fillId="0" borderId="19" xfId="12" applyNumberFormat="1" applyFont="1" applyBorder="1" applyAlignment="1" applyProtection="1">
      <alignment horizontal="left" vertical="center" indent="1"/>
      <protection locked="0"/>
    </xf>
    <xf numFmtId="180" fontId="17" fillId="0" borderId="20" xfId="0" applyNumberFormat="1" applyFont="1" applyBorder="1" applyAlignment="1" applyProtection="1">
      <alignment horizontal="left" vertical="center" indent="1"/>
      <protection locked="0"/>
    </xf>
    <xf numFmtId="180" fontId="17" fillId="0" borderId="11" xfId="0" applyNumberFormat="1" applyFont="1" applyBorder="1" applyAlignment="1" applyProtection="1">
      <alignment horizontal="left" vertical="center" indent="1"/>
      <protection locked="0"/>
    </xf>
    <xf numFmtId="0" fontId="17" fillId="0" borderId="0" xfId="12" applyFont="1" applyBorder="1" applyAlignment="1" applyProtection="1">
      <alignment vertical="center"/>
      <protection locked="0"/>
    </xf>
    <xf numFmtId="0" fontId="18"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5" fillId="0" borderId="12" xfId="12" applyNumberFormat="1" applyFont="1" applyBorder="1" applyAlignment="1" applyProtection="1">
      <alignment horizontal="left" vertical="center"/>
    </xf>
    <xf numFmtId="0" fontId="18" fillId="0" borderId="16" xfId="0" applyNumberFormat="1" applyFont="1" applyBorder="1" applyAlignment="1">
      <alignment horizontal="left" vertical="center"/>
    </xf>
    <xf numFmtId="0" fontId="38" fillId="0" borderId="17" xfId="12" applyNumberFormat="1" applyFont="1" applyBorder="1" applyAlignment="1" applyProtection="1">
      <alignment horizontal="center"/>
    </xf>
    <xf numFmtId="0" fontId="37" fillId="0" borderId="19" xfId="2" applyNumberFormat="1" applyBorder="1" applyAlignment="1" applyProtection="1">
      <alignment horizontal="left" vertical="center" indent="1"/>
      <protection locked="0"/>
    </xf>
    <xf numFmtId="0" fontId="48" fillId="0" borderId="20" xfId="2" applyNumberFormat="1" applyFont="1" applyBorder="1" applyAlignment="1" applyProtection="1">
      <alignment horizontal="left" vertical="center" indent="1"/>
      <protection locked="0"/>
    </xf>
    <xf numFmtId="0" fontId="48" fillId="0" borderId="20" xfId="2" applyFont="1" applyBorder="1" applyAlignment="1" applyProtection="1">
      <alignment horizontal="left" vertical="center" indent="1"/>
      <protection locked="0"/>
    </xf>
    <xf numFmtId="0" fontId="25" fillId="0" borderId="20" xfId="0" applyFont="1" applyBorder="1" applyAlignment="1" applyProtection="1">
      <alignment horizontal="left" vertical="center" indent="1"/>
      <protection locked="0"/>
    </xf>
    <xf numFmtId="0" fontId="25" fillId="0" borderId="11" xfId="0" applyFont="1" applyBorder="1" applyAlignment="1" applyProtection="1">
      <alignment horizontal="left" vertical="center" indent="1"/>
      <protection locked="0"/>
    </xf>
    <xf numFmtId="180" fontId="17" fillId="0" borderId="19" xfId="0" applyNumberFormat="1" applyFont="1" applyBorder="1" applyAlignment="1" applyProtection="1">
      <alignment horizontal="left" vertical="center" indent="1"/>
      <protection locked="0"/>
    </xf>
    <xf numFmtId="0" fontId="139" fillId="0" borderId="0" xfId="12" applyFont="1" applyBorder="1" applyAlignment="1" applyProtection="1">
      <alignment horizontal="center" vertical="center" wrapText="1"/>
    </xf>
    <xf numFmtId="0" fontId="139" fillId="0" borderId="18" xfId="12" applyFont="1" applyBorder="1" applyAlignment="1" applyProtection="1">
      <alignment horizontal="center" vertical="center" wrapText="1"/>
    </xf>
    <xf numFmtId="0" fontId="139" fillId="0" borderId="128" xfId="12" applyFont="1" applyBorder="1" applyAlignment="1" applyProtection="1">
      <alignment horizontal="center" vertical="center" wrapText="1"/>
    </xf>
    <xf numFmtId="0" fontId="139" fillId="0" borderId="126" xfId="12" applyFont="1" applyBorder="1" applyAlignment="1" applyProtection="1">
      <alignment horizontal="center" vertical="center" wrapText="1"/>
    </xf>
    <xf numFmtId="0" fontId="58" fillId="0" borderId="0" xfId="0" applyFont="1" applyBorder="1" applyAlignment="1">
      <alignment horizontal="center" vertical="center"/>
    </xf>
    <xf numFmtId="0" fontId="58" fillId="0" borderId="0" xfId="0" applyFont="1" applyBorder="1" applyAlignment="1">
      <alignment horizontal="center"/>
    </xf>
    <xf numFmtId="0" fontId="62" fillId="0" borderId="0" xfId="2" applyFont="1" applyBorder="1" applyAlignment="1" applyProtection="1">
      <alignment horizontal="center"/>
    </xf>
    <xf numFmtId="0" fontId="58" fillId="0" borderId="48" xfId="0" applyFont="1" applyBorder="1" applyAlignment="1">
      <alignment horizontal="center"/>
    </xf>
    <xf numFmtId="0" fontId="70" fillId="0" borderId="0" xfId="0" applyFont="1" applyBorder="1" applyAlignment="1" applyProtection="1">
      <alignment horizontal="center" vertical="center"/>
    </xf>
    <xf numFmtId="0" fontId="59" fillId="0" borderId="12" xfId="3" applyFont="1" applyBorder="1" applyAlignment="1" applyProtection="1">
      <alignment horizontal="left" vertical="top"/>
      <protection locked="0"/>
    </xf>
    <xf numFmtId="0" fontId="59" fillId="0" borderId="16" xfId="3" applyFont="1" applyBorder="1" applyAlignment="1" applyProtection="1">
      <alignment horizontal="left" vertical="top"/>
      <protection locked="0"/>
    </xf>
    <xf numFmtId="0" fontId="59" fillId="0" borderId="10" xfId="3" applyFont="1" applyBorder="1" applyAlignment="1" applyProtection="1">
      <alignment horizontal="left" vertical="top"/>
      <protection locked="0"/>
    </xf>
    <xf numFmtId="0" fontId="59" fillId="0" borderId="17" xfId="3" applyFont="1" applyBorder="1" applyAlignment="1" applyProtection="1">
      <alignment horizontal="left" vertical="top"/>
      <protection locked="0"/>
    </xf>
    <xf numFmtId="0" fontId="59" fillId="0" borderId="0" xfId="3" applyFont="1" applyBorder="1" applyAlignment="1" applyProtection="1">
      <alignment horizontal="left" vertical="top"/>
      <protection locked="0"/>
    </xf>
    <xf numFmtId="0" fontId="59" fillId="0" borderId="18" xfId="3" applyFont="1" applyBorder="1" applyAlignment="1" applyProtection="1">
      <alignment horizontal="left" vertical="top"/>
      <protection locked="0"/>
    </xf>
    <xf numFmtId="0" fontId="59" fillId="0" borderId="125" xfId="3" applyFont="1" applyBorder="1" applyAlignment="1" applyProtection="1">
      <alignment horizontal="left" vertical="top"/>
      <protection locked="0"/>
    </xf>
    <xf numFmtId="0" fontId="59" fillId="0" borderId="128" xfId="3" applyFont="1" applyBorder="1" applyAlignment="1" applyProtection="1">
      <alignment horizontal="left" vertical="top"/>
      <protection locked="0"/>
    </xf>
    <xf numFmtId="0" fontId="59" fillId="0" borderId="126" xfId="3" applyFont="1" applyBorder="1" applyAlignment="1" applyProtection="1">
      <alignment horizontal="left" vertical="top"/>
      <protection locked="0"/>
    </xf>
    <xf numFmtId="0" fontId="58" fillId="0" borderId="134" xfId="3" applyFont="1" applyBorder="1" applyAlignment="1" applyProtection="1">
      <alignment horizontal="center"/>
      <protection locked="0"/>
    </xf>
    <xf numFmtId="0" fontId="77" fillId="0" borderId="0" xfId="3" applyFont="1" applyBorder="1" applyAlignment="1">
      <alignment horizontal="left" vertical="top" wrapText="1"/>
    </xf>
    <xf numFmtId="0" fontId="84" fillId="0" borderId="0" xfId="3" applyFont="1" applyBorder="1" applyAlignment="1">
      <alignment horizontal="left" vertical="top" wrapText="1"/>
    </xf>
    <xf numFmtId="0" fontId="84" fillId="0" borderId="0" xfId="3" applyFont="1" applyAlignment="1">
      <alignment horizontal="left" vertical="top" wrapText="1"/>
    </xf>
    <xf numFmtId="0" fontId="70" fillId="0" borderId="0" xfId="0" applyFont="1" applyBorder="1" applyAlignment="1" applyProtection="1">
      <alignment horizontal="left" vertical="center"/>
    </xf>
    <xf numFmtId="0" fontId="70" fillId="0" borderId="0" xfId="0" applyFont="1" applyAlignment="1">
      <alignment horizontal="left" vertical="center"/>
    </xf>
    <xf numFmtId="0" fontId="69" fillId="0" borderId="0" xfId="0" applyFont="1" applyAlignment="1">
      <alignment horizontal="left" vertical="center"/>
    </xf>
    <xf numFmtId="0" fontId="79" fillId="0" borderId="0" xfId="0" applyFont="1" applyAlignment="1">
      <alignment horizontal="left" vertical="center"/>
    </xf>
    <xf numFmtId="0" fontId="61" fillId="0" borderId="0" xfId="0" applyFont="1" applyAlignment="1">
      <alignment horizontal="left" vertical="center"/>
    </xf>
    <xf numFmtId="0" fontId="58" fillId="18" borderId="0" xfId="0" applyFont="1" applyFill="1" applyBorder="1" applyAlignment="1" applyProtection="1">
      <alignment horizontal="center" vertical="center"/>
    </xf>
    <xf numFmtId="0" fontId="58" fillId="18" borderId="104" xfId="0" applyFont="1" applyFill="1" applyBorder="1" applyAlignment="1" applyProtection="1">
      <alignment horizontal="center" vertical="center"/>
    </xf>
    <xf numFmtId="0" fontId="59" fillId="0" borderId="12" xfId="0" applyFont="1" applyBorder="1" applyAlignment="1" applyProtection="1">
      <alignment horizontal="left" vertical="top" wrapText="1"/>
      <protection locked="0"/>
    </xf>
    <xf numFmtId="0" fontId="59" fillId="0" borderId="16" xfId="0" applyFont="1" applyBorder="1" applyAlignment="1" applyProtection="1">
      <alignment horizontal="left" vertical="top" wrapText="1"/>
      <protection locked="0"/>
    </xf>
    <xf numFmtId="0" fontId="59" fillId="0" borderId="10" xfId="0" applyFont="1" applyBorder="1" applyAlignment="1" applyProtection="1">
      <alignment horizontal="left" vertical="top" wrapText="1"/>
      <protection locked="0"/>
    </xf>
    <xf numFmtId="0" fontId="59" fillId="0" borderId="17" xfId="0" applyFont="1" applyBorder="1" applyAlignment="1" applyProtection="1">
      <alignment horizontal="left" vertical="top" wrapText="1"/>
      <protection locked="0"/>
    </xf>
    <xf numFmtId="0" fontId="59" fillId="0" borderId="0" xfId="0" applyFont="1" applyBorder="1" applyAlignment="1" applyProtection="1">
      <alignment horizontal="left" vertical="top" wrapText="1"/>
      <protection locked="0"/>
    </xf>
    <xf numFmtId="0" fontId="59" fillId="0" borderId="18" xfId="0" applyFont="1" applyBorder="1" applyAlignment="1" applyProtection="1">
      <alignment horizontal="left" vertical="top" wrapText="1"/>
      <protection locked="0"/>
    </xf>
    <xf numFmtId="0" fontId="59" fillId="0" borderId="125" xfId="0" applyFont="1" applyBorder="1" applyAlignment="1" applyProtection="1">
      <alignment horizontal="left" vertical="top" wrapText="1"/>
      <protection locked="0"/>
    </xf>
    <xf numFmtId="0" fontId="59" fillId="0" borderId="128" xfId="0" applyFont="1" applyBorder="1" applyAlignment="1" applyProtection="1">
      <alignment horizontal="left" vertical="top" wrapText="1"/>
      <protection locked="0"/>
    </xf>
    <xf numFmtId="0" fontId="59" fillId="0" borderId="126" xfId="0" applyFont="1" applyBorder="1" applyAlignment="1" applyProtection="1">
      <alignment horizontal="left" vertical="top" wrapText="1"/>
      <protection locked="0"/>
    </xf>
    <xf numFmtId="0" fontId="64" fillId="0" borderId="0" xfId="0" applyFont="1" applyBorder="1" applyAlignment="1" applyProtection="1">
      <alignment horizontal="center" vertical="center"/>
    </xf>
    <xf numFmtId="38" fontId="58" fillId="0" borderId="79" xfId="0" applyNumberFormat="1" applyFont="1" applyBorder="1" applyAlignment="1" applyProtection="1">
      <alignment horizontal="left" vertical="top" wrapText="1"/>
      <protection locked="0"/>
    </xf>
    <xf numFmtId="0" fontId="58" fillId="0" borderId="80" xfId="0" applyFont="1" applyBorder="1" applyAlignment="1" applyProtection="1">
      <alignment wrapText="1"/>
      <protection locked="0"/>
    </xf>
    <xf numFmtId="0" fontId="58" fillId="0" borderId="81" xfId="0" applyFont="1" applyBorder="1" applyAlignment="1" applyProtection="1">
      <alignment wrapText="1"/>
      <protection locked="0"/>
    </xf>
    <xf numFmtId="0" fontId="58" fillId="0" borderId="82" xfId="0" applyFont="1" applyBorder="1" applyAlignment="1" applyProtection="1">
      <alignment wrapText="1"/>
      <protection locked="0"/>
    </xf>
    <xf numFmtId="0" fontId="58" fillId="0" borderId="0" xfId="0" applyFont="1" applyAlignment="1" applyProtection="1">
      <alignment wrapText="1"/>
      <protection locked="0"/>
    </xf>
    <xf numFmtId="0" fontId="58" fillId="0" borderId="83" xfId="0" applyFont="1" applyBorder="1" applyAlignment="1" applyProtection="1">
      <alignment wrapText="1"/>
      <protection locked="0"/>
    </xf>
    <xf numFmtId="0" fontId="58" fillId="0" borderId="84" xfId="0" applyFont="1" applyBorder="1" applyAlignment="1" applyProtection="1">
      <alignment wrapText="1"/>
      <protection locked="0"/>
    </xf>
    <xf numFmtId="0" fontId="58" fillId="0" borderId="85" xfId="0" applyFont="1" applyBorder="1" applyAlignment="1" applyProtection="1">
      <alignment wrapText="1"/>
      <protection locked="0"/>
    </xf>
    <xf numFmtId="0" fontId="58" fillId="0" borderId="86" xfId="0" applyFont="1" applyBorder="1" applyAlignment="1" applyProtection="1">
      <alignment wrapText="1"/>
      <protection locked="0"/>
    </xf>
    <xf numFmtId="0" fontId="88" fillId="0" borderId="0" xfId="0" applyNumberFormat="1" applyFont="1" applyBorder="1" applyAlignment="1" applyProtection="1">
      <alignment horizontal="left" vertical="center" wrapText="1"/>
    </xf>
    <xf numFmtId="0" fontId="59" fillId="0" borderId="0" xfId="0" applyFont="1" applyAlignment="1">
      <alignment horizontal="left" vertical="center" wrapText="1"/>
    </xf>
    <xf numFmtId="166" fontId="66" fillId="0" borderId="0" xfId="0" applyNumberFormat="1" applyFont="1" applyBorder="1" applyAlignment="1" applyProtection="1">
      <alignment horizontal="left" vertical="center"/>
    </xf>
    <xf numFmtId="166" fontId="61" fillId="0" borderId="0" xfId="0" applyNumberFormat="1" applyFont="1" applyAlignment="1">
      <alignment horizontal="left" vertical="center"/>
    </xf>
    <xf numFmtId="0" fontId="66" fillId="0" borderId="0" xfId="0" applyFont="1" applyBorder="1" applyAlignment="1" applyProtection="1">
      <alignment wrapText="1"/>
    </xf>
    <xf numFmtId="0" fontId="66" fillId="0" borderId="0" xfId="0" applyFont="1" applyAlignment="1" applyProtection="1">
      <alignment horizontal="left" vertical="center"/>
    </xf>
    <xf numFmtId="0" fontId="66" fillId="0" borderId="0" xfId="0" applyFont="1" applyAlignment="1">
      <alignment horizontal="left" vertical="center"/>
    </xf>
    <xf numFmtId="0" fontId="66" fillId="0" borderId="0" xfId="0" applyFont="1" applyBorder="1" applyAlignment="1" applyProtection="1">
      <alignment vertical="top" wrapText="1"/>
    </xf>
    <xf numFmtId="0" fontId="66" fillId="0" borderId="0" xfId="0" applyFont="1" applyAlignment="1">
      <alignment wrapText="1"/>
    </xf>
    <xf numFmtId="0" fontId="76" fillId="0" borderId="0" xfId="0" applyFont="1" applyAlignment="1">
      <alignment horizontal="center" vertical="center"/>
    </xf>
    <xf numFmtId="0" fontId="61" fillId="0" borderId="0" xfId="0" applyFont="1" applyAlignment="1">
      <alignment horizontal="center" vertical="center"/>
    </xf>
    <xf numFmtId="0" fontId="60" fillId="0" borderId="0" xfId="2" applyFont="1" applyAlignment="1" applyProtection="1">
      <alignment horizontal="center" vertical="center"/>
    </xf>
    <xf numFmtId="0" fontId="58" fillId="0" borderId="10" xfId="0" applyFont="1" applyFill="1" applyBorder="1" applyAlignment="1" applyProtection="1">
      <alignment horizontal="center" vertical="center" wrapText="1"/>
    </xf>
    <xf numFmtId="0" fontId="58" fillId="0" borderId="126" xfId="0" applyFont="1" applyFill="1" applyBorder="1" applyAlignment="1" applyProtection="1">
      <alignment horizontal="center" vertical="center" wrapText="1"/>
    </xf>
    <xf numFmtId="3" fontId="68" fillId="23" borderId="13" xfId="0" applyNumberFormat="1" applyFont="1" applyFill="1" applyBorder="1" applyAlignment="1" applyProtection="1">
      <alignment horizontal="left" vertical="center"/>
    </xf>
    <xf numFmtId="3" fontId="68" fillId="23" borderId="14" xfId="0" applyNumberFormat="1" applyFont="1" applyFill="1" applyBorder="1" applyAlignment="1" applyProtection="1">
      <alignment horizontal="left" vertical="center"/>
    </xf>
    <xf numFmtId="164" fontId="68" fillId="23" borderId="49" xfId="0" applyNumberFormat="1" applyFont="1" applyFill="1" applyBorder="1" applyAlignment="1" applyProtection="1">
      <alignment horizontal="left" vertical="center"/>
    </xf>
    <xf numFmtId="164" fontId="68" fillId="23" borderId="31" xfId="0" applyNumberFormat="1" applyFont="1" applyFill="1" applyBorder="1" applyAlignment="1" applyProtection="1">
      <alignment horizontal="left" vertical="center"/>
    </xf>
    <xf numFmtId="0" fontId="68" fillId="23" borderId="34" xfId="0" applyFont="1" applyFill="1" applyBorder="1" applyAlignment="1" applyProtection="1">
      <alignment horizontal="left" vertical="center"/>
    </xf>
    <xf numFmtId="0" fontId="68" fillId="23" borderId="31" xfId="0" applyFont="1" applyFill="1" applyBorder="1" applyAlignment="1" applyProtection="1">
      <alignment horizontal="left" vertical="center"/>
    </xf>
    <xf numFmtId="164" fontId="68" fillId="23" borderId="13" xfId="0" applyNumberFormat="1" applyFont="1" applyFill="1" applyBorder="1" applyAlignment="1" applyProtection="1">
      <alignment horizontal="left" vertical="center"/>
    </xf>
    <xf numFmtId="164" fontId="68" fillId="23" borderId="14" xfId="0" applyNumberFormat="1" applyFont="1" applyFill="1" applyBorder="1" applyAlignment="1" applyProtection="1">
      <alignment horizontal="left" vertical="center"/>
    </xf>
    <xf numFmtId="164" fontId="68" fillId="16" borderId="36" xfId="0" applyNumberFormat="1" applyFont="1" applyFill="1" applyBorder="1" applyAlignment="1" applyProtection="1">
      <alignment horizontal="left" vertical="center" wrapText="1" indent="2"/>
    </xf>
    <xf numFmtId="164" fontId="68" fillId="16" borderId="30" xfId="0" applyNumberFormat="1" applyFont="1" applyFill="1" applyBorder="1" applyAlignment="1" applyProtection="1">
      <alignment horizontal="left" vertical="center" wrapText="1" indent="2"/>
    </xf>
    <xf numFmtId="0" fontId="68" fillId="16" borderId="52" xfId="0" applyFont="1" applyFill="1" applyBorder="1" applyAlignment="1" applyProtection="1">
      <alignment horizontal="left" vertical="center" indent="2"/>
    </xf>
    <xf numFmtId="0" fontId="68" fillId="16" borderId="53" xfId="0" applyFont="1" applyFill="1" applyBorder="1" applyAlignment="1" applyProtection="1">
      <alignment horizontal="left" vertical="center" indent="2"/>
    </xf>
    <xf numFmtId="0" fontId="68" fillId="16" borderId="35" xfId="0" applyFont="1" applyFill="1" applyBorder="1" applyAlignment="1" applyProtection="1">
      <alignment horizontal="left" vertical="center" indent="2"/>
    </xf>
    <xf numFmtId="0" fontId="68"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center" wrapText="1" indent="2"/>
    </xf>
    <xf numFmtId="0" fontId="61" fillId="16" borderId="53" xfId="0" applyFont="1" applyFill="1" applyBorder="1" applyAlignment="1">
      <alignment horizontal="left" wrapText="1" indent="2"/>
    </xf>
    <xf numFmtId="3" fontId="68" fillId="0" borderId="10" xfId="0" applyNumberFormat="1" applyFont="1" applyBorder="1" applyAlignment="1" applyProtection="1">
      <alignment horizontal="center" vertical="center" wrapText="1"/>
    </xf>
    <xf numFmtId="3" fontId="68" fillId="0" borderId="126" xfId="0" applyNumberFormat="1" applyFont="1" applyBorder="1" applyAlignment="1" applyProtection="1">
      <alignment horizontal="center" vertical="center" wrapText="1"/>
    </xf>
    <xf numFmtId="0" fontId="68" fillId="16" borderId="34" xfId="0" applyFont="1" applyFill="1" applyBorder="1" applyAlignment="1" applyProtection="1">
      <alignment horizontal="left" vertical="center" indent="1"/>
    </xf>
    <xf numFmtId="0" fontId="68" fillId="16" borderId="31" xfId="0" applyFont="1" applyFill="1" applyBorder="1" applyAlignment="1" applyProtection="1">
      <alignment horizontal="left" vertical="center" indent="1"/>
    </xf>
    <xf numFmtId="0" fontId="66" fillId="0" borderId="21" xfId="0" applyFont="1" applyBorder="1" applyAlignment="1" applyProtection="1">
      <alignment horizontal="left" vertical="center" indent="1"/>
    </xf>
    <xf numFmtId="0" fontId="66" fillId="0" borderId="14" xfId="0" applyFont="1" applyBorder="1" applyAlignment="1" applyProtection="1">
      <alignment horizontal="left" vertical="center" indent="1"/>
    </xf>
    <xf numFmtId="164" fontId="68" fillId="25" borderId="13" xfId="0" applyNumberFormat="1" applyFont="1" applyFill="1" applyBorder="1" applyAlignment="1" applyProtection="1">
      <alignment horizontal="left" vertical="center" wrapText="1" indent="1"/>
    </xf>
    <xf numFmtId="164" fontId="68" fillId="25" borderId="14" xfId="0" applyNumberFormat="1" applyFont="1" applyFill="1" applyBorder="1" applyAlignment="1" applyProtection="1">
      <alignment horizontal="left" vertical="center" wrapText="1" indent="1"/>
    </xf>
    <xf numFmtId="164" fontId="68" fillId="14" borderId="13" xfId="0" applyNumberFormat="1" applyFont="1" applyFill="1" applyBorder="1" applyAlignment="1" applyProtection="1">
      <alignment horizontal="left" vertical="center" wrapText="1" indent="1"/>
    </xf>
    <xf numFmtId="164" fontId="68" fillId="14" borderId="14" xfId="0" applyNumberFormat="1" applyFont="1" applyFill="1" applyBorder="1" applyAlignment="1" applyProtection="1">
      <alignment horizontal="left" vertical="center" wrapText="1" indent="1"/>
    </xf>
    <xf numFmtId="164" fontId="68" fillId="17" borderId="13" xfId="0" applyNumberFormat="1" applyFont="1" applyFill="1" applyBorder="1" applyAlignment="1" applyProtection="1">
      <alignment horizontal="left" vertical="center" wrapText="1"/>
    </xf>
    <xf numFmtId="164" fontId="68" fillId="17" borderId="14" xfId="0" applyNumberFormat="1" applyFont="1" applyFill="1" applyBorder="1" applyAlignment="1" applyProtection="1">
      <alignment horizontal="left" vertical="center" wrapText="1"/>
    </xf>
    <xf numFmtId="49" fontId="68" fillId="23" borderId="13" xfId="0" applyNumberFormat="1" applyFont="1" applyFill="1" applyBorder="1" applyAlignment="1" applyProtection="1">
      <alignment horizontal="left" vertical="center"/>
    </xf>
    <xf numFmtId="49" fontId="68" fillId="23" borderId="14" xfId="0" applyNumberFormat="1" applyFont="1" applyFill="1" applyBorder="1" applyAlignment="1" applyProtection="1">
      <alignment horizontal="left" vertical="center"/>
    </xf>
    <xf numFmtId="0" fontId="68" fillId="23" borderId="13" xfId="0" applyFont="1" applyFill="1" applyBorder="1" applyAlignment="1" applyProtection="1">
      <alignment vertical="center"/>
    </xf>
    <xf numFmtId="0" fontId="68" fillId="23" borderId="14" xfId="0" applyFont="1" applyFill="1" applyBorder="1" applyAlignment="1" applyProtection="1">
      <alignment vertical="center"/>
    </xf>
    <xf numFmtId="164" fontId="68" fillId="16" borderId="13" xfId="0" applyNumberFormat="1" applyFont="1" applyFill="1" applyBorder="1" applyAlignment="1" applyProtection="1">
      <alignment horizontal="left" vertical="center" wrapText="1" indent="2"/>
    </xf>
    <xf numFmtId="164" fontId="68" fillId="16" borderId="14" xfId="0" applyNumberFormat="1" applyFont="1" applyFill="1" applyBorder="1" applyAlignment="1" applyProtection="1">
      <alignment horizontal="left" vertical="center" wrapText="1" indent="2"/>
    </xf>
    <xf numFmtId="164" fontId="68" fillId="6" borderId="13" xfId="0" applyNumberFormat="1" applyFont="1" applyFill="1" applyBorder="1" applyAlignment="1" applyProtection="1">
      <alignment horizontal="left" vertical="center" wrapText="1" indent="1"/>
    </xf>
    <xf numFmtId="164" fontId="68" fillId="6" borderId="14" xfId="0" applyNumberFormat="1" applyFont="1" applyFill="1" applyBorder="1" applyAlignment="1" applyProtection="1">
      <alignment horizontal="left" vertical="center" wrapText="1" indent="1"/>
    </xf>
    <xf numFmtId="0" fontId="68" fillId="16" borderId="24" xfId="0" applyFont="1" applyFill="1" applyBorder="1" applyAlignment="1" applyProtection="1">
      <alignment horizontal="left" vertical="center" indent="1"/>
    </xf>
    <xf numFmtId="0" fontId="61" fillId="16" borderId="51" xfId="0" applyFont="1" applyFill="1" applyBorder="1" applyAlignment="1">
      <alignment horizontal="left" vertical="center" indent="1"/>
    </xf>
    <xf numFmtId="0" fontId="68" fillId="17" borderId="21" xfId="0" applyFont="1" applyFill="1" applyBorder="1" applyAlignment="1">
      <alignment horizontal="left" vertical="center" wrapText="1"/>
    </xf>
    <xf numFmtId="0" fontId="61" fillId="17" borderId="14" xfId="0" applyFont="1" applyFill="1" applyBorder="1" applyAlignment="1">
      <alignment horizontal="left" vertical="center" wrapText="1"/>
    </xf>
    <xf numFmtId="0" fontId="68" fillId="17" borderId="34" xfId="0" applyFont="1" applyFill="1" applyBorder="1" applyAlignment="1">
      <alignment vertical="top" wrapText="1"/>
    </xf>
    <xf numFmtId="0" fontId="61" fillId="17" borderId="31" xfId="0" applyFont="1" applyFill="1" applyBorder="1" applyAlignment="1">
      <alignment vertical="top" wrapText="1"/>
    </xf>
    <xf numFmtId="0" fontId="68" fillId="16" borderId="35" xfId="0" applyFont="1" applyFill="1" applyBorder="1" applyAlignment="1" applyProtection="1">
      <alignment horizontal="left" vertical="top" wrapText="1" indent="1"/>
    </xf>
    <xf numFmtId="0" fontId="61" fillId="16" borderId="30" xfId="0" applyFont="1" applyFill="1" applyBorder="1" applyAlignment="1">
      <alignment horizontal="left" vertical="top" wrapText="1" indent="1"/>
    </xf>
    <xf numFmtId="0" fontId="68" fillId="16" borderId="35" xfId="0" applyFont="1" applyFill="1" applyBorder="1" applyAlignment="1" applyProtection="1">
      <alignment horizontal="left" vertical="top" indent="1"/>
    </xf>
    <xf numFmtId="0" fontId="61" fillId="16" borderId="30" xfId="0" applyFont="1" applyFill="1" applyBorder="1" applyAlignment="1">
      <alignment horizontal="left" vertical="top" indent="1"/>
    </xf>
    <xf numFmtId="0" fontId="68" fillId="17" borderId="34" xfId="0" applyFont="1" applyFill="1" applyBorder="1" applyAlignment="1">
      <alignment vertical="center" wrapText="1"/>
    </xf>
    <xf numFmtId="0" fontId="61" fillId="17" borderId="31" xfId="0" applyFont="1" applyFill="1" applyBorder="1" applyAlignment="1">
      <alignment vertical="center" wrapText="1"/>
    </xf>
    <xf numFmtId="3" fontId="68" fillId="0" borderId="18" xfId="0" applyNumberFormat="1" applyFont="1" applyBorder="1" applyAlignment="1" applyProtection="1">
      <alignment horizontal="center" vertical="center" wrapText="1"/>
    </xf>
    <xf numFmtId="0" fontId="69" fillId="23" borderId="19" xfId="0" applyFont="1" applyFill="1" applyBorder="1" applyAlignment="1">
      <alignment horizontal="center" vertical="center"/>
    </xf>
    <xf numFmtId="0" fontId="61" fillId="23" borderId="11" xfId="0" applyFont="1" applyFill="1" applyBorder="1" applyAlignment="1">
      <alignment horizontal="center" vertical="center"/>
    </xf>
    <xf numFmtId="0" fontId="69" fillId="24" borderId="20" xfId="0" applyFont="1" applyFill="1" applyBorder="1" applyAlignment="1">
      <alignment horizontal="center" vertical="center"/>
    </xf>
    <xf numFmtId="0" fontId="69" fillId="24" borderId="11" xfId="0" applyFont="1" applyFill="1" applyBorder="1" applyAlignment="1">
      <alignment horizontal="center" vertical="center"/>
    </xf>
    <xf numFmtId="0" fontId="61" fillId="24" borderId="11" xfId="0" applyFont="1" applyFill="1" applyBorder="1" applyAlignment="1">
      <alignment horizontal="center" vertical="center"/>
    </xf>
    <xf numFmtId="0" fontId="69" fillId="23" borderId="107" xfId="0" applyFont="1" applyFill="1" applyBorder="1" applyAlignment="1">
      <alignment horizontal="center" vertical="center"/>
    </xf>
    <xf numFmtId="0" fontId="61" fillId="23" borderId="131" xfId="0" applyFont="1" applyFill="1" applyBorder="1" applyAlignment="1">
      <alignment horizontal="center" vertical="center"/>
    </xf>
    <xf numFmtId="0" fontId="69" fillId="23" borderId="20" xfId="0" applyFont="1" applyFill="1" applyBorder="1" applyAlignment="1">
      <alignment horizontal="center" vertical="center"/>
    </xf>
    <xf numFmtId="3" fontId="68" fillId="16" borderId="34" xfId="0" applyNumberFormat="1" applyFont="1" applyFill="1" applyBorder="1" applyAlignment="1">
      <alignment horizontal="left" vertical="top" wrapText="1" indent="1"/>
    </xf>
    <xf numFmtId="0" fontId="61" fillId="16" borderId="31" xfId="0" applyFont="1" applyFill="1" applyBorder="1" applyAlignment="1">
      <alignment horizontal="left" vertical="top" wrapText="1"/>
    </xf>
    <xf numFmtId="3" fontId="68" fillId="16" borderId="23" xfId="0" applyNumberFormat="1" applyFont="1" applyFill="1" applyBorder="1" applyAlignment="1">
      <alignment horizontal="left" vertical="top" wrapText="1" indent="1"/>
    </xf>
    <xf numFmtId="0" fontId="61" fillId="16" borderId="38" xfId="0" applyFont="1" applyFill="1" applyBorder="1" applyAlignment="1">
      <alignment horizontal="left" vertical="top" wrapText="1" indent="1"/>
    </xf>
    <xf numFmtId="3" fontId="68" fillId="16" borderId="24" xfId="0" applyNumberFormat="1" applyFont="1" applyFill="1" applyBorder="1" applyAlignment="1">
      <alignment horizontal="left" vertical="top" wrapText="1" indent="1"/>
    </xf>
    <xf numFmtId="0" fontId="66" fillId="16" borderId="51" xfId="0" applyFont="1" applyFill="1" applyBorder="1" applyAlignment="1">
      <alignment horizontal="left" vertical="top" wrapText="1" indent="1"/>
    </xf>
    <xf numFmtId="3" fontId="68" fillId="16" borderId="35" xfId="0" applyNumberFormat="1" applyFont="1" applyFill="1" applyBorder="1" applyAlignment="1">
      <alignment horizontal="left" vertical="top" wrapText="1" indent="1"/>
    </xf>
    <xf numFmtId="3" fontId="68" fillId="16" borderId="35" xfId="0" applyNumberFormat="1" applyFont="1" applyFill="1" applyBorder="1" applyAlignment="1">
      <alignment horizontal="left" vertical="top" indent="1"/>
    </xf>
    <xf numFmtId="0" fontId="66" fillId="16" borderId="30" xfId="0" applyFont="1" applyFill="1" applyBorder="1" applyAlignment="1">
      <alignment horizontal="left" vertical="top" indent="1"/>
    </xf>
    <xf numFmtId="3" fontId="68" fillId="0" borderId="23" xfId="0" applyNumberFormat="1" applyFont="1" applyBorder="1" applyAlignment="1">
      <alignment horizontal="left" vertical="top" wrapText="1" indent="1"/>
    </xf>
    <xf numFmtId="0" fontId="61" fillId="0" borderId="38" xfId="0" applyFont="1" applyBorder="1" applyAlignment="1">
      <alignment horizontal="left" vertical="top" wrapText="1" indent="1"/>
    </xf>
    <xf numFmtId="0" fontId="69" fillId="23" borderId="20" xfId="0" applyFont="1" applyFill="1" applyBorder="1" applyAlignment="1">
      <alignment horizontal="center" vertical="center" wrapText="1"/>
    </xf>
    <xf numFmtId="0" fontId="61" fillId="23" borderId="11" xfId="0" applyFont="1" applyFill="1" applyBorder="1" applyAlignment="1">
      <alignment horizontal="center" vertical="center" wrapText="1"/>
    </xf>
    <xf numFmtId="3" fontId="69" fillId="23" borderId="13" xfId="0" applyNumberFormat="1" applyFont="1" applyFill="1" applyBorder="1" applyAlignment="1">
      <alignment horizontal="center" vertical="center"/>
    </xf>
    <xf numFmtId="0" fontId="61" fillId="23" borderId="14" xfId="0" applyFont="1" applyFill="1" applyBorder="1" applyAlignment="1">
      <alignment horizontal="center" vertical="center"/>
    </xf>
    <xf numFmtId="0" fontId="69" fillId="23" borderId="21" xfId="0" applyFont="1" applyFill="1" applyBorder="1" applyAlignment="1">
      <alignment horizontal="center" vertical="center"/>
    </xf>
    <xf numFmtId="3" fontId="68" fillId="16" borderId="49" xfId="0" applyNumberFormat="1" applyFont="1" applyFill="1" applyBorder="1" applyAlignment="1">
      <alignment horizontal="left" vertical="top" indent="1"/>
    </xf>
    <xf numFmtId="3" fontId="68" fillId="16" borderId="31" xfId="0" applyNumberFormat="1" applyFont="1" applyFill="1" applyBorder="1" applyAlignment="1">
      <alignment horizontal="left" vertical="top" indent="1"/>
    </xf>
    <xf numFmtId="3" fontId="68" fillId="15" borderId="10" xfId="0" applyNumberFormat="1" applyFont="1" applyFill="1" applyBorder="1" applyAlignment="1" applyProtection="1">
      <alignment horizontal="center" vertical="center" wrapText="1"/>
    </xf>
    <xf numFmtId="3" fontId="68" fillId="15" borderId="126" xfId="0" applyNumberFormat="1" applyFont="1" applyFill="1" applyBorder="1" applyAlignment="1" applyProtection="1">
      <alignment horizontal="center" vertical="center" wrapText="1"/>
    </xf>
    <xf numFmtId="0" fontId="68" fillId="6" borderId="13" xfId="0" applyFont="1" applyFill="1" applyBorder="1" applyAlignment="1" applyProtection="1">
      <alignment horizontal="left" vertical="center" wrapText="1"/>
    </xf>
    <xf numFmtId="0" fontId="61" fillId="6" borderId="14" xfId="0" applyFont="1" applyFill="1" applyBorder="1" applyAlignment="1">
      <alignment horizontal="left" vertical="center" wrapText="1"/>
    </xf>
    <xf numFmtId="49" fontId="68" fillId="16" borderId="13" xfId="0" applyNumberFormat="1" applyFont="1" applyFill="1" applyBorder="1" applyAlignment="1" applyProtection="1">
      <alignment horizontal="left" vertical="center" wrapText="1" indent="1"/>
    </xf>
    <xf numFmtId="0" fontId="61" fillId="16" borderId="14" xfId="0" applyFont="1" applyFill="1" applyBorder="1" applyAlignment="1">
      <alignment horizontal="left" vertical="center" wrapText="1" indent="1"/>
    </xf>
    <xf numFmtId="49" fontId="69" fillId="12" borderId="13" xfId="0" applyNumberFormat="1" applyFont="1" applyFill="1" applyBorder="1" applyAlignment="1" applyProtection="1">
      <alignment horizontal="center" vertical="center"/>
    </xf>
    <xf numFmtId="0" fontId="61" fillId="12" borderId="14" xfId="0" applyFont="1" applyFill="1" applyBorder="1" applyAlignment="1">
      <alignment horizontal="center" vertical="center"/>
    </xf>
    <xf numFmtId="49" fontId="77" fillId="6" borderId="19" xfId="0" applyNumberFormat="1" applyFont="1" applyFill="1" applyBorder="1" applyAlignment="1" applyProtection="1">
      <alignment horizontal="left" vertical="center" wrapText="1"/>
    </xf>
    <xf numFmtId="0" fontId="61" fillId="0" borderId="20" xfId="0" applyFont="1" applyBorder="1" applyAlignment="1">
      <alignment horizontal="left" vertical="center" wrapText="1"/>
    </xf>
    <xf numFmtId="0" fontId="61" fillId="0" borderId="11" xfId="0" applyFont="1" applyBorder="1" applyAlignment="1">
      <alignment horizontal="left" vertical="center" wrapText="1"/>
    </xf>
    <xf numFmtId="49" fontId="87"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164" fontId="68" fillId="6" borderId="13" xfId="0" applyNumberFormat="1" applyFont="1" applyFill="1" applyBorder="1" applyAlignment="1" applyProtection="1">
      <alignment horizontal="left" vertical="center" wrapText="1"/>
    </xf>
    <xf numFmtId="49" fontId="68" fillId="0" borderId="13" xfId="0" applyNumberFormat="1" applyFont="1" applyBorder="1" applyAlignment="1" applyProtection="1">
      <alignment horizontal="center" vertical="center" wrapText="1"/>
    </xf>
    <xf numFmtId="49" fontId="68" fillId="0" borderId="14" xfId="0" applyNumberFormat="1" applyFont="1" applyBorder="1" applyAlignment="1" applyProtection="1">
      <alignment horizontal="center" vertical="center" wrapText="1"/>
    </xf>
    <xf numFmtId="49" fontId="68" fillId="16" borderId="13" xfId="0" applyNumberFormat="1" applyFont="1" applyFill="1" applyBorder="1" applyAlignment="1" applyProtection="1">
      <alignment horizontal="left" vertical="center" indent="1"/>
    </xf>
    <xf numFmtId="0" fontId="61" fillId="16" borderId="14" xfId="0" applyFont="1" applyFill="1" applyBorder="1" applyAlignment="1">
      <alignment horizontal="left" vertical="center" indent="1"/>
    </xf>
    <xf numFmtId="49" fontId="68" fillId="6" borderId="13" xfId="0" applyNumberFormat="1" applyFont="1" applyFill="1" applyBorder="1" applyAlignment="1" applyProtection="1">
      <alignment horizontal="left" vertical="center"/>
    </xf>
    <xf numFmtId="49" fontId="68" fillId="6" borderId="14" xfId="0" applyNumberFormat="1" applyFont="1" applyFill="1" applyBorder="1" applyAlignment="1" applyProtection="1">
      <alignment horizontal="left" vertical="center"/>
    </xf>
    <xf numFmtId="0" fontId="66" fillId="0" borderId="0" xfId="9" applyFont="1" applyFill="1" applyAlignment="1">
      <alignment wrapText="1"/>
    </xf>
    <xf numFmtId="0" fontId="61" fillId="0" borderId="0" xfId="0" applyFont="1" applyAlignment="1">
      <alignment wrapText="1"/>
    </xf>
    <xf numFmtId="0" fontId="59" fillId="0" borderId="9" xfId="9" applyFont="1" applyFill="1" applyBorder="1" applyAlignment="1" applyProtection="1">
      <protection locked="0"/>
    </xf>
    <xf numFmtId="0" fontId="59" fillId="0" borderId="9" xfId="0" applyFont="1" applyBorder="1" applyAlignment="1"/>
    <xf numFmtId="0" fontId="59" fillId="0" borderId="6" xfId="9" applyFont="1" applyFill="1" applyBorder="1" applyAlignment="1" applyProtection="1">
      <protection locked="0"/>
    </xf>
    <xf numFmtId="0" fontId="59" fillId="0" borderId="6" xfId="0" applyFont="1" applyBorder="1" applyAlignment="1"/>
    <xf numFmtId="49" fontId="66" fillId="0" borderId="13" xfId="0" applyNumberFormat="1" applyFont="1" applyBorder="1" applyAlignment="1" applyProtection="1">
      <alignment horizontal="left" vertical="center" wrapText="1" indent="1"/>
    </xf>
    <xf numFmtId="0" fontId="61" fillId="0" borderId="14" xfId="0" applyFont="1" applyBorder="1" applyAlignment="1">
      <alignment horizontal="left" vertical="center" wrapText="1" indent="1"/>
    </xf>
    <xf numFmtId="49" fontId="68" fillId="6" borderId="13" xfId="0" applyNumberFormat="1" applyFont="1" applyFill="1" applyBorder="1" applyAlignment="1" applyProtection="1">
      <alignment horizontal="left" vertical="center" wrapText="1"/>
    </xf>
    <xf numFmtId="0" fontId="69" fillId="12" borderId="13" xfId="9" applyFont="1" applyFill="1" applyBorder="1" applyAlignment="1">
      <alignment horizontal="center" vertical="center"/>
    </xf>
    <xf numFmtId="0" fontId="66" fillId="0" borderId="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61" fillId="0" borderId="7" xfId="0" applyFont="1" applyBorder="1" applyAlignment="1" applyProtection="1">
      <alignment horizontal="left" vertical="center" wrapText="1" indent="1"/>
    </xf>
    <xf numFmtId="49" fontId="68" fillId="0" borderId="66" xfId="0" applyNumberFormat="1" applyFont="1" applyFill="1" applyBorder="1" applyAlignment="1" applyProtection="1">
      <alignment horizontal="center" vertical="center" wrapText="1"/>
    </xf>
    <xf numFmtId="49" fontId="68" fillId="0" borderId="15" xfId="0" applyNumberFormat="1" applyFont="1" applyFill="1" applyBorder="1" applyAlignment="1" applyProtection="1">
      <alignment horizontal="center" vertical="center" wrapText="1"/>
    </xf>
    <xf numFmtId="0" fontId="61" fillId="0" borderId="67" xfId="0" applyFont="1" applyFill="1" applyBorder="1" applyAlignment="1">
      <alignment wrapText="1"/>
    </xf>
    <xf numFmtId="0" fontId="68" fillId="0" borderId="46" xfId="0" applyFont="1" applyBorder="1" applyAlignment="1" applyProtection="1">
      <alignment horizontal="left" vertical="center" wrapText="1"/>
    </xf>
    <xf numFmtId="0" fontId="68" fillId="0" borderId="6" xfId="0" applyFont="1" applyBorder="1" applyAlignment="1" applyProtection="1">
      <alignment horizontal="left" vertical="center" wrapText="1"/>
    </xf>
    <xf numFmtId="0" fontId="61" fillId="0" borderId="6" xfId="0" applyFont="1" applyBorder="1" applyAlignment="1">
      <alignment wrapText="1"/>
    </xf>
    <xf numFmtId="0" fontId="68" fillId="6" borderId="5" xfId="0" applyFont="1" applyFill="1" applyBorder="1" applyAlignment="1" applyProtection="1">
      <alignment horizontal="left" vertical="center" wrapText="1"/>
    </xf>
    <xf numFmtId="0" fontId="68" fillId="6" borderId="0" xfId="0" applyFont="1" applyFill="1" applyBorder="1" applyAlignment="1" applyProtection="1">
      <alignment horizontal="left" vertical="center" wrapText="1"/>
    </xf>
    <xf numFmtId="0" fontId="68" fillId="6" borderId="87" xfId="0" applyFont="1" applyFill="1" applyBorder="1" applyAlignment="1" applyProtection="1">
      <alignment horizontal="left" vertical="center" wrapText="1"/>
    </xf>
    <xf numFmtId="0" fontId="68" fillId="6" borderId="88" xfId="0" applyFont="1" applyFill="1" applyBorder="1" applyAlignment="1" applyProtection="1">
      <alignment horizontal="left" vertical="center" wrapText="1"/>
    </xf>
    <xf numFmtId="0" fontId="61" fillId="0" borderId="88" xfId="0" applyFont="1" applyBorder="1" applyAlignment="1">
      <alignment wrapText="1"/>
    </xf>
    <xf numFmtId="0" fontId="66" fillId="0" borderId="6" xfId="0" applyFont="1" applyBorder="1" applyAlignment="1" applyProtection="1">
      <alignment horizontal="left" vertical="center" indent="1"/>
    </xf>
    <xf numFmtId="0" fontId="61" fillId="0" borderId="6" xfId="0" applyFont="1" applyBorder="1" applyAlignment="1">
      <alignment horizontal="left" indent="1"/>
    </xf>
    <xf numFmtId="0" fontId="61" fillId="0" borderId="7" xfId="0" applyFont="1" applyBorder="1" applyAlignment="1">
      <alignment horizontal="left" indent="1"/>
    </xf>
    <xf numFmtId="0" fontId="68" fillId="16" borderId="54" xfId="0" applyFont="1" applyFill="1" applyBorder="1" applyAlignment="1" applyProtection="1">
      <alignment horizontal="left" vertical="center" indent="1"/>
    </xf>
    <xf numFmtId="0" fontId="68" fillId="16" borderId="57" xfId="0" applyFont="1" applyFill="1" applyBorder="1" applyAlignment="1" applyProtection="1">
      <alignment horizontal="left" vertical="center" indent="1"/>
    </xf>
    <xf numFmtId="0" fontId="68" fillId="16" borderId="61" xfId="0" applyFont="1" applyFill="1" applyBorder="1" applyAlignment="1" applyProtection="1">
      <alignment horizontal="left" vertical="center" indent="1"/>
    </xf>
    <xf numFmtId="0" fontId="68" fillId="16" borderId="147" xfId="0" applyFont="1" applyFill="1" applyBorder="1" applyAlignment="1" applyProtection="1">
      <alignment horizontal="left" vertical="center" indent="1"/>
    </xf>
    <xf numFmtId="0" fontId="68" fillId="16" borderId="146" xfId="0" applyFont="1" applyFill="1" applyBorder="1" applyAlignment="1" applyProtection="1">
      <alignment horizontal="left" vertical="center" indent="1"/>
    </xf>
    <xf numFmtId="0" fontId="68" fillId="3" borderId="147" xfId="0" applyFont="1" applyFill="1" applyBorder="1" applyAlignment="1" applyProtection="1">
      <alignment horizontal="left" vertical="center"/>
    </xf>
    <xf numFmtId="0" fontId="68" fillId="3" borderId="148" xfId="0" applyFont="1" applyFill="1" applyBorder="1" applyAlignment="1" applyProtection="1">
      <alignment horizontal="left" vertical="center"/>
    </xf>
    <xf numFmtId="0" fontId="69" fillId="12" borderId="46" xfId="0" applyFont="1" applyFill="1" applyBorder="1" applyAlignment="1" applyProtection="1">
      <alignment horizontal="left" vertical="center" wrapText="1"/>
    </xf>
    <xf numFmtId="0" fontId="61" fillId="12" borderId="6" xfId="0" applyFont="1" applyFill="1" applyBorder="1" applyAlignment="1">
      <alignment horizontal="left" wrapText="1"/>
    </xf>
    <xf numFmtId="0" fontId="61" fillId="12" borderId="7" xfId="0" applyFont="1" applyFill="1" applyBorder="1" applyAlignment="1">
      <alignment horizontal="left" wrapText="1"/>
    </xf>
    <xf numFmtId="0" fontId="66" fillId="0" borderId="46" xfId="0" applyFont="1" applyBorder="1" applyAlignment="1" applyProtection="1">
      <alignment horizontal="left" vertical="center" wrapText="1" indent="1"/>
    </xf>
    <xf numFmtId="0" fontId="61" fillId="0" borderId="7" xfId="0" applyFont="1" applyBorder="1" applyAlignment="1">
      <alignment horizontal="left" wrapText="1" indent="1"/>
    </xf>
    <xf numFmtId="0" fontId="66" fillId="0" borderId="7" xfId="0" applyFont="1" applyBorder="1" applyAlignment="1">
      <alignment horizontal="left" wrapText="1" indent="1"/>
    </xf>
    <xf numFmtId="0" fontId="98" fillId="0" borderId="5" xfId="0" applyFont="1" applyBorder="1" applyAlignment="1" applyProtection="1">
      <alignment horizontal="left" wrapText="1" indent="2"/>
    </xf>
    <xf numFmtId="0" fontId="66" fillId="0" borderId="0" xfId="0" applyFont="1" applyAlignment="1">
      <alignment horizontal="left" wrapText="1"/>
    </xf>
    <xf numFmtId="0" fontId="66" fillId="0" borderId="5" xfId="0" applyFont="1" applyBorder="1" applyAlignment="1">
      <alignment horizontal="left" wrapText="1"/>
    </xf>
    <xf numFmtId="0" fontId="66" fillId="0" borderId="9" xfId="0" applyFont="1" applyBorder="1" applyAlignment="1" applyProtection="1">
      <alignment horizontal="left" vertical="center" wrapText="1" indent="1"/>
    </xf>
    <xf numFmtId="0" fontId="61" fillId="0" borderId="59" xfId="0" applyFont="1" applyBorder="1" applyAlignment="1">
      <alignment horizontal="left" wrapText="1" indent="1"/>
    </xf>
    <xf numFmtId="0" fontId="66" fillId="0" borderId="147" xfId="0" applyFont="1" applyBorder="1" applyAlignment="1" applyProtection="1">
      <alignment horizontal="left" vertical="center" wrapText="1" indent="1"/>
    </xf>
    <xf numFmtId="0" fontId="66" fillId="0" borderId="148" xfId="0" applyFont="1" applyBorder="1" applyAlignment="1" applyProtection="1">
      <alignment horizontal="left" vertical="center" wrapText="1" indent="1"/>
    </xf>
    <xf numFmtId="0" fontId="101" fillId="0" borderId="9" xfId="0" applyFont="1" applyBorder="1" applyAlignment="1">
      <alignment horizontal="left" vertical="center" wrapText="1" indent="1"/>
    </xf>
    <xf numFmtId="0" fontId="61" fillId="0" borderId="9" xfId="0" applyFont="1" applyBorder="1" applyAlignment="1">
      <alignment horizontal="left" vertical="center" wrapText="1" indent="1"/>
    </xf>
    <xf numFmtId="0" fontId="69" fillId="23" borderId="146" xfId="0" applyFont="1" applyFill="1" applyBorder="1" applyAlignment="1" applyProtection="1">
      <alignment horizontal="left" vertical="center" indent="1"/>
    </xf>
    <xf numFmtId="0" fontId="69" fillId="23" borderId="147" xfId="0" applyFont="1" applyFill="1" applyBorder="1" applyAlignment="1" applyProtection="1">
      <alignment horizontal="left" vertical="center" indent="1"/>
    </xf>
    <xf numFmtId="0" fontId="69" fillId="23" borderId="148" xfId="0" applyFont="1" applyFill="1" applyBorder="1" applyAlignment="1" applyProtection="1">
      <alignment horizontal="left" vertical="center" indent="1"/>
    </xf>
    <xf numFmtId="0" fontId="72" fillId="6" borderId="89" xfId="10" applyFont="1" applyFill="1" applyBorder="1" applyAlignment="1">
      <alignment horizontal="center" vertical="center"/>
    </xf>
    <xf numFmtId="0" fontId="102" fillId="0" borderId="90" xfId="0" applyFont="1" applyBorder="1" applyAlignment="1">
      <alignment horizontal="center" vertical="center"/>
    </xf>
    <xf numFmtId="0" fontId="102" fillId="0" borderId="91" xfId="0" applyFont="1" applyBorder="1" applyAlignment="1">
      <alignment horizontal="center" vertical="center"/>
    </xf>
    <xf numFmtId="0" fontId="69" fillId="23" borderId="92" xfId="10" applyFont="1" applyFill="1" applyBorder="1" applyAlignment="1">
      <alignment horizontal="center" vertical="center" wrapText="1"/>
    </xf>
    <xf numFmtId="0" fontId="69" fillId="23" borderId="25" xfId="0" applyFont="1" applyFill="1" applyBorder="1" applyAlignment="1">
      <alignment horizontal="center" vertical="center" wrapText="1"/>
    </xf>
    <xf numFmtId="0" fontId="69" fillId="23" borderId="93" xfId="0" applyFont="1" applyFill="1" applyBorder="1" applyAlignment="1">
      <alignment horizontal="center" vertical="center" wrapText="1"/>
    </xf>
    <xf numFmtId="0" fontId="134" fillId="23" borderId="94" xfId="10" applyFont="1" applyFill="1" applyBorder="1" applyAlignment="1">
      <alignment horizontal="center" vertical="center"/>
    </xf>
    <xf numFmtId="0" fontId="59" fillId="23" borderId="47" xfId="0" applyFont="1" applyFill="1" applyBorder="1" applyAlignment="1">
      <alignment horizontal="center" vertical="center"/>
    </xf>
    <xf numFmtId="0" fontId="59" fillId="23" borderId="95" xfId="0" applyFont="1" applyFill="1" applyBorder="1" applyAlignment="1">
      <alignment horizontal="center" vertical="center"/>
    </xf>
    <xf numFmtId="0" fontId="84" fillId="0" borderId="74" xfId="10" applyFont="1" applyBorder="1" applyAlignment="1">
      <alignment horizontal="center"/>
    </xf>
    <xf numFmtId="0" fontId="61" fillId="0" borderId="74" xfId="0" applyFont="1" applyBorder="1" applyAlignment="1">
      <alignment horizontal="center"/>
    </xf>
    <xf numFmtId="0" fontId="131" fillId="0" borderId="96" xfId="17" applyFont="1" applyBorder="1" applyAlignment="1">
      <alignment horizontal="left" vertical="top" wrapText="1"/>
    </xf>
    <xf numFmtId="0" fontId="131" fillId="0" borderId="0" xfId="17" applyFont="1" applyBorder="1" applyAlignment="1">
      <alignment horizontal="left" vertical="top" wrapText="1"/>
    </xf>
    <xf numFmtId="0" fontId="131" fillId="0" borderId="97" xfId="17" applyFont="1" applyBorder="1" applyAlignment="1">
      <alignment horizontal="left" vertical="top" wrapText="1"/>
    </xf>
    <xf numFmtId="0" fontId="130" fillId="23" borderId="140" xfId="17" applyFont="1" applyFill="1" applyBorder="1" applyAlignment="1">
      <alignment horizontal="center" vertical="center"/>
    </xf>
    <xf numFmtId="0" fontId="130" fillId="23" borderId="141" xfId="17" applyFont="1" applyFill="1" applyBorder="1" applyAlignment="1">
      <alignment horizontal="center" vertical="center"/>
    </xf>
    <xf numFmtId="0" fontId="130" fillId="23" borderId="142" xfId="17" applyFont="1" applyFill="1" applyBorder="1" applyAlignment="1">
      <alignment horizontal="center" vertical="center"/>
    </xf>
    <xf numFmtId="0" fontId="130" fillId="23" borderId="98" xfId="17" applyFont="1" applyFill="1" applyBorder="1" applyAlignment="1">
      <alignment horizontal="center" vertical="center"/>
    </xf>
    <xf numFmtId="0" fontId="130" fillId="23" borderId="78" xfId="17" applyFont="1" applyFill="1" applyBorder="1" applyAlignment="1">
      <alignment horizontal="center" vertical="center"/>
    </xf>
    <xf numFmtId="0" fontId="130" fillId="23" borderId="99" xfId="17" applyFont="1" applyFill="1" applyBorder="1" applyAlignment="1">
      <alignment horizontal="center" vertical="center"/>
    </xf>
    <xf numFmtId="0" fontId="131" fillId="0" borderId="96" xfId="17" applyFont="1" applyBorder="1" applyAlignment="1">
      <alignment vertical="top" wrapText="1"/>
    </xf>
    <xf numFmtId="0" fontId="131" fillId="0" borderId="0" xfId="17" applyFont="1" applyBorder="1" applyAlignment="1">
      <alignment vertical="top" wrapText="1"/>
    </xf>
    <xf numFmtId="0" fontId="131" fillId="0" borderId="97" xfId="17" applyFont="1" applyBorder="1" applyAlignment="1">
      <alignment vertical="top" wrapText="1"/>
    </xf>
    <xf numFmtId="0" fontId="131" fillId="0" borderId="96" xfId="17" applyFont="1" applyBorder="1" applyAlignment="1">
      <alignment vertical="top"/>
    </xf>
    <xf numFmtId="0" fontId="131" fillId="0" borderId="0" xfId="17" applyFont="1" applyBorder="1" applyAlignment="1">
      <alignment vertical="top"/>
    </xf>
    <xf numFmtId="0" fontId="131" fillId="0" borderId="97" xfId="17" applyFont="1" applyBorder="1" applyAlignment="1">
      <alignment vertical="top"/>
    </xf>
    <xf numFmtId="0" fontId="68" fillId="0" borderId="12" xfId="0" applyFont="1" applyFill="1" applyBorder="1" applyAlignment="1" applyProtection="1">
      <alignment horizontal="left" vertical="center" wrapText="1"/>
    </xf>
    <xf numFmtId="0" fontId="61" fillId="0" borderId="16" xfId="0" applyFont="1" applyBorder="1" applyAlignment="1">
      <alignment horizontal="left" vertical="center" wrapText="1"/>
    </xf>
    <xf numFmtId="0" fontId="61" fillId="0" borderId="10" xfId="0" applyFont="1" applyBorder="1" applyAlignment="1">
      <alignment horizontal="left" vertical="center" wrapText="1"/>
    </xf>
    <xf numFmtId="0" fontId="68" fillId="0" borderId="20" xfId="0" applyFont="1" applyBorder="1" applyAlignment="1">
      <alignment horizontal="center" vertical="center"/>
    </xf>
    <xf numFmtId="0" fontId="66" fillId="0" borderId="11" xfId="0" applyFont="1" applyBorder="1" applyAlignment="1">
      <alignment horizontal="center" vertical="center"/>
    </xf>
    <xf numFmtId="0" fontId="66" fillId="19" borderId="13" xfId="0" applyFont="1" applyFill="1" applyBorder="1" applyAlignment="1" applyProtection="1">
      <alignment horizontal="left" vertical="center" wrapText="1" indent="1"/>
    </xf>
    <xf numFmtId="0" fontId="61" fillId="19" borderId="21" xfId="0" applyFont="1" applyFill="1" applyBorder="1" applyAlignment="1">
      <alignment horizontal="left" vertical="center" wrapText="1" indent="1"/>
    </xf>
    <xf numFmtId="0" fontId="61" fillId="19" borderId="14" xfId="0" applyFont="1" applyFill="1" applyBorder="1" applyAlignment="1">
      <alignment horizontal="left" vertical="center" wrapText="1" indent="1"/>
    </xf>
    <xf numFmtId="0" fontId="8" fillId="0" borderId="96"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105" fillId="23" borderId="0" xfId="18" applyFont="1" applyFill="1" applyAlignment="1">
      <alignment horizontal="center" vertical="center"/>
    </xf>
    <xf numFmtId="0" fontId="77" fillId="0" borderId="137" xfId="18" applyFont="1" applyFill="1" applyBorder="1" applyAlignment="1">
      <alignment horizontal="left" vertical="top" wrapText="1"/>
    </xf>
    <xf numFmtId="0" fontId="77" fillId="0" borderId="0" xfId="18" applyFont="1" applyFill="1" applyBorder="1" applyAlignment="1">
      <alignment horizontal="left" vertical="top" wrapText="1"/>
    </xf>
    <xf numFmtId="0" fontId="111" fillId="0" borderId="0" xfId="18" applyFont="1" applyAlignment="1">
      <alignment wrapText="1"/>
    </xf>
    <xf numFmtId="0" fontId="55" fillId="0" borderId="0" xfId="18" applyFont="1" applyAlignment="1">
      <alignment horizontal="center" vertical="center" wrapText="1"/>
    </xf>
    <xf numFmtId="174" fontId="55" fillId="0" borderId="78" xfId="18" applyNumberFormat="1" applyFont="1" applyBorder="1" applyAlignment="1">
      <alignment horizontal="center" vertical="center" wrapText="1"/>
    </xf>
    <xf numFmtId="0" fontId="8" fillId="0" borderId="141" xfId="18" applyFont="1" applyBorder="1" applyAlignment="1" applyProtection="1">
      <alignment horizontal="center" vertical="top" wrapText="1"/>
      <protection locked="0"/>
    </xf>
    <xf numFmtId="0" fontId="8" fillId="0" borderId="142" xfId="18" applyFont="1" applyBorder="1" applyAlignment="1" applyProtection="1">
      <alignment horizontal="center" vertical="top" wrapText="1"/>
      <protection locked="0"/>
    </xf>
    <xf numFmtId="0" fontId="53" fillId="0" borderId="98" xfId="18" applyFont="1" applyBorder="1" applyAlignment="1" applyProtection="1">
      <alignment vertical="top" wrapText="1"/>
      <protection locked="0"/>
    </xf>
    <xf numFmtId="0" fontId="53" fillId="0" borderId="78" xfId="18" applyFont="1" applyBorder="1" applyAlignment="1" applyProtection="1">
      <alignment vertical="top" wrapText="1"/>
      <protection locked="0"/>
    </xf>
    <xf numFmtId="0" fontId="53" fillId="0" borderId="99"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8" fillId="0" borderId="78" xfId="18" applyFont="1" applyBorder="1" applyAlignment="1" applyProtection="1">
      <alignment vertical="top" wrapText="1"/>
      <protection locked="0"/>
    </xf>
    <xf numFmtId="0" fontId="8" fillId="0" borderId="99" xfId="18" applyFont="1" applyBorder="1" applyAlignment="1" applyProtection="1">
      <alignment vertical="top" wrapText="1"/>
      <protection locked="0"/>
    </xf>
    <xf numFmtId="0" fontId="53" fillId="0" borderId="141" xfId="18" applyFont="1" applyBorder="1" applyAlignment="1" applyProtection="1">
      <alignment horizontal="center" vertical="top" wrapText="1"/>
      <protection locked="0"/>
    </xf>
    <xf numFmtId="0" fontId="53" fillId="0" borderId="142" xfId="18" applyFont="1" applyBorder="1" applyAlignment="1" applyProtection="1">
      <alignment horizontal="center" vertical="top" wrapText="1"/>
      <protection locked="0"/>
    </xf>
    <xf numFmtId="0" fontId="53" fillId="0" borderId="96" xfId="18" applyFont="1" applyBorder="1" applyAlignment="1" applyProtection="1">
      <alignment vertical="top" wrapText="1"/>
      <protection locked="0"/>
    </xf>
    <xf numFmtId="0" fontId="53" fillId="0" borderId="0" xfId="18" applyFont="1" applyBorder="1" applyAlignment="1" applyProtection="1">
      <alignment vertical="top" wrapText="1"/>
      <protection locked="0"/>
    </xf>
    <xf numFmtId="0" fontId="53" fillId="0" borderId="97" xfId="18" applyFont="1" applyBorder="1" applyAlignment="1" applyProtection="1">
      <alignment vertical="top" wrapText="1"/>
      <protection locked="0"/>
    </xf>
    <xf numFmtId="0" fontId="66" fillId="0" borderId="5" xfId="3" quotePrefix="1" applyNumberFormat="1" applyFont="1" applyBorder="1" applyAlignment="1">
      <alignment horizontal="left" vertical="top" wrapText="1" indent="2"/>
    </xf>
    <xf numFmtId="0" fontId="66" fillId="0" borderId="0" xfId="3" quotePrefix="1" applyNumberFormat="1" applyFont="1" applyBorder="1" applyAlignment="1">
      <alignment horizontal="left" vertical="top" wrapText="1" indent="2"/>
    </xf>
    <xf numFmtId="0" fontId="66" fillId="0" borderId="0" xfId="3" applyNumberFormat="1" applyFont="1" applyBorder="1" applyAlignment="1">
      <alignment horizontal="left" vertical="top" wrapText="1" indent="2"/>
    </xf>
    <xf numFmtId="0" fontId="61" fillId="0" borderId="0" xfId="3" applyFont="1" applyAlignment="1">
      <alignment horizontal="left" vertical="top" wrapText="1" indent="2"/>
    </xf>
    <xf numFmtId="0" fontId="66" fillId="0" borderId="0" xfId="3" applyNumberFormat="1" applyFont="1" applyAlignment="1">
      <alignment horizontal="left" vertical="top" wrapText="1" indent="2"/>
    </xf>
    <xf numFmtId="0" fontId="59" fillId="0" borderId="20" xfId="3" applyNumberFormat="1" applyFont="1" applyBorder="1" applyAlignment="1">
      <alignment horizontal="left" vertical="center" indent="1"/>
    </xf>
    <xf numFmtId="0" fontId="59" fillId="0" borderId="20" xfId="3" applyNumberFormat="1" applyFont="1" applyBorder="1" applyAlignment="1">
      <alignment horizontal="left" vertical="center"/>
    </xf>
    <xf numFmtId="0" fontId="59" fillId="23" borderId="17" xfId="3" applyNumberFormat="1" applyFont="1" applyFill="1" applyBorder="1" applyAlignment="1">
      <alignment horizontal="left" vertical="top" wrapText="1"/>
    </xf>
    <xf numFmtId="0" fontId="59" fillId="23" borderId="0" xfId="3" applyFont="1" applyFill="1" applyBorder="1" applyAlignment="1">
      <alignment vertical="top"/>
    </xf>
    <xf numFmtId="0" fontId="59" fillId="23" borderId="18" xfId="3" applyFont="1" applyFill="1" applyBorder="1" applyAlignment="1">
      <alignment vertical="top"/>
    </xf>
    <xf numFmtId="166" fontId="59" fillId="0" borderId="21" xfId="3" applyNumberFormat="1" applyFont="1" applyBorder="1" applyAlignment="1">
      <alignment horizontal="left" vertical="center" indent="1"/>
    </xf>
    <xf numFmtId="0" fontId="68" fillId="0" borderId="19" xfId="3" applyNumberFormat="1" applyFont="1" applyBorder="1" applyAlignment="1">
      <alignment horizontal="center" vertical="center"/>
    </xf>
    <xf numFmtId="0" fontId="61" fillId="0" borderId="20" xfId="3" applyFont="1" applyBorder="1" applyAlignment="1">
      <alignment horizontal="center" vertical="center"/>
    </xf>
    <xf numFmtId="0" fontId="61" fillId="0" borderId="11" xfId="3" applyFont="1" applyBorder="1" applyAlignment="1">
      <alignment horizontal="center" vertical="center"/>
    </xf>
    <xf numFmtId="0" fontId="66" fillId="0" borderId="21" xfId="3" applyNumberFormat="1" applyFont="1" applyBorder="1" applyAlignment="1">
      <alignment horizontal="left" vertical="center" wrapText="1"/>
    </xf>
    <xf numFmtId="0" fontId="61" fillId="0" borderId="21" xfId="3" applyFont="1" applyBorder="1" applyAlignment="1">
      <alignment horizontal="left" vertical="center" wrapText="1"/>
    </xf>
    <xf numFmtId="0" fontId="61" fillId="0" borderId="14" xfId="3" applyFont="1" applyBorder="1" applyAlignment="1">
      <alignment horizontal="left" vertical="center" wrapText="1"/>
    </xf>
    <xf numFmtId="0" fontId="68" fillId="0" borderId="21" xfId="3" applyNumberFormat="1" applyFont="1" applyBorder="1" applyAlignment="1">
      <alignment vertical="center"/>
    </xf>
    <xf numFmtId="0" fontId="68" fillId="0" borderId="14" xfId="3" applyNumberFormat="1" applyFont="1" applyBorder="1" applyAlignment="1">
      <alignment vertical="center"/>
    </xf>
    <xf numFmtId="0" fontId="77" fillId="0" borderId="133" xfId="3" applyFont="1" applyBorder="1" applyAlignment="1">
      <alignment horizontal="center" vertical="center" wrapText="1"/>
    </xf>
    <xf numFmtId="0" fontId="77" fillId="0" borderId="133" xfId="3" applyNumberFormat="1" applyFont="1" applyBorder="1" applyAlignment="1">
      <alignment horizontal="center"/>
    </xf>
    <xf numFmtId="0" fontId="61" fillId="0" borderId="134" xfId="3" applyNumberFormat="1" applyFont="1" applyBorder="1" applyAlignment="1" applyProtection="1">
      <alignment horizontal="center"/>
      <protection locked="0"/>
    </xf>
    <xf numFmtId="171" fontId="61" fillId="0" borderId="134" xfId="3" applyNumberFormat="1" applyFont="1" applyBorder="1" applyAlignment="1" applyProtection="1">
      <alignment horizontal="center"/>
      <protection locked="0"/>
    </xf>
    <xf numFmtId="0" fontId="61" fillId="0" borderId="134" xfId="3" applyNumberFormat="1" applyFont="1" applyBorder="1" applyAlignment="1" applyProtection="1">
      <alignment horizontal="center" vertical="center"/>
      <protection locked="0"/>
    </xf>
    <xf numFmtId="0" fontId="87" fillId="0" borderId="0" xfId="0" applyFont="1" applyAlignment="1">
      <alignment vertical="top" wrapText="1"/>
    </xf>
    <xf numFmtId="0" fontId="69" fillId="12" borderId="13" xfId="3" applyFont="1" applyFill="1" applyBorder="1" applyAlignment="1">
      <alignment horizontal="center" vertical="center" wrapText="1"/>
    </xf>
    <xf numFmtId="0" fontId="69" fillId="12" borderId="21" xfId="3" applyFont="1" applyFill="1" applyBorder="1" applyAlignment="1">
      <alignment horizontal="center" vertical="center" wrapText="1"/>
    </xf>
    <xf numFmtId="0" fontId="69" fillId="12" borderId="14" xfId="3" applyFont="1" applyFill="1" applyBorder="1" applyAlignment="1">
      <alignment horizontal="center" vertical="center" wrapText="1"/>
    </xf>
    <xf numFmtId="0" fontId="61" fillId="0" borderId="0" xfId="3" applyFont="1" applyBorder="1" applyAlignment="1">
      <alignment wrapText="1"/>
    </xf>
    <xf numFmtId="0" fontId="113" fillId="0" borderId="112" xfId="3" applyFont="1" applyBorder="1" applyAlignment="1">
      <alignment horizontal="center" vertical="center" wrapText="1"/>
    </xf>
    <xf numFmtId="0" fontId="113" fillId="0" borderId="0" xfId="3" applyFont="1" applyBorder="1" applyAlignment="1">
      <alignment horizontal="center" vertical="center" wrapText="1"/>
    </xf>
    <xf numFmtId="0" fontId="113" fillId="0" borderId="113" xfId="3" applyFont="1" applyBorder="1" applyAlignment="1">
      <alignment horizontal="center" vertical="center" wrapText="1"/>
    </xf>
    <xf numFmtId="0" fontId="113" fillId="0" borderId="114" xfId="3" applyFont="1" applyBorder="1" applyAlignment="1">
      <alignment horizontal="center" vertical="center" wrapText="1"/>
    </xf>
    <xf numFmtId="0" fontId="113" fillId="0" borderId="115" xfId="3" applyFont="1" applyBorder="1" applyAlignment="1">
      <alignment horizontal="center" vertical="center" wrapText="1"/>
    </xf>
    <xf numFmtId="0" fontId="113" fillId="0" borderId="116" xfId="3" applyFont="1" applyBorder="1" applyAlignment="1">
      <alignment horizontal="center" vertical="center" wrapText="1"/>
    </xf>
    <xf numFmtId="0" fontId="114" fillId="0" borderId="13" xfId="3" applyNumberFormat="1" applyFont="1" applyBorder="1" applyAlignment="1">
      <alignment vertical="top" wrapText="1"/>
    </xf>
    <xf numFmtId="0" fontId="114" fillId="0" borderId="21" xfId="3" applyNumberFormat="1" applyFont="1" applyBorder="1" applyAlignment="1">
      <alignment vertical="top" wrapText="1"/>
    </xf>
    <xf numFmtId="0" fontId="114" fillId="0" borderId="14" xfId="3" applyNumberFormat="1" applyFont="1" applyBorder="1" applyAlignment="1">
      <alignment vertical="top" wrapText="1"/>
    </xf>
    <xf numFmtId="0" fontId="59" fillId="0" borderId="12" xfId="3" applyFont="1" applyBorder="1" applyAlignment="1">
      <alignment vertical="top" wrapText="1"/>
    </xf>
    <xf numFmtId="0" fontId="59" fillId="0" borderId="16" xfId="3" applyFont="1" applyBorder="1" applyAlignment="1">
      <alignment vertical="top" wrapText="1"/>
    </xf>
    <xf numFmtId="0" fontId="59" fillId="0" borderId="10" xfId="3" applyFont="1" applyBorder="1" applyAlignment="1">
      <alignment vertical="top" wrapText="1"/>
    </xf>
    <xf numFmtId="0" fontId="69" fillId="0" borderId="46" xfId="3" applyFont="1" applyBorder="1" applyAlignment="1">
      <alignment horizontal="center" vertical="center" wrapText="1"/>
    </xf>
    <xf numFmtId="0" fontId="69" fillId="0" borderId="6" xfId="3" applyFont="1" applyBorder="1" applyAlignment="1">
      <alignment horizontal="center" vertical="center" wrapText="1"/>
    </xf>
    <xf numFmtId="0" fontId="69" fillId="0" borderId="7" xfId="3" applyFont="1" applyBorder="1" applyAlignment="1">
      <alignment horizontal="center" vertical="center" wrapText="1"/>
    </xf>
    <xf numFmtId="0" fontId="87" fillId="0" borderId="5" xfId="3" applyFont="1" applyBorder="1" applyAlignment="1">
      <alignment vertical="top"/>
    </xf>
    <xf numFmtId="0" fontId="87" fillId="0" borderId="0" xfId="3" applyFont="1" applyBorder="1" applyAlignment="1">
      <alignment vertical="top"/>
    </xf>
    <xf numFmtId="0" fontId="87" fillId="0" borderId="40" xfId="3" applyFont="1" applyBorder="1" applyAlignment="1">
      <alignment vertical="top"/>
    </xf>
    <xf numFmtId="0" fontId="87" fillId="0" borderId="50" xfId="3" applyFont="1" applyBorder="1" applyAlignment="1">
      <alignment vertical="top"/>
    </xf>
    <xf numFmtId="0" fontId="87" fillId="0" borderId="9" xfId="3" applyFont="1" applyBorder="1" applyAlignment="1">
      <alignment vertical="top"/>
    </xf>
    <xf numFmtId="0" fontId="87" fillId="0" borderId="59" xfId="3" applyFont="1" applyBorder="1" applyAlignment="1">
      <alignment vertical="top"/>
    </xf>
    <xf numFmtId="0" fontId="116" fillId="12" borderId="125" xfId="0" applyFont="1" applyFill="1" applyBorder="1" applyAlignment="1">
      <alignment horizontal="center" vertical="center"/>
    </xf>
    <xf numFmtId="0" fontId="116" fillId="12" borderId="128" xfId="0" applyFont="1" applyFill="1" applyBorder="1" applyAlignment="1">
      <alignment horizontal="center" vertical="center"/>
    </xf>
    <xf numFmtId="0" fontId="116" fillId="12" borderId="152" xfId="0" applyFont="1" applyFill="1" applyBorder="1" applyAlignment="1">
      <alignment horizontal="center" vertical="center"/>
    </xf>
    <xf numFmtId="164" fontId="116" fillId="12" borderId="17" xfId="0" applyNumberFormat="1" applyFont="1" applyFill="1" applyBorder="1" applyAlignment="1">
      <alignment horizontal="center" vertical="center"/>
    </xf>
    <xf numFmtId="164" fontId="116" fillId="12" borderId="0" xfId="0" applyNumberFormat="1" applyFont="1" applyFill="1" applyBorder="1" applyAlignment="1">
      <alignment horizontal="center" vertical="center"/>
    </xf>
    <xf numFmtId="164" fontId="116" fillId="12" borderId="63" xfId="0" applyNumberFormat="1" applyFont="1" applyFill="1" applyBorder="1" applyAlignment="1">
      <alignment horizontal="center" vertical="center"/>
    </xf>
    <xf numFmtId="164" fontId="65" fillId="12" borderId="125" xfId="0" applyNumberFormat="1" applyFont="1" applyFill="1" applyBorder="1" applyAlignment="1">
      <alignment horizontal="center" vertical="top"/>
    </xf>
    <xf numFmtId="164" fontId="117" fillId="12" borderId="128" xfId="0" applyNumberFormat="1" applyFont="1" applyFill="1" applyBorder="1" applyAlignment="1">
      <alignment horizontal="center" vertical="top"/>
    </xf>
    <xf numFmtId="164" fontId="117" fillId="12" borderId="152" xfId="0" applyNumberFormat="1" applyFont="1" applyFill="1" applyBorder="1" applyAlignment="1">
      <alignment horizontal="center" vertical="top"/>
    </xf>
    <xf numFmtId="0" fontId="117" fillId="0" borderId="21" xfId="0" applyFont="1" applyBorder="1" applyAlignment="1">
      <alignment horizontal="left" vertical="top" wrapText="1"/>
    </xf>
    <xf numFmtId="0" fontId="59" fillId="0" borderId="14" xfId="0" applyFont="1" applyBorder="1" applyAlignment="1">
      <alignment horizontal="left" vertical="top" wrapText="1"/>
    </xf>
    <xf numFmtId="0" fontId="59" fillId="0" borderId="21" xfId="0" applyFont="1" applyBorder="1" applyAlignment="1">
      <alignment vertical="top" wrapText="1"/>
    </xf>
    <xf numFmtId="0" fontId="61" fillId="0" borderId="14" xfId="0" applyFont="1" applyBorder="1" applyAlignment="1">
      <alignment wrapText="1"/>
    </xf>
    <xf numFmtId="0" fontId="117" fillId="0" borderId="128" xfId="0" applyNumberFormat="1" applyFont="1" applyBorder="1" applyAlignment="1">
      <alignment horizontal="left" vertical="center" wrapText="1"/>
    </xf>
    <xf numFmtId="0" fontId="61" fillId="0" borderId="126" xfId="0" applyFont="1" applyBorder="1" applyAlignment="1">
      <alignment horizontal="left" vertical="center" wrapText="1"/>
    </xf>
    <xf numFmtId="0" fontId="117" fillId="0" borderId="0" xfId="0" applyNumberFormat="1" applyFont="1" applyBorder="1" applyAlignment="1">
      <alignment horizontal="left" vertical="center" wrapText="1"/>
    </xf>
    <xf numFmtId="0" fontId="59" fillId="0" borderId="18" xfId="0" applyFont="1" applyBorder="1" applyAlignment="1">
      <alignment vertical="center" wrapText="1"/>
    </xf>
    <xf numFmtId="0" fontId="117" fillId="0" borderId="21" xfId="0" applyNumberFormat="1" applyFont="1" applyBorder="1" applyAlignment="1">
      <alignment horizontal="left" vertical="center" wrapText="1"/>
    </xf>
    <xf numFmtId="0" fontId="59" fillId="0" borderId="14" xfId="0" applyFont="1" applyBorder="1" applyAlignment="1"/>
    <xf numFmtId="0" fontId="69" fillId="0" borderId="0" xfId="3" applyNumberFormat="1" applyFont="1" applyAlignment="1" applyProtection="1">
      <alignment horizontal="center" vertical="center"/>
    </xf>
    <xf numFmtId="0" fontId="59" fillId="0" borderId="146" xfId="3" applyNumberFormat="1" applyFont="1" applyBorder="1" applyProtection="1"/>
    <xf numFmtId="0" fontId="59" fillId="0" borderId="147" xfId="3" applyNumberFormat="1" applyFont="1" applyBorder="1" applyProtection="1"/>
    <xf numFmtId="0" fontId="69" fillId="0" borderId="5" xfId="3" applyNumberFormat="1" applyFont="1" applyBorder="1" applyAlignment="1" applyProtection="1">
      <alignment horizontal="left" vertical="center" indent="1"/>
    </xf>
    <xf numFmtId="0" fontId="69" fillId="0" borderId="0" xfId="3" applyNumberFormat="1" applyFont="1" applyBorder="1" applyAlignment="1" applyProtection="1">
      <alignment horizontal="left" vertical="center" indent="1"/>
    </xf>
    <xf numFmtId="0" fontId="69" fillId="0" borderId="40" xfId="3" applyNumberFormat="1" applyFont="1" applyBorder="1" applyAlignment="1" applyProtection="1">
      <alignment horizontal="left" vertical="center" indent="1"/>
    </xf>
    <xf numFmtId="0" fontId="69" fillId="0" borderId="5" xfId="3" applyNumberFormat="1" applyFont="1" applyBorder="1" applyAlignment="1" applyProtection="1">
      <alignment horizontal="left" indent="1"/>
    </xf>
    <xf numFmtId="0" fontId="69" fillId="0" borderId="0" xfId="3" applyNumberFormat="1" applyFont="1" applyBorder="1" applyAlignment="1" applyProtection="1">
      <alignment horizontal="left" indent="1"/>
    </xf>
    <xf numFmtId="0" fontId="69" fillId="0" borderId="40" xfId="3" applyNumberFormat="1" applyFont="1" applyBorder="1" applyAlignment="1" applyProtection="1">
      <alignment horizontal="left" indent="1"/>
    </xf>
    <xf numFmtId="0" fontId="61" fillId="0" borderId="50" xfId="3" applyNumberFormat="1" applyFont="1" applyBorder="1" applyProtection="1"/>
    <xf numFmtId="0" fontId="61" fillId="0" borderId="9" xfId="3" applyNumberFormat="1" applyFont="1" applyBorder="1" applyProtection="1"/>
    <xf numFmtId="0" fontId="61" fillId="0" borderId="59" xfId="3" applyNumberFormat="1" applyFont="1" applyBorder="1" applyProtection="1"/>
    <xf numFmtId="0" fontId="69" fillId="0" borderId="50" xfId="3" applyNumberFormat="1" applyFont="1" applyBorder="1" applyAlignment="1" applyProtection="1"/>
    <xf numFmtId="0" fontId="69" fillId="0" borderId="9" xfId="3" applyFont="1" applyBorder="1" applyAlignment="1" applyProtection="1"/>
    <xf numFmtId="0" fontId="69" fillId="0" borderId="59" xfId="3" applyFont="1" applyBorder="1" applyAlignment="1" applyProtection="1"/>
    <xf numFmtId="0" fontId="87" fillId="0" borderId="5" xfId="3" applyNumberFormat="1" applyFont="1" applyBorder="1" applyAlignment="1" applyProtection="1"/>
    <xf numFmtId="0" fontId="87" fillId="0" borderId="0" xfId="3" applyFont="1" applyBorder="1" applyAlignment="1" applyProtection="1"/>
    <xf numFmtId="0" fontId="87" fillId="0" borderId="40" xfId="3" applyFont="1" applyBorder="1" applyAlignment="1" applyProtection="1"/>
    <xf numFmtId="0" fontId="69" fillId="0" borderId="147" xfId="3" applyNumberFormat="1" applyFont="1" applyBorder="1" applyAlignment="1" applyProtection="1">
      <alignment horizontal="left" indent="1"/>
      <protection locked="0"/>
    </xf>
    <xf numFmtId="0" fontId="69" fillId="0" borderId="147" xfId="3" applyFont="1" applyBorder="1" applyAlignment="1" applyProtection="1">
      <alignment horizontal="left" indent="1"/>
      <protection locked="0"/>
    </xf>
    <xf numFmtId="0" fontId="69" fillId="0" borderId="148" xfId="3" applyFont="1" applyBorder="1" applyAlignment="1" applyProtection="1">
      <alignment horizontal="left" indent="1"/>
      <protection locked="0"/>
    </xf>
    <xf numFmtId="0" fontId="61" fillId="0" borderId="0" xfId="3" applyFont="1" applyAlignment="1">
      <alignment horizontal="center" vertical="center"/>
    </xf>
    <xf numFmtId="0" fontId="69" fillId="0" borderId="50" xfId="3" applyNumberFormat="1" applyFont="1" applyBorder="1" applyAlignment="1" applyProtection="1">
      <alignment horizontal="left" indent="1"/>
    </xf>
    <xf numFmtId="0" fontId="69" fillId="0" borderId="9" xfId="3" applyFont="1" applyBorder="1" applyAlignment="1" applyProtection="1">
      <alignment horizontal="left" indent="1"/>
    </xf>
    <xf numFmtId="0" fontId="69" fillId="0" borderId="59" xfId="3" applyFont="1" applyBorder="1" applyAlignment="1" applyProtection="1">
      <alignment horizontal="left" indent="1"/>
    </xf>
    <xf numFmtId="165" fontId="69" fillId="0" borderId="50" xfId="3" applyNumberFormat="1" applyFont="1" applyBorder="1" applyAlignment="1" applyProtection="1">
      <alignment horizontal="left" indent="1"/>
    </xf>
    <xf numFmtId="165" fontId="69" fillId="0" borderId="59" xfId="3" applyNumberFormat="1" applyFont="1" applyBorder="1" applyAlignment="1" applyProtection="1">
      <alignment horizontal="left" indent="1"/>
    </xf>
    <xf numFmtId="0" fontId="69" fillId="0" borderId="59" xfId="3" applyNumberFormat="1" applyFont="1" applyBorder="1" applyAlignment="1" applyProtection="1">
      <alignment horizontal="left" indent="1"/>
    </xf>
    <xf numFmtId="0" fontId="69" fillId="0" borderId="5" xfId="3" applyFont="1" applyBorder="1" applyAlignment="1" applyProtection="1"/>
    <xf numFmtId="0" fontId="69" fillId="0" borderId="0" xfId="3" applyFont="1" applyBorder="1" applyAlignment="1" applyProtection="1"/>
    <xf numFmtId="0" fontId="69" fillId="0" borderId="40" xfId="3" applyFont="1" applyBorder="1" applyAlignment="1" applyProtection="1"/>
    <xf numFmtId="0" fontId="69" fillId="0" borderId="0" xfId="3" applyNumberFormat="1" applyFont="1" applyAlignment="1" applyProtection="1">
      <alignment horizontal="center"/>
    </xf>
    <xf numFmtId="0" fontId="69" fillId="0" borderId="50" xfId="3" applyNumberFormat="1" applyFont="1" applyBorder="1" applyAlignment="1" applyProtection="1">
      <alignment horizontal="left" indent="1"/>
      <protection locked="0"/>
    </xf>
    <xf numFmtId="0" fontId="69" fillId="0" borderId="9" xfId="3" applyFont="1" applyBorder="1" applyAlignment="1">
      <alignment horizontal="left" indent="1"/>
    </xf>
    <xf numFmtId="0" fontId="69" fillId="0" borderId="59" xfId="3" applyFont="1" applyBorder="1" applyAlignment="1">
      <alignment horizontal="left" indent="1"/>
    </xf>
    <xf numFmtId="0" fontId="69" fillId="0" borderId="5" xfId="3" applyNumberFormat="1" applyFont="1" applyBorder="1" applyAlignment="1" applyProtection="1">
      <alignment horizontal="left" indent="1"/>
      <protection locked="0"/>
    </xf>
    <xf numFmtId="0" fontId="69" fillId="0" borderId="0" xfId="3" applyFont="1" applyBorder="1" applyAlignment="1">
      <alignment horizontal="left" indent="1"/>
    </xf>
    <xf numFmtId="0" fontId="69" fillId="0" borderId="40" xfId="3" applyFont="1" applyBorder="1" applyAlignment="1">
      <alignment horizontal="left" indent="1"/>
    </xf>
    <xf numFmtId="0" fontId="69" fillId="0" borderId="0" xfId="3" applyFont="1" applyBorder="1" applyAlignment="1" applyProtection="1">
      <alignment horizontal="left" indent="1"/>
    </xf>
    <xf numFmtId="0" fontId="69" fillId="0" borderId="40" xfId="3" applyFont="1" applyBorder="1" applyAlignment="1" applyProtection="1">
      <alignment horizontal="left" indent="1"/>
    </xf>
    <xf numFmtId="0" fontId="61" fillId="0" borderId="50" xfId="3" applyNumberFormat="1" applyFont="1" applyBorder="1" applyAlignment="1" applyProtection="1">
      <alignment horizontal="left" vertical="center" indent="1"/>
    </xf>
    <xf numFmtId="0" fontId="61" fillId="0" borderId="9" xfId="3" applyFont="1" applyBorder="1" applyAlignment="1" applyProtection="1">
      <alignment horizontal="left" vertical="center" indent="1"/>
    </xf>
    <xf numFmtId="0" fontId="61" fillId="0" borderId="59" xfId="3" applyFont="1" applyBorder="1" applyAlignment="1" applyProtection="1">
      <alignment horizontal="left" vertical="center" indent="1"/>
    </xf>
    <xf numFmtId="0" fontId="69" fillId="0" borderId="5" xfId="3" applyNumberFormat="1" applyFont="1" applyBorder="1" applyAlignment="1" applyProtection="1"/>
    <xf numFmtId="0" fontId="58" fillId="0" borderId="0" xfId="3" applyFont="1" applyAlignment="1">
      <alignment horizontal="center" vertical="center"/>
    </xf>
    <xf numFmtId="174" fontId="58" fillId="0" borderId="0" xfId="3" applyNumberFormat="1" applyFont="1" applyAlignment="1">
      <alignment horizontal="center" vertical="center"/>
    </xf>
    <xf numFmtId="174" fontId="61" fillId="0" borderId="0" xfId="3" applyNumberFormat="1" applyFont="1" applyAlignment="1">
      <alignment horizontal="center" vertical="center"/>
    </xf>
    <xf numFmtId="0" fontId="61" fillId="0" borderId="69" xfId="3" applyFont="1" applyBorder="1" applyAlignment="1" applyProtection="1">
      <protection locked="0"/>
    </xf>
    <xf numFmtId="0" fontId="69" fillId="0" borderId="0" xfId="3" applyFont="1" applyAlignment="1" applyProtection="1">
      <alignment horizontal="center" vertical="center"/>
    </xf>
    <xf numFmtId="174" fontId="69" fillId="0" borderId="0" xfId="3" applyNumberFormat="1" applyFont="1" applyAlignment="1" applyProtection="1">
      <alignment horizontal="center" vertical="center"/>
    </xf>
    <xf numFmtId="0" fontId="61" fillId="0" borderId="69" xfId="3" applyFont="1" applyBorder="1" applyAlignment="1" applyProtection="1">
      <alignment horizontal="left"/>
      <protection locked="0"/>
    </xf>
    <xf numFmtId="0" fontId="69" fillId="0" borderId="0" xfId="3" quotePrefix="1" applyFont="1" applyAlignment="1" applyProtection="1">
      <alignment horizontal="center" vertical="center"/>
    </xf>
    <xf numFmtId="0" fontId="69" fillId="0" borderId="0" xfId="3" applyNumberFormat="1" applyFont="1" applyAlignment="1">
      <alignment horizontal="center"/>
    </xf>
    <xf numFmtId="165" fontId="69" fillId="0" borderId="0" xfId="3" applyNumberFormat="1" applyFont="1" applyAlignment="1" applyProtection="1">
      <alignment horizontal="center" vertical="center"/>
    </xf>
    <xf numFmtId="165" fontId="58" fillId="0" borderId="0" xfId="3" applyNumberFormat="1" applyFont="1" applyAlignment="1" applyProtection="1">
      <alignment horizontal="center" vertical="center"/>
    </xf>
    <xf numFmtId="0" fontId="58" fillId="0" borderId="0" xfId="3" applyNumberFormat="1" applyFont="1" applyAlignment="1" applyProtection="1">
      <alignment horizontal="center" vertical="center"/>
    </xf>
    <xf numFmtId="0" fontId="66" fillId="0" borderId="0" xfId="3" applyFont="1" applyAlignment="1" applyProtection="1">
      <alignment horizontal="left" vertical="center" wrapText="1"/>
    </xf>
    <xf numFmtId="3" fontId="59" fillId="0" borderId="77" xfId="3" applyNumberFormat="1" applyFont="1" applyBorder="1" applyAlignment="1" applyProtection="1">
      <alignment horizontal="right" indent="1"/>
      <protection locked="0"/>
    </xf>
    <xf numFmtId="0" fontId="59" fillId="0" borderId="0" xfId="3" applyFont="1" applyBorder="1" applyAlignment="1" applyProtection="1">
      <alignment vertical="center" wrapText="1"/>
      <protection locked="0"/>
    </xf>
    <xf numFmtId="5" fontId="69" fillId="0" borderId="149" xfId="3" applyNumberFormat="1" applyFont="1" applyBorder="1" applyAlignment="1" applyProtection="1">
      <protection locked="0"/>
    </xf>
    <xf numFmtId="0" fontId="69" fillId="0" borderId="150" xfId="3" applyFont="1" applyBorder="1" applyAlignment="1" applyProtection="1">
      <protection locked="0"/>
    </xf>
    <xf numFmtId="0" fontId="66" fillId="0" borderId="0" xfId="3" applyFont="1" applyBorder="1" applyAlignment="1" applyProtection="1">
      <alignment horizontal="left" vertical="top" wrapText="1"/>
    </xf>
    <xf numFmtId="0" fontId="58" fillId="0" borderId="0" xfId="3" applyFont="1" applyAlignment="1" applyProtection="1">
      <alignment horizontal="center"/>
    </xf>
    <xf numFmtId="0" fontId="58" fillId="0" borderId="78" xfId="3" applyFont="1" applyBorder="1" applyAlignment="1" applyProtection="1">
      <alignment horizontal="center"/>
    </xf>
    <xf numFmtId="0" fontId="59" fillId="0" borderId="0" xfId="3" applyFont="1" applyAlignment="1" applyProtection="1">
      <alignment horizontal="left" vertical="center" wrapText="1"/>
      <protection locked="0"/>
    </xf>
    <xf numFmtId="0" fontId="69" fillId="0" borderId="0" xfId="3" applyNumberFormat="1" applyFont="1" applyBorder="1" applyAlignment="1" applyProtection="1">
      <alignment horizontal="center"/>
    </xf>
    <xf numFmtId="0" fontId="58" fillId="0" borderId="0" xfId="3" applyFont="1" applyAlignment="1" applyProtection="1">
      <alignment horizontal="center" vertical="center" readingOrder="1"/>
    </xf>
    <xf numFmtId="0" fontId="58" fillId="0" borderId="0" xfId="3" applyFont="1" applyAlignment="1" applyProtection="1">
      <alignment horizontal="center" vertical="center"/>
    </xf>
    <xf numFmtId="0" fontId="68" fillId="0" borderId="149" xfId="3" applyFont="1" applyBorder="1" applyAlignment="1" applyProtection="1">
      <alignment horizontal="center" vertical="center"/>
      <protection locked="0"/>
    </xf>
    <xf numFmtId="0" fontId="68" fillId="0" borderId="76" xfId="3" applyFont="1" applyBorder="1" applyAlignment="1" applyProtection="1">
      <alignment horizontal="center" vertical="center"/>
      <protection locked="0"/>
    </xf>
    <xf numFmtId="0" fontId="68" fillId="0" borderId="150" xfId="3" applyFont="1" applyBorder="1" applyAlignment="1" applyProtection="1">
      <alignment horizontal="center" vertical="center"/>
      <protection locked="0"/>
    </xf>
    <xf numFmtId="6" fontId="66" fillId="0" borderId="77" xfId="3" applyNumberFormat="1" applyFont="1" applyBorder="1" applyAlignment="1" applyProtection="1">
      <alignment horizontal="right" vertical="center"/>
      <protection locked="0"/>
    </xf>
    <xf numFmtId="6" fontId="66" fillId="0" borderId="149" xfId="3" applyNumberFormat="1" applyFont="1" applyBorder="1" applyProtection="1">
      <protection locked="0"/>
    </xf>
    <xf numFmtId="6" fontId="66" fillId="0" borderId="150" xfId="3" applyNumberFormat="1" applyFont="1" applyBorder="1" applyProtection="1">
      <protection locked="0"/>
    </xf>
    <xf numFmtId="170" fontId="61" fillId="0" borderId="9" xfId="3" applyNumberFormat="1" applyFont="1" applyBorder="1" applyAlignment="1" applyProtection="1">
      <alignment horizontal="center"/>
      <protection locked="0"/>
    </xf>
    <xf numFmtId="0" fontId="66" fillId="0" borderId="149" xfId="3" applyFont="1" applyBorder="1" applyAlignment="1" applyProtection="1">
      <alignment horizontal="left" vertical="center"/>
      <protection locked="0"/>
    </xf>
    <xf numFmtId="0" fontId="66" fillId="0" borderId="76" xfId="3" applyFont="1" applyBorder="1" applyAlignment="1" applyProtection="1">
      <alignment horizontal="left" vertical="center"/>
      <protection locked="0"/>
    </xf>
    <xf numFmtId="0" fontId="66" fillId="0" borderId="150" xfId="3" applyFont="1" applyBorder="1" applyAlignment="1" applyProtection="1">
      <alignment horizontal="left" vertical="center"/>
      <protection locked="0"/>
    </xf>
    <xf numFmtId="38" fontId="66" fillId="0" borderId="77" xfId="3" applyNumberFormat="1" applyFont="1" applyBorder="1" applyAlignment="1" applyProtection="1">
      <alignment horizontal="right" vertical="center"/>
      <protection locked="0"/>
    </xf>
    <xf numFmtId="0" fontId="69" fillId="0" borderId="0" xfId="3" applyNumberFormat="1" applyFont="1" applyBorder="1" applyAlignment="1" applyProtection="1">
      <alignment horizontal="center" vertical="center" wrapText="1"/>
    </xf>
    <xf numFmtId="0" fontId="61" fillId="0" borderId="0" xfId="3" applyNumberFormat="1" applyFont="1" applyAlignment="1">
      <alignment horizontal="center" vertical="center" wrapText="1"/>
    </xf>
    <xf numFmtId="165" fontId="69" fillId="0" borderId="0" xfId="3" applyNumberFormat="1" applyFont="1" applyBorder="1" applyAlignment="1" applyProtection="1">
      <alignment horizontal="center" vertical="center" wrapText="1"/>
    </xf>
    <xf numFmtId="0" fontId="61" fillId="0" borderId="0" xfId="3" applyFont="1" applyAlignment="1">
      <alignment horizontal="center" vertical="center" wrapText="1"/>
    </xf>
    <xf numFmtId="169" fontId="58" fillId="0" borderId="0" xfId="3" applyNumberFormat="1" applyFont="1" applyAlignment="1" applyProtection="1">
      <alignment horizontal="center" vertical="center" wrapText="1"/>
    </xf>
    <xf numFmtId="0" fontId="59" fillId="0" borderId="0" xfId="3" applyFont="1" applyAlignment="1">
      <alignment horizontal="center" vertical="center" wrapText="1"/>
    </xf>
    <xf numFmtId="0" fontId="61" fillId="0" borderId="9" xfId="3" applyFont="1" applyBorder="1" applyAlignment="1" applyProtection="1">
      <alignment horizontal="center"/>
      <protection locked="0"/>
    </xf>
    <xf numFmtId="0" fontId="61" fillId="0" borderId="74" xfId="3" applyFont="1" applyBorder="1" applyAlignment="1" applyProtection="1">
      <alignment horizontal="center"/>
      <protection locked="0"/>
    </xf>
    <xf numFmtId="0" fontId="66" fillId="0" borderId="149" xfId="3" applyFont="1" applyBorder="1" applyAlignment="1" applyProtection="1">
      <alignment horizontal="center"/>
    </xf>
    <xf numFmtId="0" fontId="66" fillId="0" borderId="76" xfId="3" applyFont="1" applyBorder="1" applyAlignment="1" applyProtection="1">
      <alignment horizontal="center"/>
    </xf>
    <xf numFmtId="0" fontId="66" fillId="0" borderId="150" xfId="3" applyFont="1" applyBorder="1" applyAlignment="1" applyProtection="1">
      <alignment horizontal="center"/>
    </xf>
    <xf numFmtId="38" fontId="66" fillId="0" borderId="149" xfId="3" applyNumberFormat="1" applyFont="1" applyBorder="1" applyAlignment="1" applyProtection="1">
      <alignment horizontal="right" vertical="center"/>
      <protection locked="0"/>
    </xf>
    <xf numFmtId="38" fontId="66" fillId="0" borderId="76" xfId="3" applyNumberFormat="1" applyFont="1" applyBorder="1" applyAlignment="1" applyProtection="1">
      <alignment horizontal="right" vertical="center"/>
      <protection locked="0"/>
    </xf>
    <xf numFmtId="38" fontId="66" fillId="0" borderId="150" xfId="3" applyNumberFormat="1" applyFont="1" applyBorder="1" applyAlignment="1" applyProtection="1">
      <alignment horizontal="right" vertical="center"/>
      <protection locked="0"/>
    </xf>
    <xf numFmtId="0" fontId="61" fillId="0" borderId="0" xfId="3" applyFont="1" applyBorder="1" applyAlignment="1" applyProtection="1">
      <alignment horizontal="left" vertical="top" wrapText="1"/>
      <protection locked="0"/>
    </xf>
    <xf numFmtId="0" fontId="61" fillId="0" borderId="0" xfId="3" applyFont="1" applyAlignment="1" applyProtection="1">
      <alignment horizontal="left" vertical="top" wrapText="1"/>
      <protection locked="0"/>
    </xf>
    <xf numFmtId="0" fontId="58" fillId="0" borderId="0" xfId="3" applyFont="1" applyAlignment="1" applyProtection="1">
      <alignment horizontal="center" vertical="center" wrapText="1"/>
    </xf>
    <xf numFmtId="0" fontId="58" fillId="0" borderId="0" xfId="3" applyFont="1" applyBorder="1" applyAlignment="1" applyProtection="1">
      <alignment horizontal="center" vertical="center" wrapText="1"/>
    </xf>
    <xf numFmtId="0" fontId="61" fillId="0" borderId="0" xfId="3" applyFont="1" applyBorder="1" applyAlignment="1">
      <alignment horizontal="center" vertical="center" wrapText="1"/>
    </xf>
    <xf numFmtId="8" fontId="61" fillId="0" borderId="0" xfId="3" applyNumberFormat="1" applyFont="1" applyAlignment="1" applyProtection="1">
      <alignment horizontal="left" vertical="top" wrapText="1"/>
      <protection locked="0"/>
    </xf>
    <xf numFmtId="0" fontId="14" fillId="0" borderId="0" xfId="4266" applyFont="1" applyFill="1" applyAlignment="1" applyProtection="1">
      <alignment horizontal="left" vertical="top" wrapText="1"/>
      <protection locked="0"/>
    </xf>
    <xf numFmtId="0" fontId="17" fillId="0" borderId="74" xfId="4266" applyNumberFormat="1" applyFont="1" applyBorder="1" applyAlignment="1" applyProtection="1">
      <alignment horizontal="center"/>
      <protection locked="0"/>
    </xf>
    <xf numFmtId="0" fontId="17" fillId="0" borderId="74" xfId="4266" quotePrefix="1" applyFont="1" applyBorder="1" applyAlignment="1" applyProtection="1">
      <alignment horizontal="center"/>
      <protection locked="0"/>
    </xf>
    <xf numFmtId="0" fontId="17" fillId="0" borderId="74" xfId="4266" applyFont="1" applyBorder="1" applyAlignment="1" applyProtection="1">
      <alignment horizontal="center"/>
      <protection locked="0"/>
    </xf>
    <xf numFmtId="0" fontId="17" fillId="0" borderId="74" xfId="4266" applyFont="1" applyBorder="1" applyAlignment="1" applyProtection="1">
      <alignment horizontal="center" vertical="center"/>
      <protection locked="0"/>
    </xf>
    <xf numFmtId="0" fontId="14" fillId="0" borderId="0" xfId="4266" applyFont="1" applyAlignment="1" applyProtection="1">
      <alignment horizontal="left" vertical="top" wrapText="1"/>
      <protection locked="0"/>
    </xf>
    <xf numFmtId="0" fontId="14" fillId="0" borderId="74" xfId="4266" applyFont="1" applyBorder="1" applyAlignment="1" applyProtection="1">
      <alignment horizontal="center"/>
      <protection locked="0"/>
    </xf>
    <xf numFmtId="0" fontId="17" fillId="0" borderId="0" xfId="4266" applyNumberFormat="1" applyFont="1" applyBorder="1" applyAlignment="1" applyProtection="1">
      <alignment horizontal="center" vertical="center" wrapText="1"/>
    </xf>
    <xf numFmtId="165" fontId="17" fillId="0" borderId="0" xfId="4266" applyNumberFormat="1" applyFont="1" applyBorder="1" applyAlignment="1" applyProtection="1">
      <alignment horizontal="center" vertical="center" wrapText="1"/>
    </xf>
    <xf numFmtId="0" fontId="24" fillId="0" borderId="0" xfId="4266" applyFont="1" applyAlignment="1" applyProtection="1">
      <alignment horizontal="center" vertical="center" wrapText="1"/>
    </xf>
    <xf numFmtId="0" fontId="17" fillId="0" borderId="144" xfId="4266" applyFont="1" applyBorder="1" applyAlignment="1" applyProtection="1">
      <alignment horizontal="center" vertical="center" wrapText="1"/>
    </xf>
    <xf numFmtId="0" fontId="58" fillId="0" borderId="0" xfId="3" applyNumberFormat="1" applyFont="1" applyAlignment="1" applyProtection="1">
      <alignment horizontal="center" vertical="center" wrapText="1"/>
    </xf>
  </cellXfs>
  <cellStyles count="6178">
    <cellStyle name="1" xfId="32" xr:uid="{00000000-0005-0000-0000-000000000000}"/>
    <cellStyle name="1 2" xfId="5243" xr:uid="{0D072C48-13E9-49D1-B25C-21E90E36F857}"/>
    <cellStyle name="1 3" xfId="3502" xr:uid="{338B78EF-C040-46A8-8E9F-AAB720491C30}"/>
    <cellStyle name="10" xfId="33" xr:uid="{00000000-0005-0000-0000-000001000000}"/>
    <cellStyle name="10 2" xfId="5244" xr:uid="{A7A4480E-C9B6-456B-AF83-F672BA508F83}"/>
    <cellStyle name="10 3" xfId="3503" xr:uid="{9018C5D3-8B10-4244-9CA7-F7E5CE783934}"/>
    <cellStyle name="12" xfId="31" xr:uid="{00000000-0005-0000-0000-000002000000}"/>
    <cellStyle name="12 10" xfId="255" xr:uid="{00000000-0005-0000-0000-000003000000}"/>
    <cellStyle name="12 10 2" xfId="3703" xr:uid="{F4A425D7-6524-487F-97C3-0A1C99C7F5B1}"/>
    <cellStyle name="12 11" xfId="256" xr:uid="{00000000-0005-0000-0000-000004000000}"/>
    <cellStyle name="12 11 2" xfId="3704" xr:uid="{75AEB97C-E792-4987-B1D3-26B3FFA57042}"/>
    <cellStyle name="12 12" xfId="257" xr:uid="{00000000-0005-0000-0000-000005000000}"/>
    <cellStyle name="12 12 2" xfId="3705" xr:uid="{9202C239-DC58-4DC1-BF0F-D2C7768F00BD}"/>
    <cellStyle name="12 13" xfId="258" xr:uid="{00000000-0005-0000-0000-000006000000}"/>
    <cellStyle name="12 13 2" xfId="3706" xr:uid="{418DA6E4-6856-47E1-B479-0E4906C2EBDA}"/>
    <cellStyle name="12 14" xfId="259" xr:uid="{00000000-0005-0000-0000-000007000000}"/>
    <cellStyle name="12 14 2" xfId="3707" xr:uid="{87A04877-2775-4C70-AFB8-12558352E7DA}"/>
    <cellStyle name="12 15" xfId="260" xr:uid="{00000000-0005-0000-0000-000008000000}"/>
    <cellStyle name="12 15 2" xfId="3708" xr:uid="{CC521C63-61B9-40F9-B1EB-6EFE6CBB310C}"/>
    <cellStyle name="12 16" xfId="261" xr:uid="{00000000-0005-0000-0000-000009000000}"/>
    <cellStyle name="12 16 2" xfId="3709" xr:uid="{DE0A9BC7-D78A-4CCD-875F-25A2F4D4870F}"/>
    <cellStyle name="12 17" xfId="262" xr:uid="{00000000-0005-0000-0000-00000A000000}"/>
    <cellStyle name="12 17 2" xfId="3710" xr:uid="{6376489C-6E81-41C5-811E-4E9AD4175F6D}"/>
    <cellStyle name="12 18" xfId="263" xr:uid="{00000000-0005-0000-0000-00000B000000}"/>
    <cellStyle name="12 18 2" xfId="3711" xr:uid="{5D52C4F1-AA7B-48A2-A3E2-119AB37DBE75}"/>
    <cellStyle name="12 19" xfId="264" xr:uid="{00000000-0005-0000-0000-00000C000000}"/>
    <cellStyle name="12 19 2" xfId="3712" xr:uid="{70A6F7B2-7D03-451E-9145-83E1F2ED5833}"/>
    <cellStyle name="12 2" xfId="34" xr:uid="{00000000-0005-0000-0000-00000D000000}"/>
    <cellStyle name="12 2 2" xfId="3481" xr:uid="{0FEF5835-F40C-43CD-9C53-391C9A95AE60}"/>
    <cellStyle name="12 2 3" xfId="3484" xr:uid="{3DE75B4E-7BE7-48E1-879E-76C1E201AAD9}"/>
    <cellStyle name="12 20" xfId="265" xr:uid="{00000000-0005-0000-0000-00000E000000}"/>
    <cellStyle name="12 20 2" xfId="3713" xr:uid="{3D6F0695-525C-46C6-9B72-45DCA27AC272}"/>
    <cellStyle name="12 21" xfId="266" xr:uid="{00000000-0005-0000-0000-00000F000000}"/>
    <cellStyle name="12 21 2" xfId="3714" xr:uid="{80512403-F820-4447-9575-AA52295F6439}"/>
    <cellStyle name="12 22" xfId="267" xr:uid="{00000000-0005-0000-0000-000010000000}"/>
    <cellStyle name="12 22 2" xfId="3715" xr:uid="{EF4CDCA6-4B74-47D7-AB78-74E96453906A}"/>
    <cellStyle name="12 23" xfId="268" xr:uid="{00000000-0005-0000-0000-000011000000}"/>
    <cellStyle name="12 23 2" xfId="3716" xr:uid="{EB6DFE3F-61F6-4E36-B137-C5593D5E0001}"/>
    <cellStyle name="12 24" xfId="269" xr:uid="{00000000-0005-0000-0000-000012000000}"/>
    <cellStyle name="12 24 2" xfId="3717" xr:uid="{C10F889B-058A-478D-AC33-187EEC0C3F27}"/>
    <cellStyle name="12 25" xfId="270" xr:uid="{00000000-0005-0000-0000-000013000000}"/>
    <cellStyle name="12 25 2" xfId="3718" xr:uid="{AEF6E775-0A97-415F-8229-CDFDCF791C2D}"/>
    <cellStyle name="12 26" xfId="271" xr:uid="{00000000-0005-0000-0000-000014000000}"/>
    <cellStyle name="12 26 2" xfId="3719" xr:uid="{EABF7044-32BD-47C4-9D42-5B07D1BBAB85}"/>
    <cellStyle name="12 27" xfId="272" xr:uid="{00000000-0005-0000-0000-000015000000}"/>
    <cellStyle name="12 27 2" xfId="3720" xr:uid="{2F9CE6CB-4600-43BA-A65A-555C600BBBC2}"/>
    <cellStyle name="12 28" xfId="273" xr:uid="{00000000-0005-0000-0000-000016000000}"/>
    <cellStyle name="12 28 2" xfId="3721" xr:uid="{82B964EE-F3EE-4BF0-9D06-FC7CC78E95AF}"/>
    <cellStyle name="12 29" xfId="274" xr:uid="{00000000-0005-0000-0000-000017000000}"/>
    <cellStyle name="12 29 2" xfId="3722" xr:uid="{27CB17DE-D830-407C-9018-4C480B6E5B92}"/>
    <cellStyle name="12 3" xfId="36" xr:uid="{00000000-0005-0000-0000-000018000000}"/>
    <cellStyle name="12 3 2" xfId="3669" xr:uid="{294B89E3-0BCD-4FE4-B2F8-BA8642C2B6CB}"/>
    <cellStyle name="12 30" xfId="275" xr:uid="{00000000-0005-0000-0000-000019000000}"/>
    <cellStyle name="12 30 2" xfId="3723" xr:uid="{DD2295AE-0825-4764-87FA-123557C9E0EE}"/>
    <cellStyle name="12 31" xfId="276" xr:uid="{00000000-0005-0000-0000-00001A000000}"/>
    <cellStyle name="12 31 2" xfId="3724" xr:uid="{E4020488-E09A-48A7-B2D6-664A0D7629F5}"/>
    <cellStyle name="12 32" xfId="277" xr:uid="{00000000-0005-0000-0000-00001B000000}"/>
    <cellStyle name="12 32 2" xfId="3725" xr:uid="{26919FE7-2663-4633-8C4A-CBC5C149A5DC}"/>
    <cellStyle name="12 33" xfId="278" xr:uid="{00000000-0005-0000-0000-00001C000000}"/>
    <cellStyle name="12 33 2" xfId="3726" xr:uid="{69669E21-D44C-408B-B7FC-0654CB6FAE45}"/>
    <cellStyle name="12 34" xfId="279" xr:uid="{00000000-0005-0000-0000-00001D000000}"/>
    <cellStyle name="12 34 2" xfId="3727" xr:uid="{3738FF8C-BE4B-466A-AF9A-7E2B3F2D0C95}"/>
    <cellStyle name="12 35" xfId="280" xr:uid="{00000000-0005-0000-0000-00001E000000}"/>
    <cellStyle name="12 35 2" xfId="3728" xr:uid="{B5006558-4F32-46BB-82A7-C42B35505515}"/>
    <cellStyle name="12 36" xfId="281" xr:uid="{00000000-0005-0000-0000-00001F000000}"/>
    <cellStyle name="12 36 2" xfId="3729" xr:uid="{EE0DB23D-A286-4DAC-95A9-30840D20E238}"/>
    <cellStyle name="12 37" xfId="282" xr:uid="{00000000-0005-0000-0000-000020000000}"/>
    <cellStyle name="12 37 2" xfId="3730" xr:uid="{4B26A909-D9C7-4255-A308-59AF2DB8CE77}"/>
    <cellStyle name="12 38" xfId="283" xr:uid="{00000000-0005-0000-0000-000021000000}"/>
    <cellStyle name="12 38 2" xfId="2974" xr:uid="{00000000-0005-0000-0000-000022000000}"/>
    <cellStyle name="12 38 2 2" xfId="3731" xr:uid="{F4E1D169-D991-4202-9C42-9BEA271B8598}"/>
    <cellStyle name="12 38 3" xfId="3587" xr:uid="{9B8AA27B-02EC-4C18-A056-F4CE7125A3FF}"/>
    <cellStyle name="12 39" xfId="3668" xr:uid="{7E240C1A-D740-46DF-927F-F9A49DBF782C}"/>
    <cellStyle name="12 4" xfId="37" xr:uid="{00000000-0005-0000-0000-000022000000}"/>
    <cellStyle name="12 4 2" xfId="3684" xr:uid="{52583548-8B37-46D3-BC80-2C738A407450}"/>
    <cellStyle name="12 5" xfId="38" xr:uid="{00000000-0005-0000-0000-000023000000}"/>
    <cellStyle name="12 5 2" xfId="3685" xr:uid="{564729ED-5C74-4595-899C-90D5B1BE989D}"/>
    <cellStyle name="12 6" xfId="39" xr:uid="{00000000-0005-0000-0000-000024000000}"/>
    <cellStyle name="12 6 2" xfId="3686" xr:uid="{D8F76526-0123-48F8-990C-33393DC23E98}"/>
    <cellStyle name="12 7" xfId="40" xr:uid="{00000000-0005-0000-0000-000025000000}"/>
    <cellStyle name="12 7 2" xfId="3687" xr:uid="{D9844959-5A8A-44A6-BACC-BC254FF54275}"/>
    <cellStyle name="12 8" xfId="41" xr:uid="{00000000-0005-0000-0000-000026000000}"/>
    <cellStyle name="12 8 2" xfId="3688" xr:uid="{85DF5E44-DC3B-4FA8-932D-F2A1F3507E1F}"/>
    <cellStyle name="12 9" xfId="44" xr:uid="{00000000-0005-0000-0000-000027000000}"/>
    <cellStyle name="12 9 2" xfId="285" xr:uid="{00000000-0005-0000-0000-000028000000}"/>
    <cellStyle name="12 9 2 2" xfId="2975" xr:uid="{00000000-0005-0000-0000-00002A000000}"/>
    <cellStyle name="12 9 2 2 2" xfId="3733" xr:uid="{8DEAE475-A9A2-4C07-B938-FD2D8C39364E}"/>
    <cellStyle name="12 9 2 3" xfId="3588" xr:uid="{61FD8ED9-EB1A-486F-A59C-E7CE86C7C8DD}"/>
    <cellStyle name="12 9 3" xfId="284" xr:uid="{00000000-0005-0000-0000-000029000000}"/>
    <cellStyle name="12 9 3 2" xfId="3732" xr:uid="{BEE9A046-12B2-46D5-BD35-4184B95BF33F}"/>
    <cellStyle name="12 9 4" xfId="2963" xr:uid="{00000000-0005-0000-0000-00002C000000}"/>
    <cellStyle name="12 9 4 2" xfId="3689" xr:uid="{BE688AF9-A98F-436C-864D-8CC2E7796D5A}"/>
    <cellStyle name="2" xfId="42" xr:uid="{00000000-0005-0000-0000-00002A000000}"/>
    <cellStyle name="2 2" xfId="5245" xr:uid="{CAC3BAC6-9AFD-4A4F-938D-38D61D5A412E}"/>
    <cellStyle name="2 3" xfId="3505" xr:uid="{E8A8B3DC-D0F4-4959-9235-3FF9C41B3AC6}"/>
    <cellStyle name="20% - Accent1 10 2" xfId="286" xr:uid="{00000000-0005-0000-0000-00002B000000}"/>
    <cellStyle name="20% - Accent1 10 3" xfId="287" xr:uid="{00000000-0005-0000-0000-00002C000000}"/>
    <cellStyle name="20% - Accent1 10 4" xfId="288" xr:uid="{00000000-0005-0000-0000-00002D000000}"/>
    <cellStyle name="20% - Accent1 10 5" xfId="289" xr:uid="{00000000-0005-0000-0000-00002E000000}"/>
    <cellStyle name="20% - Accent1 10 6" xfId="290" xr:uid="{00000000-0005-0000-0000-00002F000000}"/>
    <cellStyle name="20% - Accent1 11 2" xfId="291" xr:uid="{00000000-0005-0000-0000-000030000000}"/>
    <cellStyle name="20% - Accent1 11 3" xfId="292" xr:uid="{00000000-0005-0000-0000-000031000000}"/>
    <cellStyle name="20% - Accent1 11 4" xfId="293" xr:uid="{00000000-0005-0000-0000-000032000000}"/>
    <cellStyle name="20% - Accent1 11 5" xfId="294" xr:uid="{00000000-0005-0000-0000-000033000000}"/>
    <cellStyle name="20% - Accent1 11 6" xfId="295" xr:uid="{00000000-0005-0000-0000-000034000000}"/>
    <cellStyle name="20% - Accent1 2" xfId="296" xr:uid="{00000000-0005-0000-0000-000035000000}"/>
    <cellStyle name="20% - Accent1 2 2" xfId="297" xr:uid="{00000000-0005-0000-0000-000036000000}"/>
    <cellStyle name="20% - Accent1 2 3" xfId="298" xr:uid="{00000000-0005-0000-0000-000037000000}"/>
    <cellStyle name="20% - Accent1 2 4" xfId="299" xr:uid="{00000000-0005-0000-0000-000038000000}"/>
    <cellStyle name="20% - Accent1 2 5" xfId="300" xr:uid="{00000000-0005-0000-0000-000039000000}"/>
    <cellStyle name="20% - Accent1 2 6" xfId="301" xr:uid="{00000000-0005-0000-0000-00003A000000}"/>
    <cellStyle name="20% - Accent1 2 7" xfId="4052" xr:uid="{D45BE454-8D34-49EC-AA39-7811E94F8574}"/>
    <cellStyle name="20% - Accent1 3" xfId="302" xr:uid="{00000000-0005-0000-0000-00003B000000}"/>
    <cellStyle name="20% - Accent1 3 2" xfId="303" xr:uid="{00000000-0005-0000-0000-00003C000000}"/>
    <cellStyle name="20% - Accent1 3 3" xfId="304" xr:uid="{00000000-0005-0000-0000-00003D000000}"/>
    <cellStyle name="20% - Accent1 3 4" xfId="305" xr:uid="{00000000-0005-0000-0000-00003E000000}"/>
    <cellStyle name="20% - Accent1 3 5" xfId="306" xr:uid="{00000000-0005-0000-0000-00003F000000}"/>
    <cellStyle name="20% - Accent1 3 6" xfId="307" xr:uid="{00000000-0005-0000-0000-000040000000}"/>
    <cellStyle name="20% - Accent1 4 2" xfId="308" xr:uid="{00000000-0005-0000-0000-000041000000}"/>
    <cellStyle name="20% - Accent1 4 3" xfId="309" xr:uid="{00000000-0005-0000-0000-000042000000}"/>
    <cellStyle name="20% - Accent1 4 4" xfId="310" xr:uid="{00000000-0005-0000-0000-000043000000}"/>
    <cellStyle name="20% - Accent1 4 5" xfId="311" xr:uid="{00000000-0005-0000-0000-000044000000}"/>
    <cellStyle name="20% - Accent1 4 6" xfId="312" xr:uid="{00000000-0005-0000-0000-000045000000}"/>
    <cellStyle name="20% - Accent1 5 2" xfId="313" xr:uid="{00000000-0005-0000-0000-000046000000}"/>
    <cellStyle name="20% - Accent1 5 3" xfId="314" xr:uid="{00000000-0005-0000-0000-000047000000}"/>
    <cellStyle name="20% - Accent1 5 4" xfId="315" xr:uid="{00000000-0005-0000-0000-000048000000}"/>
    <cellStyle name="20% - Accent1 5 5" xfId="316" xr:uid="{00000000-0005-0000-0000-000049000000}"/>
    <cellStyle name="20% - Accent1 5 6" xfId="317" xr:uid="{00000000-0005-0000-0000-00004A000000}"/>
    <cellStyle name="20% - Accent1 6 2" xfId="318" xr:uid="{00000000-0005-0000-0000-00004B000000}"/>
    <cellStyle name="20% - Accent1 6 3" xfId="319" xr:uid="{00000000-0005-0000-0000-00004C000000}"/>
    <cellStyle name="20% - Accent1 6 4" xfId="320" xr:uid="{00000000-0005-0000-0000-00004D000000}"/>
    <cellStyle name="20% - Accent1 6 5" xfId="321" xr:uid="{00000000-0005-0000-0000-00004E000000}"/>
    <cellStyle name="20% - Accent1 6 6" xfId="322" xr:uid="{00000000-0005-0000-0000-00004F000000}"/>
    <cellStyle name="20% - Accent1 7 2" xfId="323" xr:uid="{00000000-0005-0000-0000-000050000000}"/>
    <cellStyle name="20% - Accent1 7 3" xfId="324" xr:uid="{00000000-0005-0000-0000-000051000000}"/>
    <cellStyle name="20% - Accent1 7 4" xfId="325" xr:uid="{00000000-0005-0000-0000-000052000000}"/>
    <cellStyle name="20% - Accent1 7 5" xfId="326" xr:uid="{00000000-0005-0000-0000-000053000000}"/>
    <cellStyle name="20% - Accent1 7 6" xfId="327" xr:uid="{00000000-0005-0000-0000-000054000000}"/>
    <cellStyle name="20% - Accent1 8 2" xfId="328" xr:uid="{00000000-0005-0000-0000-000055000000}"/>
    <cellStyle name="20% - Accent1 8 3" xfId="329" xr:uid="{00000000-0005-0000-0000-000056000000}"/>
    <cellStyle name="20% - Accent1 8 4" xfId="330" xr:uid="{00000000-0005-0000-0000-000057000000}"/>
    <cellStyle name="20% - Accent1 8 5" xfId="331" xr:uid="{00000000-0005-0000-0000-000058000000}"/>
    <cellStyle name="20% - Accent1 8 6" xfId="332" xr:uid="{00000000-0005-0000-0000-000059000000}"/>
    <cellStyle name="20% - Accent1 9 2" xfId="333" xr:uid="{00000000-0005-0000-0000-00005A000000}"/>
    <cellStyle name="20% - Accent1 9 3" xfId="334" xr:uid="{00000000-0005-0000-0000-00005B000000}"/>
    <cellStyle name="20% - Accent1 9 4" xfId="335" xr:uid="{00000000-0005-0000-0000-00005C000000}"/>
    <cellStyle name="20% - Accent1 9 5" xfId="336" xr:uid="{00000000-0005-0000-0000-00005D000000}"/>
    <cellStyle name="20% - Accent1 9 6" xfId="337" xr:uid="{00000000-0005-0000-0000-00005E000000}"/>
    <cellStyle name="20% - Accent2 10 2" xfId="338" xr:uid="{00000000-0005-0000-0000-00005F000000}"/>
    <cellStyle name="20% - Accent2 10 3" xfId="339" xr:uid="{00000000-0005-0000-0000-000060000000}"/>
    <cellStyle name="20% - Accent2 10 4" xfId="340" xr:uid="{00000000-0005-0000-0000-000061000000}"/>
    <cellStyle name="20% - Accent2 10 5" xfId="341" xr:uid="{00000000-0005-0000-0000-000062000000}"/>
    <cellStyle name="20% - Accent2 10 6" xfId="342" xr:uid="{00000000-0005-0000-0000-000063000000}"/>
    <cellStyle name="20% - Accent2 11 2" xfId="343" xr:uid="{00000000-0005-0000-0000-000064000000}"/>
    <cellStyle name="20% - Accent2 11 3" xfId="344" xr:uid="{00000000-0005-0000-0000-000065000000}"/>
    <cellStyle name="20% - Accent2 11 4" xfId="345" xr:uid="{00000000-0005-0000-0000-000066000000}"/>
    <cellStyle name="20% - Accent2 11 5" xfId="346" xr:uid="{00000000-0005-0000-0000-000067000000}"/>
    <cellStyle name="20% - Accent2 11 6" xfId="347" xr:uid="{00000000-0005-0000-0000-000068000000}"/>
    <cellStyle name="20% - Accent2 2" xfId="348" xr:uid="{00000000-0005-0000-0000-000069000000}"/>
    <cellStyle name="20% - Accent2 2 2" xfId="349" xr:uid="{00000000-0005-0000-0000-00006A000000}"/>
    <cellStyle name="20% - Accent2 2 3" xfId="350" xr:uid="{00000000-0005-0000-0000-00006B000000}"/>
    <cellStyle name="20% - Accent2 2 4" xfId="351" xr:uid="{00000000-0005-0000-0000-00006C000000}"/>
    <cellStyle name="20% - Accent2 2 5" xfId="352" xr:uid="{00000000-0005-0000-0000-00006D000000}"/>
    <cellStyle name="20% - Accent2 2 6" xfId="353" xr:uid="{00000000-0005-0000-0000-00006E000000}"/>
    <cellStyle name="20% - Accent2 2 7" xfId="4260" xr:uid="{10BED034-CE54-49D5-AFFC-E14767FC98A6}"/>
    <cellStyle name="20% - Accent2 3" xfId="354" xr:uid="{00000000-0005-0000-0000-00006F000000}"/>
    <cellStyle name="20% - Accent2 3 2" xfId="355" xr:uid="{00000000-0005-0000-0000-000070000000}"/>
    <cellStyle name="20% - Accent2 3 3" xfId="356" xr:uid="{00000000-0005-0000-0000-000071000000}"/>
    <cellStyle name="20% - Accent2 3 4" xfId="357" xr:uid="{00000000-0005-0000-0000-000072000000}"/>
    <cellStyle name="20% - Accent2 3 5" xfId="358" xr:uid="{00000000-0005-0000-0000-000073000000}"/>
    <cellStyle name="20% - Accent2 3 6" xfId="359" xr:uid="{00000000-0005-0000-0000-000074000000}"/>
    <cellStyle name="20% - Accent2 4 2" xfId="360" xr:uid="{00000000-0005-0000-0000-000075000000}"/>
    <cellStyle name="20% - Accent2 4 3" xfId="361" xr:uid="{00000000-0005-0000-0000-000076000000}"/>
    <cellStyle name="20% - Accent2 4 4" xfId="362" xr:uid="{00000000-0005-0000-0000-000077000000}"/>
    <cellStyle name="20% - Accent2 4 5" xfId="363" xr:uid="{00000000-0005-0000-0000-000078000000}"/>
    <cellStyle name="20% - Accent2 4 6" xfId="364" xr:uid="{00000000-0005-0000-0000-000079000000}"/>
    <cellStyle name="20% - Accent2 5 2" xfId="365" xr:uid="{00000000-0005-0000-0000-00007A000000}"/>
    <cellStyle name="20% - Accent2 5 3" xfId="366" xr:uid="{00000000-0005-0000-0000-00007B000000}"/>
    <cellStyle name="20% - Accent2 5 4" xfId="367" xr:uid="{00000000-0005-0000-0000-00007C000000}"/>
    <cellStyle name="20% - Accent2 5 5" xfId="368" xr:uid="{00000000-0005-0000-0000-00007D000000}"/>
    <cellStyle name="20% - Accent2 5 6" xfId="369" xr:uid="{00000000-0005-0000-0000-00007E000000}"/>
    <cellStyle name="20% - Accent2 6 2" xfId="370" xr:uid="{00000000-0005-0000-0000-00007F000000}"/>
    <cellStyle name="20% - Accent2 6 3" xfId="371" xr:uid="{00000000-0005-0000-0000-000080000000}"/>
    <cellStyle name="20% - Accent2 6 4" xfId="372" xr:uid="{00000000-0005-0000-0000-000081000000}"/>
    <cellStyle name="20% - Accent2 6 5" xfId="373" xr:uid="{00000000-0005-0000-0000-000082000000}"/>
    <cellStyle name="20% - Accent2 6 6" xfId="374" xr:uid="{00000000-0005-0000-0000-000083000000}"/>
    <cellStyle name="20% - Accent2 7 2" xfId="375" xr:uid="{00000000-0005-0000-0000-000084000000}"/>
    <cellStyle name="20% - Accent2 7 3" xfId="376" xr:uid="{00000000-0005-0000-0000-000085000000}"/>
    <cellStyle name="20% - Accent2 7 4" xfId="377" xr:uid="{00000000-0005-0000-0000-000086000000}"/>
    <cellStyle name="20% - Accent2 7 5" xfId="378" xr:uid="{00000000-0005-0000-0000-000087000000}"/>
    <cellStyle name="20% - Accent2 7 6" xfId="379" xr:uid="{00000000-0005-0000-0000-000088000000}"/>
    <cellStyle name="20% - Accent2 8 2" xfId="380" xr:uid="{00000000-0005-0000-0000-000089000000}"/>
    <cellStyle name="20% - Accent2 8 3" xfId="381" xr:uid="{00000000-0005-0000-0000-00008A000000}"/>
    <cellStyle name="20% - Accent2 8 4" xfId="382" xr:uid="{00000000-0005-0000-0000-00008B000000}"/>
    <cellStyle name="20% - Accent2 8 5" xfId="383" xr:uid="{00000000-0005-0000-0000-00008C000000}"/>
    <cellStyle name="20% - Accent2 8 6" xfId="384" xr:uid="{00000000-0005-0000-0000-00008D000000}"/>
    <cellStyle name="20% - Accent2 9 2" xfId="385" xr:uid="{00000000-0005-0000-0000-00008E000000}"/>
    <cellStyle name="20% - Accent2 9 3" xfId="386" xr:uid="{00000000-0005-0000-0000-00008F000000}"/>
    <cellStyle name="20% - Accent2 9 4" xfId="387" xr:uid="{00000000-0005-0000-0000-000090000000}"/>
    <cellStyle name="20% - Accent2 9 5" xfId="388" xr:uid="{00000000-0005-0000-0000-000091000000}"/>
    <cellStyle name="20% - Accent2 9 6" xfId="389" xr:uid="{00000000-0005-0000-0000-000092000000}"/>
    <cellStyle name="20% - Accent3 10 2" xfId="390" xr:uid="{00000000-0005-0000-0000-000093000000}"/>
    <cellStyle name="20% - Accent3 10 3" xfId="391" xr:uid="{00000000-0005-0000-0000-000094000000}"/>
    <cellStyle name="20% - Accent3 10 4" xfId="392" xr:uid="{00000000-0005-0000-0000-000095000000}"/>
    <cellStyle name="20% - Accent3 10 5" xfId="393" xr:uid="{00000000-0005-0000-0000-000096000000}"/>
    <cellStyle name="20% - Accent3 10 6" xfId="394" xr:uid="{00000000-0005-0000-0000-000097000000}"/>
    <cellStyle name="20% - Accent3 11 2" xfId="395" xr:uid="{00000000-0005-0000-0000-000098000000}"/>
    <cellStyle name="20% - Accent3 11 3" xfId="396" xr:uid="{00000000-0005-0000-0000-000099000000}"/>
    <cellStyle name="20% - Accent3 11 4" xfId="397" xr:uid="{00000000-0005-0000-0000-00009A000000}"/>
    <cellStyle name="20% - Accent3 11 5" xfId="398" xr:uid="{00000000-0005-0000-0000-00009B000000}"/>
    <cellStyle name="20% - Accent3 11 6" xfId="399" xr:uid="{00000000-0005-0000-0000-00009C000000}"/>
    <cellStyle name="20% - Accent3 2" xfId="400" xr:uid="{00000000-0005-0000-0000-00009D000000}"/>
    <cellStyle name="20% - Accent3 2 2" xfId="401" xr:uid="{00000000-0005-0000-0000-00009E000000}"/>
    <cellStyle name="20% - Accent3 2 3" xfId="402" xr:uid="{00000000-0005-0000-0000-00009F000000}"/>
    <cellStyle name="20% - Accent3 2 4" xfId="403" xr:uid="{00000000-0005-0000-0000-0000A0000000}"/>
    <cellStyle name="20% - Accent3 2 5" xfId="404" xr:uid="{00000000-0005-0000-0000-0000A1000000}"/>
    <cellStyle name="20% - Accent3 2 6" xfId="405" xr:uid="{00000000-0005-0000-0000-0000A2000000}"/>
    <cellStyle name="20% - Accent3 2 7" xfId="4259" xr:uid="{7A19DDA0-99E1-4C4C-9914-7E0699EFF492}"/>
    <cellStyle name="20% - Accent3 3" xfId="406" xr:uid="{00000000-0005-0000-0000-0000A3000000}"/>
    <cellStyle name="20% - Accent3 3 2" xfId="407" xr:uid="{00000000-0005-0000-0000-0000A4000000}"/>
    <cellStyle name="20% - Accent3 3 3" xfId="408" xr:uid="{00000000-0005-0000-0000-0000A5000000}"/>
    <cellStyle name="20% - Accent3 3 4" xfId="409" xr:uid="{00000000-0005-0000-0000-0000A6000000}"/>
    <cellStyle name="20% - Accent3 3 5" xfId="410" xr:uid="{00000000-0005-0000-0000-0000A7000000}"/>
    <cellStyle name="20% - Accent3 3 6" xfId="411" xr:uid="{00000000-0005-0000-0000-0000A8000000}"/>
    <cellStyle name="20% - Accent3 4 2" xfId="412" xr:uid="{00000000-0005-0000-0000-0000A9000000}"/>
    <cellStyle name="20% - Accent3 4 3" xfId="413" xr:uid="{00000000-0005-0000-0000-0000AA000000}"/>
    <cellStyle name="20% - Accent3 4 4" xfId="414" xr:uid="{00000000-0005-0000-0000-0000AB000000}"/>
    <cellStyle name="20% - Accent3 4 5" xfId="415" xr:uid="{00000000-0005-0000-0000-0000AC000000}"/>
    <cellStyle name="20% - Accent3 4 6" xfId="416" xr:uid="{00000000-0005-0000-0000-0000AD000000}"/>
    <cellStyle name="20% - Accent3 5 2" xfId="417" xr:uid="{00000000-0005-0000-0000-0000AE000000}"/>
    <cellStyle name="20% - Accent3 5 3" xfId="418" xr:uid="{00000000-0005-0000-0000-0000AF000000}"/>
    <cellStyle name="20% - Accent3 5 4" xfId="419" xr:uid="{00000000-0005-0000-0000-0000B0000000}"/>
    <cellStyle name="20% - Accent3 5 5" xfId="420" xr:uid="{00000000-0005-0000-0000-0000B1000000}"/>
    <cellStyle name="20% - Accent3 5 6" xfId="421" xr:uid="{00000000-0005-0000-0000-0000B2000000}"/>
    <cellStyle name="20% - Accent3 6 2" xfId="422" xr:uid="{00000000-0005-0000-0000-0000B3000000}"/>
    <cellStyle name="20% - Accent3 6 3" xfId="423" xr:uid="{00000000-0005-0000-0000-0000B4000000}"/>
    <cellStyle name="20% - Accent3 6 4" xfId="424" xr:uid="{00000000-0005-0000-0000-0000B5000000}"/>
    <cellStyle name="20% - Accent3 6 5" xfId="425" xr:uid="{00000000-0005-0000-0000-0000B6000000}"/>
    <cellStyle name="20% - Accent3 6 6" xfId="426" xr:uid="{00000000-0005-0000-0000-0000B7000000}"/>
    <cellStyle name="20% - Accent3 7 2" xfId="427" xr:uid="{00000000-0005-0000-0000-0000B8000000}"/>
    <cellStyle name="20% - Accent3 7 3" xfId="428" xr:uid="{00000000-0005-0000-0000-0000B9000000}"/>
    <cellStyle name="20% - Accent3 7 4" xfId="429" xr:uid="{00000000-0005-0000-0000-0000BA000000}"/>
    <cellStyle name="20% - Accent3 7 5" xfId="430" xr:uid="{00000000-0005-0000-0000-0000BB000000}"/>
    <cellStyle name="20% - Accent3 7 6" xfId="431" xr:uid="{00000000-0005-0000-0000-0000BC000000}"/>
    <cellStyle name="20% - Accent3 8 2" xfId="432" xr:uid="{00000000-0005-0000-0000-0000BD000000}"/>
    <cellStyle name="20% - Accent3 8 3" xfId="433" xr:uid="{00000000-0005-0000-0000-0000BE000000}"/>
    <cellStyle name="20% - Accent3 8 4" xfId="434" xr:uid="{00000000-0005-0000-0000-0000BF000000}"/>
    <cellStyle name="20% - Accent3 8 5" xfId="435" xr:uid="{00000000-0005-0000-0000-0000C0000000}"/>
    <cellStyle name="20% - Accent3 8 6" xfId="436" xr:uid="{00000000-0005-0000-0000-0000C1000000}"/>
    <cellStyle name="20% - Accent3 9 2" xfId="437" xr:uid="{00000000-0005-0000-0000-0000C2000000}"/>
    <cellStyle name="20% - Accent3 9 3" xfId="438" xr:uid="{00000000-0005-0000-0000-0000C3000000}"/>
    <cellStyle name="20% - Accent3 9 4" xfId="439" xr:uid="{00000000-0005-0000-0000-0000C4000000}"/>
    <cellStyle name="20% - Accent3 9 5" xfId="440" xr:uid="{00000000-0005-0000-0000-0000C5000000}"/>
    <cellStyle name="20% - Accent3 9 6" xfId="441" xr:uid="{00000000-0005-0000-0000-0000C6000000}"/>
    <cellStyle name="20% - Accent4 10 2" xfId="442" xr:uid="{00000000-0005-0000-0000-0000C7000000}"/>
    <cellStyle name="20% - Accent4 10 3" xfId="443" xr:uid="{00000000-0005-0000-0000-0000C8000000}"/>
    <cellStyle name="20% - Accent4 10 4" xfId="444" xr:uid="{00000000-0005-0000-0000-0000C9000000}"/>
    <cellStyle name="20% - Accent4 10 5" xfId="445" xr:uid="{00000000-0005-0000-0000-0000CA000000}"/>
    <cellStyle name="20% - Accent4 10 6" xfId="446" xr:uid="{00000000-0005-0000-0000-0000CB000000}"/>
    <cellStyle name="20% - Accent4 11 2" xfId="447" xr:uid="{00000000-0005-0000-0000-0000CC000000}"/>
    <cellStyle name="20% - Accent4 11 3" xfId="448" xr:uid="{00000000-0005-0000-0000-0000CD000000}"/>
    <cellStyle name="20% - Accent4 11 4" xfId="449" xr:uid="{00000000-0005-0000-0000-0000CE000000}"/>
    <cellStyle name="20% - Accent4 11 5" xfId="450" xr:uid="{00000000-0005-0000-0000-0000CF000000}"/>
    <cellStyle name="20% - Accent4 11 6" xfId="451" xr:uid="{00000000-0005-0000-0000-0000D0000000}"/>
    <cellStyle name="20% - Accent4 2" xfId="452" xr:uid="{00000000-0005-0000-0000-0000D1000000}"/>
    <cellStyle name="20% - Accent4 2 2" xfId="453" xr:uid="{00000000-0005-0000-0000-0000D2000000}"/>
    <cellStyle name="20% - Accent4 2 3" xfId="454" xr:uid="{00000000-0005-0000-0000-0000D3000000}"/>
    <cellStyle name="20% - Accent4 2 4" xfId="455" xr:uid="{00000000-0005-0000-0000-0000D4000000}"/>
    <cellStyle name="20% - Accent4 2 5" xfId="456" xr:uid="{00000000-0005-0000-0000-0000D5000000}"/>
    <cellStyle name="20% - Accent4 2 6" xfId="457" xr:uid="{00000000-0005-0000-0000-0000D6000000}"/>
    <cellStyle name="20% - Accent4 2 7" xfId="4051" xr:uid="{D91DC356-E40B-4649-9895-F3BFA804891C}"/>
    <cellStyle name="20% - Accent4 3" xfId="458" xr:uid="{00000000-0005-0000-0000-0000D7000000}"/>
    <cellStyle name="20% - Accent4 3 2" xfId="459" xr:uid="{00000000-0005-0000-0000-0000D8000000}"/>
    <cellStyle name="20% - Accent4 3 3" xfId="460" xr:uid="{00000000-0005-0000-0000-0000D9000000}"/>
    <cellStyle name="20% - Accent4 3 4" xfId="461" xr:uid="{00000000-0005-0000-0000-0000DA000000}"/>
    <cellStyle name="20% - Accent4 3 5" xfId="462" xr:uid="{00000000-0005-0000-0000-0000DB000000}"/>
    <cellStyle name="20% - Accent4 3 6" xfId="463" xr:uid="{00000000-0005-0000-0000-0000DC000000}"/>
    <cellStyle name="20% - Accent4 4 2" xfId="464" xr:uid="{00000000-0005-0000-0000-0000DD000000}"/>
    <cellStyle name="20% - Accent4 4 3" xfId="465" xr:uid="{00000000-0005-0000-0000-0000DE000000}"/>
    <cellStyle name="20% - Accent4 4 4" xfId="466" xr:uid="{00000000-0005-0000-0000-0000DF000000}"/>
    <cellStyle name="20% - Accent4 4 5" xfId="467" xr:uid="{00000000-0005-0000-0000-0000E0000000}"/>
    <cellStyle name="20% - Accent4 4 6" xfId="468" xr:uid="{00000000-0005-0000-0000-0000E1000000}"/>
    <cellStyle name="20% - Accent4 5 2" xfId="469" xr:uid="{00000000-0005-0000-0000-0000E2000000}"/>
    <cellStyle name="20% - Accent4 5 3" xfId="470" xr:uid="{00000000-0005-0000-0000-0000E3000000}"/>
    <cellStyle name="20% - Accent4 5 4" xfId="471" xr:uid="{00000000-0005-0000-0000-0000E4000000}"/>
    <cellStyle name="20% - Accent4 5 5" xfId="472" xr:uid="{00000000-0005-0000-0000-0000E5000000}"/>
    <cellStyle name="20% - Accent4 5 6" xfId="473" xr:uid="{00000000-0005-0000-0000-0000E6000000}"/>
    <cellStyle name="20% - Accent4 6 2" xfId="474" xr:uid="{00000000-0005-0000-0000-0000E7000000}"/>
    <cellStyle name="20% - Accent4 6 3" xfId="475" xr:uid="{00000000-0005-0000-0000-0000E8000000}"/>
    <cellStyle name="20% - Accent4 6 4" xfId="476" xr:uid="{00000000-0005-0000-0000-0000E9000000}"/>
    <cellStyle name="20% - Accent4 6 5" xfId="477" xr:uid="{00000000-0005-0000-0000-0000EA000000}"/>
    <cellStyle name="20% - Accent4 6 6" xfId="478" xr:uid="{00000000-0005-0000-0000-0000EB000000}"/>
    <cellStyle name="20% - Accent4 7 2" xfId="479" xr:uid="{00000000-0005-0000-0000-0000EC000000}"/>
    <cellStyle name="20% - Accent4 7 3" xfId="480" xr:uid="{00000000-0005-0000-0000-0000ED000000}"/>
    <cellStyle name="20% - Accent4 7 4" xfId="481" xr:uid="{00000000-0005-0000-0000-0000EE000000}"/>
    <cellStyle name="20% - Accent4 7 5" xfId="482" xr:uid="{00000000-0005-0000-0000-0000EF000000}"/>
    <cellStyle name="20% - Accent4 7 6" xfId="483" xr:uid="{00000000-0005-0000-0000-0000F0000000}"/>
    <cellStyle name="20% - Accent4 8 2" xfId="484" xr:uid="{00000000-0005-0000-0000-0000F1000000}"/>
    <cellStyle name="20% - Accent4 8 3" xfId="485" xr:uid="{00000000-0005-0000-0000-0000F2000000}"/>
    <cellStyle name="20% - Accent4 8 4" xfId="486" xr:uid="{00000000-0005-0000-0000-0000F3000000}"/>
    <cellStyle name="20% - Accent4 8 5" xfId="487" xr:uid="{00000000-0005-0000-0000-0000F4000000}"/>
    <cellStyle name="20% - Accent4 8 6" xfId="488" xr:uid="{00000000-0005-0000-0000-0000F5000000}"/>
    <cellStyle name="20% - Accent4 9 2" xfId="489" xr:uid="{00000000-0005-0000-0000-0000F6000000}"/>
    <cellStyle name="20% - Accent4 9 3" xfId="490" xr:uid="{00000000-0005-0000-0000-0000F7000000}"/>
    <cellStyle name="20% - Accent4 9 4" xfId="491" xr:uid="{00000000-0005-0000-0000-0000F8000000}"/>
    <cellStyle name="20% - Accent4 9 5" xfId="492" xr:uid="{00000000-0005-0000-0000-0000F9000000}"/>
    <cellStyle name="20% - Accent4 9 6" xfId="493" xr:uid="{00000000-0005-0000-0000-0000FA000000}"/>
    <cellStyle name="20% - Accent5 10 2" xfId="494" xr:uid="{00000000-0005-0000-0000-0000FB000000}"/>
    <cellStyle name="20% - Accent5 10 3" xfId="495" xr:uid="{00000000-0005-0000-0000-0000FC000000}"/>
    <cellStyle name="20% - Accent5 10 4" xfId="496" xr:uid="{00000000-0005-0000-0000-0000FD000000}"/>
    <cellStyle name="20% - Accent5 10 5" xfId="497" xr:uid="{00000000-0005-0000-0000-0000FE000000}"/>
    <cellStyle name="20% - Accent5 10 6" xfId="498" xr:uid="{00000000-0005-0000-0000-0000FF000000}"/>
    <cellStyle name="20% - Accent5 11 2" xfId="499" xr:uid="{00000000-0005-0000-0000-000000010000}"/>
    <cellStyle name="20% - Accent5 11 3" xfId="500" xr:uid="{00000000-0005-0000-0000-000001010000}"/>
    <cellStyle name="20% - Accent5 11 4" xfId="501" xr:uid="{00000000-0005-0000-0000-000002010000}"/>
    <cellStyle name="20% - Accent5 11 5" xfId="502" xr:uid="{00000000-0005-0000-0000-000003010000}"/>
    <cellStyle name="20% - Accent5 11 6" xfId="503" xr:uid="{00000000-0005-0000-0000-000004010000}"/>
    <cellStyle name="20% - Accent5 2" xfId="504" xr:uid="{00000000-0005-0000-0000-000005010000}"/>
    <cellStyle name="20% - Accent5 2 2" xfId="505" xr:uid="{00000000-0005-0000-0000-000006010000}"/>
    <cellStyle name="20% - Accent5 2 3" xfId="506" xr:uid="{00000000-0005-0000-0000-000007010000}"/>
    <cellStyle name="20% - Accent5 2 4" xfId="507" xr:uid="{00000000-0005-0000-0000-000008010000}"/>
    <cellStyle name="20% - Accent5 2 5" xfId="508" xr:uid="{00000000-0005-0000-0000-000009010000}"/>
    <cellStyle name="20% - Accent5 2 6" xfId="509" xr:uid="{00000000-0005-0000-0000-00000A010000}"/>
    <cellStyle name="20% - Accent5 2 7" xfId="4258" xr:uid="{3B311CC7-6509-4180-BF58-2FE0E78DA381}"/>
    <cellStyle name="20% - Accent5 3" xfId="510" xr:uid="{00000000-0005-0000-0000-00000B010000}"/>
    <cellStyle name="20% - Accent5 3 2" xfId="511" xr:uid="{00000000-0005-0000-0000-00000C010000}"/>
    <cellStyle name="20% - Accent5 3 3" xfId="512" xr:uid="{00000000-0005-0000-0000-00000D010000}"/>
    <cellStyle name="20% - Accent5 3 4" xfId="513" xr:uid="{00000000-0005-0000-0000-00000E010000}"/>
    <cellStyle name="20% - Accent5 3 5" xfId="514" xr:uid="{00000000-0005-0000-0000-00000F010000}"/>
    <cellStyle name="20% - Accent5 3 6" xfId="515" xr:uid="{00000000-0005-0000-0000-000010010000}"/>
    <cellStyle name="20% - Accent5 4 2" xfId="516" xr:uid="{00000000-0005-0000-0000-000011010000}"/>
    <cellStyle name="20% - Accent5 4 3" xfId="517" xr:uid="{00000000-0005-0000-0000-000012010000}"/>
    <cellStyle name="20% - Accent5 4 4" xfId="518" xr:uid="{00000000-0005-0000-0000-000013010000}"/>
    <cellStyle name="20% - Accent5 4 5" xfId="519" xr:uid="{00000000-0005-0000-0000-000014010000}"/>
    <cellStyle name="20% - Accent5 4 6" xfId="520" xr:uid="{00000000-0005-0000-0000-000015010000}"/>
    <cellStyle name="20% - Accent5 5 2" xfId="521" xr:uid="{00000000-0005-0000-0000-000016010000}"/>
    <cellStyle name="20% - Accent5 5 3" xfId="522" xr:uid="{00000000-0005-0000-0000-000017010000}"/>
    <cellStyle name="20% - Accent5 5 4" xfId="523" xr:uid="{00000000-0005-0000-0000-000018010000}"/>
    <cellStyle name="20% - Accent5 5 5" xfId="524" xr:uid="{00000000-0005-0000-0000-000019010000}"/>
    <cellStyle name="20% - Accent5 5 6" xfId="525" xr:uid="{00000000-0005-0000-0000-00001A010000}"/>
    <cellStyle name="20% - Accent5 6 2" xfId="526" xr:uid="{00000000-0005-0000-0000-00001B010000}"/>
    <cellStyle name="20% - Accent5 6 3" xfId="527" xr:uid="{00000000-0005-0000-0000-00001C010000}"/>
    <cellStyle name="20% - Accent5 6 4" xfId="528" xr:uid="{00000000-0005-0000-0000-00001D010000}"/>
    <cellStyle name="20% - Accent5 6 5" xfId="529" xr:uid="{00000000-0005-0000-0000-00001E010000}"/>
    <cellStyle name="20% - Accent5 6 6" xfId="530" xr:uid="{00000000-0005-0000-0000-00001F010000}"/>
    <cellStyle name="20% - Accent5 7 2" xfId="531" xr:uid="{00000000-0005-0000-0000-000020010000}"/>
    <cellStyle name="20% - Accent5 7 3" xfId="532" xr:uid="{00000000-0005-0000-0000-000021010000}"/>
    <cellStyle name="20% - Accent5 7 4" xfId="533" xr:uid="{00000000-0005-0000-0000-000022010000}"/>
    <cellStyle name="20% - Accent5 7 5" xfId="534" xr:uid="{00000000-0005-0000-0000-000023010000}"/>
    <cellStyle name="20% - Accent5 7 6" xfId="535" xr:uid="{00000000-0005-0000-0000-000024010000}"/>
    <cellStyle name="20% - Accent5 8 2" xfId="536" xr:uid="{00000000-0005-0000-0000-000025010000}"/>
    <cellStyle name="20% - Accent5 8 3" xfId="537" xr:uid="{00000000-0005-0000-0000-000026010000}"/>
    <cellStyle name="20% - Accent5 8 4" xfId="538" xr:uid="{00000000-0005-0000-0000-000027010000}"/>
    <cellStyle name="20% - Accent5 8 5" xfId="539" xr:uid="{00000000-0005-0000-0000-000028010000}"/>
    <cellStyle name="20% - Accent5 8 6" xfId="540" xr:uid="{00000000-0005-0000-0000-000029010000}"/>
    <cellStyle name="20% - Accent5 9 2" xfId="541" xr:uid="{00000000-0005-0000-0000-00002A010000}"/>
    <cellStyle name="20% - Accent5 9 3" xfId="542" xr:uid="{00000000-0005-0000-0000-00002B010000}"/>
    <cellStyle name="20% - Accent5 9 4" xfId="543" xr:uid="{00000000-0005-0000-0000-00002C010000}"/>
    <cellStyle name="20% - Accent5 9 5" xfId="544" xr:uid="{00000000-0005-0000-0000-00002D010000}"/>
    <cellStyle name="20% - Accent5 9 6" xfId="545" xr:uid="{00000000-0005-0000-0000-00002E010000}"/>
    <cellStyle name="20% - Accent6 10 2" xfId="546" xr:uid="{00000000-0005-0000-0000-00002F010000}"/>
    <cellStyle name="20% - Accent6 10 3" xfId="547" xr:uid="{00000000-0005-0000-0000-000030010000}"/>
    <cellStyle name="20% - Accent6 10 4" xfId="548" xr:uid="{00000000-0005-0000-0000-000031010000}"/>
    <cellStyle name="20% - Accent6 10 5" xfId="549" xr:uid="{00000000-0005-0000-0000-000032010000}"/>
    <cellStyle name="20% - Accent6 10 6" xfId="550" xr:uid="{00000000-0005-0000-0000-000033010000}"/>
    <cellStyle name="20% - Accent6 11 2" xfId="551" xr:uid="{00000000-0005-0000-0000-000034010000}"/>
    <cellStyle name="20% - Accent6 11 3" xfId="552" xr:uid="{00000000-0005-0000-0000-000035010000}"/>
    <cellStyle name="20% - Accent6 11 4" xfId="553" xr:uid="{00000000-0005-0000-0000-000036010000}"/>
    <cellStyle name="20% - Accent6 11 5" xfId="554" xr:uid="{00000000-0005-0000-0000-000037010000}"/>
    <cellStyle name="20% - Accent6 11 6" xfId="555" xr:uid="{00000000-0005-0000-0000-000038010000}"/>
    <cellStyle name="20% - Accent6 2" xfId="556" xr:uid="{00000000-0005-0000-0000-000039010000}"/>
    <cellStyle name="20% - Accent6 2 2" xfId="557" xr:uid="{00000000-0005-0000-0000-00003A010000}"/>
    <cellStyle name="20% - Accent6 2 3" xfId="558" xr:uid="{00000000-0005-0000-0000-00003B010000}"/>
    <cellStyle name="20% - Accent6 2 4" xfId="559" xr:uid="{00000000-0005-0000-0000-00003C010000}"/>
    <cellStyle name="20% - Accent6 2 5" xfId="560" xr:uid="{00000000-0005-0000-0000-00003D010000}"/>
    <cellStyle name="20% - Accent6 2 6" xfId="561" xr:uid="{00000000-0005-0000-0000-00003E010000}"/>
    <cellStyle name="20% - Accent6 2 7" xfId="4050" xr:uid="{71E725CC-2391-40C9-B31B-37CB9FD84BBB}"/>
    <cellStyle name="20% - Accent6 3" xfId="562" xr:uid="{00000000-0005-0000-0000-00003F010000}"/>
    <cellStyle name="20% - Accent6 3 2" xfId="563" xr:uid="{00000000-0005-0000-0000-000040010000}"/>
    <cellStyle name="20% - Accent6 3 3" xfId="564" xr:uid="{00000000-0005-0000-0000-000041010000}"/>
    <cellStyle name="20% - Accent6 3 4" xfId="565" xr:uid="{00000000-0005-0000-0000-000042010000}"/>
    <cellStyle name="20% - Accent6 3 5" xfId="566" xr:uid="{00000000-0005-0000-0000-000043010000}"/>
    <cellStyle name="20% - Accent6 3 6" xfId="567" xr:uid="{00000000-0005-0000-0000-000044010000}"/>
    <cellStyle name="20% - Accent6 4 2" xfId="568" xr:uid="{00000000-0005-0000-0000-000045010000}"/>
    <cellStyle name="20% - Accent6 4 3" xfId="569" xr:uid="{00000000-0005-0000-0000-000046010000}"/>
    <cellStyle name="20% - Accent6 4 4" xfId="570" xr:uid="{00000000-0005-0000-0000-000047010000}"/>
    <cellStyle name="20% - Accent6 4 5" xfId="571" xr:uid="{00000000-0005-0000-0000-000048010000}"/>
    <cellStyle name="20% - Accent6 4 6" xfId="572" xr:uid="{00000000-0005-0000-0000-000049010000}"/>
    <cellStyle name="20% - Accent6 5 2" xfId="573" xr:uid="{00000000-0005-0000-0000-00004A010000}"/>
    <cellStyle name="20% - Accent6 5 3" xfId="574" xr:uid="{00000000-0005-0000-0000-00004B010000}"/>
    <cellStyle name="20% - Accent6 5 4" xfId="575" xr:uid="{00000000-0005-0000-0000-00004C010000}"/>
    <cellStyle name="20% - Accent6 5 5" xfId="576" xr:uid="{00000000-0005-0000-0000-00004D010000}"/>
    <cellStyle name="20% - Accent6 5 6" xfId="577" xr:uid="{00000000-0005-0000-0000-00004E010000}"/>
    <cellStyle name="20% - Accent6 6 2" xfId="578" xr:uid="{00000000-0005-0000-0000-00004F010000}"/>
    <cellStyle name="20% - Accent6 6 3" xfId="579" xr:uid="{00000000-0005-0000-0000-000050010000}"/>
    <cellStyle name="20% - Accent6 6 4" xfId="580" xr:uid="{00000000-0005-0000-0000-000051010000}"/>
    <cellStyle name="20% - Accent6 6 5" xfId="581" xr:uid="{00000000-0005-0000-0000-000052010000}"/>
    <cellStyle name="20% - Accent6 6 6" xfId="582" xr:uid="{00000000-0005-0000-0000-000053010000}"/>
    <cellStyle name="20% - Accent6 7 2" xfId="583" xr:uid="{00000000-0005-0000-0000-000054010000}"/>
    <cellStyle name="20% - Accent6 7 3" xfId="584" xr:uid="{00000000-0005-0000-0000-000055010000}"/>
    <cellStyle name="20% - Accent6 7 4" xfId="585" xr:uid="{00000000-0005-0000-0000-000056010000}"/>
    <cellStyle name="20% - Accent6 7 5" xfId="586" xr:uid="{00000000-0005-0000-0000-000057010000}"/>
    <cellStyle name="20% - Accent6 7 6" xfId="587" xr:uid="{00000000-0005-0000-0000-000058010000}"/>
    <cellStyle name="20% - Accent6 8 2" xfId="588" xr:uid="{00000000-0005-0000-0000-000059010000}"/>
    <cellStyle name="20% - Accent6 8 3" xfId="589" xr:uid="{00000000-0005-0000-0000-00005A010000}"/>
    <cellStyle name="20% - Accent6 8 4" xfId="590" xr:uid="{00000000-0005-0000-0000-00005B010000}"/>
    <cellStyle name="20% - Accent6 8 5" xfId="591" xr:uid="{00000000-0005-0000-0000-00005C010000}"/>
    <cellStyle name="20% - Accent6 8 6" xfId="592" xr:uid="{00000000-0005-0000-0000-00005D010000}"/>
    <cellStyle name="20% - Accent6 9 2" xfId="593" xr:uid="{00000000-0005-0000-0000-00005E010000}"/>
    <cellStyle name="20% - Accent6 9 3" xfId="594" xr:uid="{00000000-0005-0000-0000-00005F010000}"/>
    <cellStyle name="20% - Accent6 9 4" xfId="595" xr:uid="{00000000-0005-0000-0000-000060010000}"/>
    <cellStyle name="20% - Accent6 9 5" xfId="596" xr:uid="{00000000-0005-0000-0000-000061010000}"/>
    <cellStyle name="20% - Accent6 9 6" xfId="597" xr:uid="{00000000-0005-0000-0000-000062010000}"/>
    <cellStyle name="3" xfId="43" xr:uid="{00000000-0005-0000-0000-000063010000}"/>
    <cellStyle name="3 2" xfId="5246" xr:uid="{2762A28D-5891-4C0C-9B10-38FACBCFFD64}"/>
    <cellStyle name="3 3" xfId="3506" xr:uid="{FE670649-BE01-4EAF-BDA6-0AF51A470783}"/>
    <cellStyle name="4" xfId="45" xr:uid="{00000000-0005-0000-0000-000064010000}"/>
    <cellStyle name="4 2" xfId="5247" xr:uid="{127AEAC1-A6C8-4571-B476-517EC657DD85}"/>
    <cellStyle name="4 3" xfId="3507" xr:uid="{DAF8160A-4211-42F3-BBC9-53268289C803}"/>
    <cellStyle name="40% - Accent1 10 2" xfId="598" xr:uid="{00000000-0005-0000-0000-000065010000}"/>
    <cellStyle name="40% - Accent1 10 3" xfId="599" xr:uid="{00000000-0005-0000-0000-000066010000}"/>
    <cellStyle name="40% - Accent1 10 4" xfId="600" xr:uid="{00000000-0005-0000-0000-000067010000}"/>
    <cellStyle name="40% - Accent1 10 5" xfId="601" xr:uid="{00000000-0005-0000-0000-000068010000}"/>
    <cellStyle name="40% - Accent1 10 6" xfId="602" xr:uid="{00000000-0005-0000-0000-000069010000}"/>
    <cellStyle name="40% - Accent1 11 2" xfId="603" xr:uid="{00000000-0005-0000-0000-00006A010000}"/>
    <cellStyle name="40% - Accent1 11 3" xfId="604" xr:uid="{00000000-0005-0000-0000-00006B010000}"/>
    <cellStyle name="40% - Accent1 11 4" xfId="605" xr:uid="{00000000-0005-0000-0000-00006C010000}"/>
    <cellStyle name="40% - Accent1 11 5" xfId="606" xr:uid="{00000000-0005-0000-0000-00006D010000}"/>
    <cellStyle name="40% - Accent1 11 6" xfId="607" xr:uid="{00000000-0005-0000-0000-00006E010000}"/>
    <cellStyle name="40% - Accent1 2" xfId="608" xr:uid="{00000000-0005-0000-0000-00006F010000}"/>
    <cellStyle name="40% - Accent1 2 2" xfId="609" xr:uid="{00000000-0005-0000-0000-000070010000}"/>
    <cellStyle name="40% - Accent1 2 3" xfId="610" xr:uid="{00000000-0005-0000-0000-000071010000}"/>
    <cellStyle name="40% - Accent1 2 4" xfId="611" xr:uid="{00000000-0005-0000-0000-000072010000}"/>
    <cellStyle name="40% - Accent1 2 5" xfId="612" xr:uid="{00000000-0005-0000-0000-000073010000}"/>
    <cellStyle name="40% - Accent1 2 6" xfId="613" xr:uid="{00000000-0005-0000-0000-000074010000}"/>
    <cellStyle name="40% - Accent1 2 7" xfId="4257" xr:uid="{9B48880F-22AF-453A-BFCB-BCA703CAD951}"/>
    <cellStyle name="40% - Accent1 3" xfId="614" xr:uid="{00000000-0005-0000-0000-000075010000}"/>
    <cellStyle name="40% - Accent1 3 2" xfId="615" xr:uid="{00000000-0005-0000-0000-000076010000}"/>
    <cellStyle name="40% - Accent1 3 3" xfId="616" xr:uid="{00000000-0005-0000-0000-000077010000}"/>
    <cellStyle name="40% - Accent1 3 4" xfId="617" xr:uid="{00000000-0005-0000-0000-000078010000}"/>
    <cellStyle name="40% - Accent1 3 5" xfId="618" xr:uid="{00000000-0005-0000-0000-000079010000}"/>
    <cellStyle name="40% - Accent1 3 6" xfId="619" xr:uid="{00000000-0005-0000-0000-00007A010000}"/>
    <cellStyle name="40% - Accent1 4 2" xfId="620" xr:uid="{00000000-0005-0000-0000-00007B010000}"/>
    <cellStyle name="40% - Accent1 4 3" xfId="621" xr:uid="{00000000-0005-0000-0000-00007C010000}"/>
    <cellStyle name="40% - Accent1 4 4" xfId="622" xr:uid="{00000000-0005-0000-0000-00007D010000}"/>
    <cellStyle name="40% - Accent1 4 5" xfId="623" xr:uid="{00000000-0005-0000-0000-00007E010000}"/>
    <cellStyle name="40% - Accent1 4 6" xfId="624" xr:uid="{00000000-0005-0000-0000-00007F010000}"/>
    <cellStyle name="40% - Accent1 5 2" xfId="625" xr:uid="{00000000-0005-0000-0000-000080010000}"/>
    <cellStyle name="40% - Accent1 5 3" xfId="626" xr:uid="{00000000-0005-0000-0000-000081010000}"/>
    <cellStyle name="40% - Accent1 5 4" xfId="627" xr:uid="{00000000-0005-0000-0000-000082010000}"/>
    <cellStyle name="40% - Accent1 5 5" xfId="628" xr:uid="{00000000-0005-0000-0000-000083010000}"/>
    <cellStyle name="40% - Accent1 5 6" xfId="629" xr:uid="{00000000-0005-0000-0000-000084010000}"/>
    <cellStyle name="40% - Accent1 6 2" xfId="630" xr:uid="{00000000-0005-0000-0000-000085010000}"/>
    <cellStyle name="40% - Accent1 6 3" xfId="631" xr:uid="{00000000-0005-0000-0000-000086010000}"/>
    <cellStyle name="40% - Accent1 6 4" xfId="632" xr:uid="{00000000-0005-0000-0000-000087010000}"/>
    <cellStyle name="40% - Accent1 6 5" xfId="633" xr:uid="{00000000-0005-0000-0000-000088010000}"/>
    <cellStyle name="40% - Accent1 6 6" xfId="634" xr:uid="{00000000-0005-0000-0000-000089010000}"/>
    <cellStyle name="40% - Accent1 7 2" xfId="635" xr:uid="{00000000-0005-0000-0000-00008A010000}"/>
    <cellStyle name="40% - Accent1 7 3" xfId="636" xr:uid="{00000000-0005-0000-0000-00008B010000}"/>
    <cellStyle name="40% - Accent1 7 4" xfId="637" xr:uid="{00000000-0005-0000-0000-00008C010000}"/>
    <cellStyle name="40% - Accent1 7 5" xfId="638" xr:uid="{00000000-0005-0000-0000-00008D010000}"/>
    <cellStyle name="40% - Accent1 7 6" xfId="639" xr:uid="{00000000-0005-0000-0000-00008E010000}"/>
    <cellStyle name="40% - Accent1 8 2" xfId="640" xr:uid="{00000000-0005-0000-0000-00008F010000}"/>
    <cellStyle name="40% - Accent1 8 3" xfId="641" xr:uid="{00000000-0005-0000-0000-000090010000}"/>
    <cellStyle name="40% - Accent1 8 4" xfId="642" xr:uid="{00000000-0005-0000-0000-000091010000}"/>
    <cellStyle name="40% - Accent1 8 5" xfId="643" xr:uid="{00000000-0005-0000-0000-000092010000}"/>
    <cellStyle name="40% - Accent1 8 6" xfId="644" xr:uid="{00000000-0005-0000-0000-000093010000}"/>
    <cellStyle name="40% - Accent1 9 2" xfId="645" xr:uid="{00000000-0005-0000-0000-000094010000}"/>
    <cellStyle name="40% - Accent1 9 3" xfId="646" xr:uid="{00000000-0005-0000-0000-000095010000}"/>
    <cellStyle name="40% - Accent1 9 4" xfId="647" xr:uid="{00000000-0005-0000-0000-000096010000}"/>
    <cellStyle name="40% - Accent1 9 5" xfId="648" xr:uid="{00000000-0005-0000-0000-000097010000}"/>
    <cellStyle name="40% - Accent1 9 6" xfId="649" xr:uid="{00000000-0005-0000-0000-000098010000}"/>
    <cellStyle name="40% - Accent2 10 2" xfId="650" xr:uid="{00000000-0005-0000-0000-000099010000}"/>
    <cellStyle name="40% - Accent2 10 3" xfId="651" xr:uid="{00000000-0005-0000-0000-00009A010000}"/>
    <cellStyle name="40% - Accent2 10 4" xfId="652" xr:uid="{00000000-0005-0000-0000-00009B010000}"/>
    <cellStyle name="40% - Accent2 10 5" xfId="653" xr:uid="{00000000-0005-0000-0000-00009C010000}"/>
    <cellStyle name="40% - Accent2 10 6" xfId="654" xr:uid="{00000000-0005-0000-0000-00009D010000}"/>
    <cellStyle name="40% - Accent2 11 2" xfId="655" xr:uid="{00000000-0005-0000-0000-00009E010000}"/>
    <cellStyle name="40% - Accent2 11 3" xfId="656" xr:uid="{00000000-0005-0000-0000-00009F010000}"/>
    <cellStyle name="40% - Accent2 11 4" xfId="657" xr:uid="{00000000-0005-0000-0000-0000A0010000}"/>
    <cellStyle name="40% - Accent2 11 5" xfId="658" xr:uid="{00000000-0005-0000-0000-0000A1010000}"/>
    <cellStyle name="40% - Accent2 11 6" xfId="659" xr:uid="{00000000-0005-0000-0000-0000A2010000}"/>
    <cellStyle name="40% - Accent2 2" xfId="660" xr:uid="{00000000-0005-0000-0000-0000A3010000}"/>
    <cellStyle name="40% - Accent2 2 2" xfId="661" xr:uid="{00000000-0005-0000-0000-0000A4010000}"/>
    <cellStyle name="40% - Accent2 2 3" xfId="662" xr:uid="{00000000-0005-0000-0000-0000A5010000}"/>
    <cellStyle name="40% - Accent2 2 4" xfId="663" xr:uid="{00000000-0005-0000-0000-0000A6010000}"/>
    <cellStyle name="40% - Accent2 2 5" xfId="664" xr:uid="{00000000-0005-0000-0000-0000A7010000}"/>
    <cellStyle name="40% - Accent2 2 6" xfId="665" xr:uid="{00000000-0005-0000-0000-0000A8010000}"/>
    <cellStyle name="40% - Accent2 2 7" xfId="4049" xr:uid="{D4D336ED-6ED3-41AD-A523-6C9104409867}"/>
    <cellStyle name="40% - Accent2 3" xfId="666" xr:uid="{00000000-0005-0000-0000-0000A9010000}"/>
    <cellStyle name="40% - Accent2 3 2" xfId="667" xr:uid="{00000000-0005-0000-0000-0000AA010000}"/>
    <cellStyle name="40% - Accent2 3 3" xfId="668" xr:uid="{00000000-0005-0000-0000-0000AB010000}"/>
    <cellStyle name="40% - Accent2 3 4" xfId="669" xr:uid="{00000000-0005-0000-0000-0000AC010000}"/>
    <cellStyle name="40% - Accent2 3 5" xfId="670" xr:uid="{00000000-0005-0000-0000-0000AD010000}"/>
    <cellStyle name="40% - Accent2 3 6" xfId="671" xr:uid="{00000000-0005-0000-0000-0000AE010000}"/>
    <cellStyle name="40% - Accent2 4 2" xfId="672" xr:uid="{00000000-0005-0000-0000-0000AF010000}"/>
    <cellStyle name="40% - Accent2 4 3" xfId="673" xr:uid="{00000000-0005-0000-0000-0000B0010000}"/>
    <cellStyle name="40% - Accent2 4 4" xfId="674" xr:uid="{00000000-0005-0000-0000-0000B1010000}"/>
    <cellStyle name="40% - Accent2 4 5" xfId="675" xr:uid="{00000000-0005-0000-0000-0000B2010000}"/>
    <cellStyle name="40% - Accent2 4 6" xfId="676" xr:uid="{00000000-0005-0000-0000-0000B3010000}"/>
    <cellStyle name="40% - Accent2 5 2" xfId="677" xr:uid="{00000000-0005-0000-0000-0000B4010000}"/>
    <cellStyle name="40% - Accent2 5 3" xfId="678" xr:uid="{00000000-0005-0000-0000-0000B5010000}"/>
    <cellStyle name="40% - Accent2 5 4" xfId="679" xr:uid="{00000000-0005-0000-0000-0000B6010000}"/>
    <cellStyle name="40% - Accent2 5 5" xfId="680" xr:uid="{00000000-0005-0000-0000-0000B7010000}"/>
    <cellStyle name="40% - Accent2 5 6" xfId="681" xr:uid="{00000000-0005-0000-0000-0000B8010000}"/>
    <cellStyle name="40% - Accent2 6 2" xfId="682" xr:uid="{00000000-0005-0000-0000-0000B9010000}"/>
    <cellStyle name="40% - Accent2 6 3" xfId="683" xr:uid="{00000000-0005-0000-0000-0000BA010000}"/>
    <cellStyle name="40% - Accent2 6 4" xfId="684" xr:uid="{00000000-0005-0000-0000-0000BB010000}"/>
    <cellStyle name="40% - Accent2 6 5" xfId="685" xr:uid="{00000000-0005-0000-0000-0000BC010000}"/>
    <cellStyle name="40% - Accent2 6 6" xfId="686" xr:uid="{00000000-0005-0000-0000-0000BD010000}"/>
    <cellStyle name="40% - Accent2 7 2" xfId="687" xr:uid="{00000000-0005-0000-0000-0000BE010000}"/>
    <cellStyle name="40% - Accent2 7 3" xfId="688" xr:uid="{00000000-0005-0000-0000-0000BF010000}"/>
    <cellStyle name="40% - Accent2 7 4" xfId="689" xr:uid="{00000000-0005-0000-0000-0000C0010000}"/>
    <cellStyle name="40% - Accent2 7 5" xfId="690" xr:uid="{00000000-0005-0000-0000-0000C1010000}"/>
    <cellStyle name="40% - Accent2 7 6" xfId="691" xr:uid="{00000000-0005-0000-0000-0000C2010000}"/>
    <cellStyle name="40% - Accent2 8 2" xfId="692" xr:uid="{00000000-0005-0000-0000-0000C3010000}"/>
    <cellStyle name="40% - Accent2 8 3" xfId="693" xr:uid="{00000000-0005-0000-0000-0000C4010000}"/>
    <cellStyle name="40% - Accent2 8 4" xfId="694" xr:uid="{00000000-0005-0000-0000-0000C5010000}"/>
    <cellStyle name="40% - Accent2 8 5" xfId="695" xr:uid="{00000000-0005-0000-0000-0000C6010000}"/>
    <cellStyle name="40% - Accent2 8 6" xfId="696" xr:uid="{00000000-0005-0000-0000-0000C7010000}"/>
    <cellStyle name="40% - Accent2 9 2" xfId="697" xr:uid="{00000000-0005-0000-0000-0000C8010000}"/>
    <cellStyle name="40% - Accent2 9 3" xfId="698" xr:uid="{00000000-0005-0000-0000-0000C9010000}"/>
    <cellStyle name="40% - Accent2 9 4" xfId="699" xr:uid="{00000000-0005-0000-0000-0000CA010000}"/>
    <cellStyle name="40% - Accent2 9 5" xfId="700" xr:uid="{00000000-0005-0000-0000-0000CB010000}"/>
    <cellStyle name="40% - Accent2 9 6" xfId="701" xr:uid="{00000000-0005-0000-0000-0000CC010000}"/>
    <cellStyle name="40% - Accent3 10 2" xfId="702" xr:uid="{00000000-0005-0000-0000-0000CD010000}"/>
    <cellStyle name="40% - Accent3 10 3" xfId="703" xr:uid="{00000000-0005-0000-0000-0000CE010000}"/>
    <cellStyle name="40% - Accent3 10 4" xfId="704" xr:uid="{00000000-0005-0000-0000-0000CF010000}"/>
    <cellStyle name="40% - Accent3 10 5" xfId="705" xr:uid="{00000000-0005-0000-0000-0000D0010000}"/>
    <cellStyle name="40% - Accent3 10 6" xfId="706" xr:uid="{00000000-0005-0000-0000-0000D1010000}"/>
    <cellStyle name="40% - Accent3 11 2" xfId="707" xr:uid="{00000000-0005-0000-0000-0000D2010000}"/>
    <cellStyle name="40% - Accent3 11 3" xfId="708" xr:uid="{00000000-0005-0000-0000-0000D3010000}"/>
    <cellStyle name="40% - Accent3 11 4" xfId="709" xr:uid="{00000000-0005-0000-0000-0000D4010000}"/>
    <cellStyle name="40% - Accent3 11 5" xfId="710" xr:uid="{00000000-0005-0000-0000-0000D5010000}"/>
    <cellStyle name="40% - Accent3 11 6" xfId="711" xr:uid="{00000000-0005-0000-0000-0000D6010000}"/>
    <cellStyle name="40% - Accent3 2" xfId="712" xr:uid="{00000000-0005-0000-0000-0000D7010000}"/>
    <cellStyle name="40% - Accent3 2 2" xfId="713" xr:uid="{00000000-0005-0000-0000-0000D8010000}"/>
    <cellStyle name="40% - Accent3 2 3" xfId="714" xr:uid="{00000000-0005-0000-0000-0000D9010000}"/>
    <cellStyle name="40% - Accent3 2 4" xfId="715" xr:uid="{00000000-0005-0000-0000-0000DA010000}"/>
    <cellStyle name="40% - Accent3 2 5" xfId="716" xr:uid="{00000000-0005-0000-0000-0000DB010000}"/>
    <cellStyle name="40% - Accent3 2 6" xfId="717" xr:uid="{00000000-0005-0000-0000-0000DC010000}"/>
    <cellStyle name="40% - Accent3 2 7" xfId="4256" xr:uid="{C550F33E-B33F-443F-B283-BDC29462A388}"/>
    <cellStyle name="40% - Accent3 3" xfId="718" xr:uid="{00000000-0005-0000-0000-0000DD010000}"/>
    <cellStyle name="40% - Accent3 3 2" xfId="719" xr:uid="{00000000-0005-0000-0000-0000DE010000}"/>
    <cellStyle name="40% - Accent3 3 3" xfId="720" xr:uid="{00000000-0005-0000-0000-0000DF010000}"/>
    <cellStyle name="40% - Accent3 3 4" xfId="721" xr:uid="{00000000-0005-0000-0000-0000E0010000}"/>
    <cellStyle name="40% - Accent3 3 5" xfId="722" xr:uid="{00000000-0005-0000-0000-0000E1010000}"/>
    <cellStyle name="40% - Accent3 3 6" xfId="723" xr:uid="{00000000-0005-0000-0000-0000E2010000}"/>
    <cellStyle name="40% - Accent3 4 2" xfId="724" xr:uid="{00000000-0005-0000-0000-0000E3010000}"/>
    <cellStyle name="40% - Accent3 4 3" xfId="725" xr:uid="{00000000-0005-0000-0000-0000E4010000}"/>
    <cellStyle name="40% - Accent3 4 4" xfId="726" xr:uid="{00000000-0005-0000-0000-0000E5010000}"/>
    <cellStyle name="40% - Accent3 4 5" xfId="727" xr:uid="{00000000-0005-0000-0000-0000E6010000}"/>
    <cellStyle name="40% - Accent3 4 6" xfId="728" xr:uid="{00000000-0005-0000-0000-0000E7010000}"/>
    <cellStyle name="40% - Accent3 5 2" xfId="729" xr:uid="{00000000-0005-0000-0000-0000E8010000}"/>
    <cellStyle name="40% - Accent3 5 3" xfId="730" xr:uid="{00000000-0005-0000-0000-0000E9010000}"/>
    <cellStyle name="40% - Accent3 5 4" xfId="731" xr:uid="{00000000-0005-0000-0000-0000EA010000}"/>
    <cellStyle name="40% - Accent3 5 5" xfId="732" xr:uid="{00000000-0005-0000-0000-0000EB010000}"/>
    <cellStyle name="40% - Accent3 5 6" xfId="733" xr:uid="{00000000-0005-0000-0000-0000EC010000}"/>
    <cellStyle name="40% - Accent3 6 2" xfId="734" xr:uid="{00000000-0005-0000-0000-0000ED010000}"/>
    <cellStyle name="40% - Accent3 6 3" xfId="735" xr:uid="{00000000-0005-0000-0000-0000EE010000}"/>
    <cellStyle name="40% - Accent3 6 4" xfId="736" xr:uid="{00000000-0005-0000-0000-0000EF010000}"/>
    <cellStyle name="40% - Accent3 6 5" xfId="737" xr:uid="{00000000-0005-0000-0000-0000F0010000}"/>
    <cellStyle name="40% - Accent3 6 6" xfId="738" xr:uid="{00000000-0005-0000-0000-0000F1010000}"/>
    <cellStyle name="40% - Accent3 7 2" xfId="739" xr:uid="{00000000-0005-0000-0000-0000F2010000}"/>
    <cellStyle name="40% - Accent3 7 3" xfId="740" xr:uid="{00000000-0005-0000-0000-0000F3010000}"/>
    <cellStyle name="40% - Accent3 7 4" xfId="741" xr:uid="{00000000-0005-0000-0000-0000F4010000}"/>
    <cellStyle name="40% - Accent3 7 5" xfId="742" xr:uid="{00000000-0005-0000-0000-0000F5010000}"/>
    <cellStyle name="40% - Accent3 7 6" xfId="743" xr:uid="{00000000-0005-0000-0000-0000F6010000}"/>
    <cellStyle name="40% - Accent3 8 2" xfId="744" xr:uid="{00000000-0005-0000-0000-0000F7010000}"/>
    <cellStyle name="40% - Accent3 8 3" xfId="745" xr:uid="{00000000-0005-0000-0000-0000F8010000}"/>
    <cellStyle name="40% - Accent3 8 4" xfId="746" xr:uid="{00000000-0005-0000-0000-0000F9010000}"/>
    <cellStyle name="40% - Accent3 8 5" xfId="747" xr:uid="{00000000-0005-0000-0000-0000FA010000}"/>
    <cellStyle name="40% - Accent3 8 6" xfId="748" xr:uid="{00000000-0005-0000-0000-0000FB010000}"/>
    <cellStyle name="40% - Accent3 9 2" xfId="749" xr:uid="{00000000-0005-0000-0000-0000FC010000}"/>
    <cellStyle name="40% - Accent3 9 3" xfId="750" xr:uid="{00000000-0005-0000-0000-0000FD010000}"/>
    <cellStyle name="40% - Accent3 9 4" xfId="751" xr:uid="{00000000-0005-0000-0000-0000FE010000}"/>
    <cellStyle name="40% - Accent3 9 5" xfId="752" xr:uid="{00000000-0005-0000-0000-0000FF010000}"/>
    <cellStyle name="40% - Accent3 9 6" xfId="753" xr:uid="{00000000-0005-0000-0000-000000020000}"/>
    <cellStyle name="40% - Accent4 10 2" xfId="754" xr:uid="{00000000-0005-0000-0000-000001020000}"/>
    <cellStyle name="40% - Accent4 10 3" xfId="755" xr:uid="{00000000-0005-0000-0000-000002020000}"/>
    <cellStyle name="40% - Accent4 10 4" xfId="756" xr:uid="{00000000-0005-0000-0000-000003020000}"/>
    <cellStyle name="40% - Accent4 10 5" xfId="757" xr:uid="{00000000-0005-0000-0000-000004020000}"/>
    <cellStyle name="40% - Accent4 10 6" xfId="758" xr:uid="{00000000-0005-0000-0000-000005020000}"/>
    <cellStyle name="40% - Accent4 11 2" xfId="759" xr:uid="{00000000-0005-0000-0000-000006020000}"/>
    <cellStyle name="40% - Accent4 11 3" xfId="760" xr:uid="{00000000-0005-0000-0000-000007020000}"/>
    <cellStyle name="40% - Accent4 11 4" xfId="761" xr:uid="{00000000-0005-0000-0000-000008020000}"/>
    <cellStyle name="40% - Accent4 11 5" xfId="762" xr:uid="{00000000-0005-0000-0000-000009020000}"/>
    <cellStyle name="40% - Accent4 11 6" xfId="763" xr:uid="{00000000-0005-0000-0000-00000A020000}"/>
    <cellStyle name="40% - Accent4 2" xfId="764" xr:uid="{00000000-0005-0000-0000-00000B020000}"/>
    <cellStyle name="40% - Accent4 2 2" xfId="765" xr:uid="{00000000-0005-0000-0000-00000C020000}"/>
    <cellStyle name="40% - Accent4 2 3" xfId="766" xr:uid="{00000000-0005-0000-0000-00000D020000}"/>
    <cellStyle name="40% - Accent4 2 4" xfId="767" xr:uid="{00000000-0005-0000-0000-00000E020000}"/>
    <cellStyle name="40% - Accent4 2 5" xfId="768" xr:uid="{00000000-0005-0000-0000-00000F020000}"/>
    <cellStyle name="40% - Accent4 2 6" xfId="769" xr:uid="{00000000-0005-0000-0000-000010020000}"/>
    <cellStyle name="40% - Accent4 2 7" xfId="4255" xr:uid="{EE57D1CB-5300-4639-9ADA-01513D7BAB48}"/>
    <cellStyle name="40% - Accent4 3" xfId="770" xr:uid="{00000000-0005-0000-0000-000011020000}"/>
    <cellStyle name="40% - Accent4 3 2" xfId="771" xr:uid="{00000000-0005-0000-0000-000012020000}"/>
    <cellStyle name="40% - Accent4 3 3" xfId="772" xr:uid="{00000000-0005-0000-0000-000013020000}"/>
    <cellStyle name="40% - Accent4 3 4" xfId="773" xr:uid="{00000000-0005-0000-0000-000014020000}"/>
    <cellStyle name="40% - Accent4 3 5" xfId="774" xr:uid="{00000000-0005-0000-0000-000015020000}"/>
    <cellStyle name="40% - Accent4 3 6" xfId="775" xr:uid="{00000000-0005-0000-0000-000016020000}"/>
    <cellStyle name="40% - Accent4 4 2" xfId="776" xr:uid="{00000000-0005-0000-0000-000017020000}"/>
    <cellStyle name="40% - Accent4 4 3" xfId="777" xr:uid="{00000000-0005-0000-0000-000018020000}"/>
    <cellStyle name="40% - Accent4 4 4" xfId="778" xr:uid="{00000000-0005-0000-0000-000019020000}"/>
    <cellStyle name="40% - Accent4 4 5" xfId="779" xr:uid="{00000000-0005-0000-0000-00001A020000}"/>
    <cellStyle name="40% - Accent4 4 6" xfId="780" xr:uid="{00000000-0005-0000-0000-00001B020000}"/>
    <cellStyle name="40% - Accent4 5 2" xfId="781" xr:uid="{00000000-0005-0000-0000-00001C020000}"/>
    <cellStyle name="40% - Accent4 5 3" xfId="782" xr:uid="{00000000-0005-0000-0000-00001D020000}"/>
    <cellStyle name="40% - Accent4 5 4" xfId="783" xr:uid="{00000000-0005-0000-0000-00001E020000}"/>
    <cellStyle name="40% - Accent4 5 5" xfId="784" xr:uid="{00000000-0005-0000-0000-00001F020000}"/>
    <cellStyle name="40% - Accent4 5 6" xfId="785" xr:uid="{00000000-0005-0000-0000-000020020000}"/>
    <cellStyle name="40% - Accent4 6 2" xfId="786" xr:uid="{00000000-0005-0000-0000-000021020000}"/>
    <cellStyle name="40% - Accent4 6 3" xfId="787" xr:uid="{00000000-0005-0000-0000-000022020000}"/>
    <cellStyle name="40% - Accent4 6 4" xfId="788" xr:uid="{00000000-0005-0000-0000-000023020000}"/>
    <cellStyle name="40% - Accent4 6 5" xfId="789" xr:uid="{00000000-0005-0000-0000-000024020000}"/>
    <cellStyle name="40% - Accent4 6 6" xfId="790" xr:uid="{00000000-0005-0000-0000-000025020000}"/>
    <cellStyle name="40% - Accent4 7 2" xfId="791" xr:uid="{00000000-0005-0000-0000-000026020000}"/>
    <cellStyle name="40% - Accent4 7 3" xfId="792" xr:uid="{00000000-0005-0000-0000-000027020000}"/>
    <cellStyle name="40% - Accent4 7 4" xfId="793" xr:uid="{00000000-0005-0000-0000-000028020000}"/>
    <cellStyle name="40% - Accent4 7 5" xfId="794" xr:uid="{00000000-0005-0000-0000-000029020000}"/>
    <cellStyle name="40% - Accent4 7 6" xfId="795" xr:uid="{00000000-0005-0000-0000-00002A020000}"/>
    <cellStyle name="40% - Accent4 8 2" xfId="796" xr:uid="{00000000-0005-0000-0000-00002B020000}"/>
    <cellStyle name="40% - Accent4 8 3" xfId="797" xr:uid="{00000000-0005-0000-0000-00002C020000}"/>
    <cellStyle name="40% - Accent4 8 4" xfId="798" xr:uid="{00000000-0005-0000-0000-00002D020000}"/>
    <cellStyle name="40% - Accent4 8 5" xfId="799" xr:uid="{00000000-0005-0000-0000-00002E020000}"/>
    <cellStyle name="40% - Accent4 8 6" xfId="800" xr:uid="{00000000-0005-0000-0000-00002F020000}"/>
    <cellStyle name="40% - Accent4 9 2" xfId="801" xr:uid="{00000000-0005-0000-0000-000030020000}"/>
    <cellStyle name="40% - Accent4 9 3" xfId="802" xr:uid="{00000000-0005-0000-0000-000031020000}"/>
    <cellStyle name="40% - Accent4 9 4" xfId="803" xr:uid="{00000000-0005-0000-0000-000032020000}"/>
    <cellStyle name="40% - Accent4 9 5" xfId="804" xr:uid="{00000000-0005-0000-0000-000033020000}"/>
    <cellStyle name="40% - Accent4 9 6" xfId="805" xr:uid="{00000000-0005-0000-0000-000034020000}"/>
    <cellStyle name="40% - Accent5 10 2" xfId="806" xr:uid="{00000000-0005-0000-0000-000035020000}"/>
    <cellStyle name="40% - Accent5 10 3" xfId="807" xr:uid="{00000000-0005-0000-0000-000036020000}"/>
    <cellStyle name="40% - Accent5 10 4" xfId="808" xr:uid="{00000000-0005-0000-0000-000037020000}"/>
    <cellStyle name="40% - Accent5 10 5" xfId="809" xr:uid="{00000000-0005-0000-0000-000038020000}"/>
    <cellStyle name="40% - Accent5 10 6" xfId="810" xr:uid="{00000000-0005-0000-0000-000039020000}"/>
    <cellStyle name="40% - Accent5 11 2" xfId="811" xr:uid="{00000000-0005-0000-0000-00003A020000}"/>
    <cellStyle name="40% - Accent5 11 3" xfId="812" xr:uid="{00000000-0005-0000-0000-00003B020000}"/>
    <cellStyle name="40% - Accent5 11 4" xfId="813" xr:uid="{00000000-0005-0000-0000-00003C020000}"/>
    <cellStyle name="40% - Accent5 11 5" xfId="814" xr:uid="{00000000-0005-0000-0000-00003D020000}"/>
    <cellStyle name="40% - Accent5 11 6" xfId="815" xr:uid="{00000000-0005-0000-0000-00003E020000}"/>
    <cellStyle name="40% - Accent5 2" xfId="816" xr:uid="{00000000-0005-0000-0000-00003F020000}"/>
    <cellStyle name="40% - Accent5 2 2" xfId="817" xr:uid="{00000000-0005-0000-0000-000040020000}"/>
    <cellStyle name="40% - Accent5 2 3" xfId="818" xr:uid="{00000000-0005-0000-0000-000041020000}"/>
    <cellStyle name="40% - Accent5 2 4" xfId="819" xr:uid="{00000000-0005-0000-0000-000042020000}"/>
    <cellStyle name="40% - Accent5 2 5" xfId="820" xr:uid="{00000000-0005-0000-0000-000043020000}"/>
    <cellStyle name="40% - Accent5 2 6" xfId="821" xr:uid="{00000000-0005-0000-0000-000044020000}"/>
    <cellStyle name="40% - Accent5 2 7" xfId="3967" xr:uid="{FDB0341D-5D08-4B45-82EC-E94C8DBFE7B1}"/>
    <cellStyle name="40% - Accent5 3" xfId="822" xr:uid="{00000000-0005-0000-0000-000045020000}"/>
    <cellStyle name="40% - Accent5 3 2" xfId="823" xr:uid="{00000000-0005-0000-0000-000046020000}"/>
    <cellStyle name="40% - Accent5 3 3" xfId="824" xr:uid="{00000000-0005-0000-0000-000047020000}"/>
    <cellStyle name="40% - Accent5 3 4" xfId="825" xr:uid="{00000000-0005-0000-0000-000048020000}"/>
    <cellStyle name="40% - Accent5 3 5" xfId="826" xr:uid="{00000000-0005-0000-0000-000049020000}"/>
    <cellStyle name="40% - Accent5 3 6" xfId="827" xr:uid="{00000000-0005-0000-0000-00004A020000}"/>
    <cellStyle name="40% - Accent5 4 2" xfId="828" xr:uid="{00000000-0005-0000-0000-00004B020000}"/>
    <cellStyle name="40% - Accent5 4 3" xfId="829" xr:uid="{00000000-0005-0000-0000-00004C020000}"/>
    <cellStyle name="40% - Accent5 4 4" xfId="830" xr:uid="{00000000-0005-0000-0000-00004D020000}"/>
    <cellStyle name="40% - Accent5 4 5" xfId="831" xr:uid="{00000000-0005-0000-0000-00004E020000}"/>
    <cellStyle name="40% - Accent5 4 6" xfId="832" xr:uid="{00000000-0005-0000-0000-00004F020000}"/>
    <cellStyle name="40% - Accent5 5 2" xfId="833" xr:uid="{00000000-0005-0000-0000-000050020000}"/>
    <cellStyle name="40% - Accent5 5 3" xfId="834" xr:uid="{00000000-0005-0000-0000-000051020000}"/>
    <cellStyle name="40% - Accent5 5 4" xfId="835" xr:uid="{00000000-0005-0000-0000-000052020000}"/>
    <cellStyle name="40% - Accent5 5 5" xfId="836" xr:uid="{00000000-0005-0000-0000-000053020000}"/>
    <cellStyle name="40% - Accent5 5 6" xfId="837" xr:uid="{00000000-0005-0000-0000-000054020000}"/>
    <cellStyle name="40% - Accent5 6 2" xfId="838" xr:uid="{00000000-0005-0000-0000-000055020000}"/>
    <cellStyle name="40% - Accent5 6 3" xfId="839" xr:uid="{00000000-0005-0000-0000-000056020000}"/>
    <cellStyle name="40% - Accent5 6 4" xfId="840" xr:uid="{00000000-0005-0000-0000-000057020000}"/>
    <cellStyle name="40% - Accent5 6 5" xfId="841" xr:uid="{00000000-0005-0000-0000-000058020000}"/>
    <cellStyle name="40% - Accent5 6 6" xfId="842" xr:uid="{00000000-0005-0000-0000-000059020000}"/>
    <cellStyle name="40% - Accent5 7 2" xfId="843" xr:uid="{00000000-0005-0000-0000-00005A020000}"/>
    <cellStyle name="40% - Accent5 7 3" xfId="844" xr:uid="{00000000-0005-0000-0000-00005B020000}"/>
    <cellStyle name="40% - Accent5 7 4" xfId="845" xr:uid="{00000000-0005-0000-0000-00005C020000}"/>
    <cellStyle name="40% - Accent5 7 5" xfId="846" xr:uid="{00000000-0005-0000-0000-00005D020000}"/>
    <cellStyle name="40% - Accent5 7 6" xfId="847" xr:uid="{00000000-0005-0000-0000-00005E020000}"/>
    <cellStyle name="40% - Accent5 8 2" xfId="848" xr:uid="{00000000-0005-0000-0000-00005F020000}"/>
    <cellStyle name="40% - Accent5 8 3" xfId="849" xr:uid="{00000000-0005-0000-0000-000060020000}"/>
    <cellStyle name="40% - Accent5 8 4" xfId="850" xr:uid="{00000000-0005-0000-0000-000061020000}"/>
    <cellStyle name="40% - Accent5 8 5" xfId="851" xr:uid="{00000000-0005-0000-0000-000062020000}"/>
    <cellStyle name="40% - Accent5 8 6" xfId="852" xr:uid="{00000000-0005-0000-0000-000063020000}"/>
    <cellStyle name="40% - Accent5 9 2" xfId="853" xr:uid="{00000000-0005-0000-0000-000064020000}"/>
    <cellStyle name="40% - Accent5 9 3" xfId="854" xr:uid="{00000000-0005-0000-0000-000065020000}"/>
    <cellStyle name="40% - Accent5 9 4" xfId="855" xr:uid="{00000000-0005-0000-0000-000066020000}"/>
    <cellStyle name="40% - Accent5 9 5" xfId="856" xr:uid="{00000000-0005-0000-0000-000067020000}"/>
    <cellStyle name="40% - Accent5 9 6" xfId="857" xr:uid="{00000000-0005-0000-0000-000068020000}"/>
    <cellStyle name="40% - Accent6 10 2" xfId="858" xr:uid="{00000000-0005-0000-0000-000069020000}"/>
    <cellStyle name="40% - Accent6 10 3" xfId="859" xr:uid="{00000000-0005-0000-0000-00006A020000}"/>
    <cellStyle name="40% - Accent6 10 4" xfId="860" xr:uid="{00000000-0005-0000-0000-00006B020000}"/>
    <cellStyle name="40% - Accent6 10 5" xfId="861" xr:uid="{00000000-0005-0000-0000-00006C020000}"/>
    <cellStyle name="40% - Accent6 10 6" xfId="862" xr:uid="{00000000-0005-0000-0000-00006D020000}"/>
    <cellStyle name="40% - Accent6 11 2" xfId="863" xr:uid="{00000000-0005-0000-0000-00006E020000}"/>
    <cellStyle name="40% - Accent6 11 3" xfId="864" xr:uid="{00000000-0005-0000-0000-00006F020000}"/>
    <cellStyle name="40% - Accent6 11 4" xfId="865" xr:uid="{00000000-0005-0000-0000-000070020000}"/>
    <cellStyle name="40% - Accent6 11 5" xfId="866" xr:uid="{00000000-0005-0000-0000-000071020000}"/>
    <cellStyle name="40% - Accent6 11 6" xfId="867" xr:uid="{00000000-0005-0000-0000-000072020000}"/>
    <cellStyle name="40% - Accent6 2" xfId="868" xr:uid="{00000000-0005-0000-0000-000073020000}"/>
    <cellStyle name="40% - Accent6 2 2" xfId="869" xr:uid="{00000000-0005-0000-0000-000074020000}"/>
    <cellStyle name="40% - Accent6 2 3" xfId="870" xr:uid="{00000000-0005-0000-0000-000075020000}"/>
    <cellStyle name="40% - Accent6 2 4" xfId="871" xr:uid="{00000000-0005-0000-0000-000076020000}"/>
    <cellStyle name="40% - Accent6 2 5" xfId="872" xr:uid="{00000000-0005-0000-0000-000077020000}"/>
    <cellStyle name="40% - Accent6 2 6" xfId="873" xr:uid="{00000000-0005-0000-0000-000078020000}"/>
    <cellStyle name="40% - Accent6 2 7" xfId="3966" xr:uid="{1B4D6D24-6BCC-4105-8DBF-BE63C0DF434D}"/>
    <cellStyle name="40% - Accent6 3" xfId="874" xr:uid="{00000000-0005-0000-0000-000079020000}"/>
    <cellStyle name="40% - Accent6 3 2" xfId="875" xr:uid="{00000000-0005-0000-0000-00007A020000}"/>
    <cellStyle name="40% - Accent6 3 3" xfId="876" xr:uid="{00000000-0005-0000-0000-00007B020000}"/>
    <cellStyle name="40% - Accent6 3 4" xfId="877" xr:uid="{00000000-0005-0000-0000-00007C020000}"/>
    <cellStyle name="40% - Accent6 3 5" xfId="878" xr:uid="{00000000-0005-0000-0000-00007D020000}"/>
    <cellStyle name="40% - Accent6 3 6" xfId="879" xr:uid="{00000000-0005-0000-0000-00007E020000}"/>
    <cellStyle name="40% - Accent6 4 2" xfId="880" xr:uid="{00000000-0005-0000-0000-00007F020000}"/>
    <cellStyle name="40% - Accent6 4 3" xfId="881" xr:uid="{00000000-0005-0000-0000-000080020000}"/>
    <cellStyle name="40% - Accent6 4 4" xfId="882" xr:uid="{00000000-0005-0000-0000-000081020000}"/>
    <cellStyle name="40% - Accent6 4 5" xfId="883" xr:uid="{00000000-0005-0000-0000-000082020000}"/>
    <cellStyle name="40% - Accent6 4 6" xfId="884" xr:uid="{00000000-0005-0000-0000-000083020000}"/>
    <cellStyle name="40% - Accent6 5 2" xfId="885" xr:uid="{00000000-0005-0000-0000-000084020000}"/>
    <cellStyle name="40% - Accent6 5 3" xfId="886" xr:uid="{00000000-0005-0000-0000-000085020000}"/>
    <cellStyle name="40% - Accent6 5 4" xfId="887" xr:uid="{00000000-0005-0000-0000-000086020000}"/>
    <cellStyle name="40% - Accent6 5 5" xfId="888" xr:uid="{00000000-0005-0000-0000-000087020000}"/>
    <cellStyle name="40% - Accent6 5 6" xfId="889" xr:uid="{00000000-0005-0000-0000-000088020000}"/>
    <cellStyle name="40% - Accent6 6 2" xfId="890" xr:uid="{00000000-0005-0000-0000-000089020000}"/>
    <cellStyle name="40% - Accent6 6 3" xfId="891" xr:uid="{00000000-0005-0000-0000-00008A020000}"/>
    <cellStyle name="40% - Accent6 6 4" xfId="892" xr:uid="{00000000-0005-0000-0000-00008B020000}"/>
    <cellStyle name="40% - Accent6 6 5" xfId="893" xr:uid="{00000000-0005-0000-0000-00008C020000}"/>
    <cellStyle name="40% - Accent6 6 6" xfId="894" xr:uid="{00000000-0005-0000-0000-00008D020000}"/>
    <cellStyle name="40% - Accent6 7 2" xfId="895" xr:uid="{00000000-0005-0000-0000-00008E020000}"/>
    <cellStyle name="40% - Accent6 7 3" xfId="896" xr:uid="{00000000-0005-0000-0000-00008F020000}"/>
    <cellStyle name="40% - Accent6 7 4" xfId="897" xr:uid="{00000000-0005-0000-0000-000090020000}"/>
    <cellStyle name="40% - Accent6 7 5" xfId="898" xr:uid="{00000000-0005-0000-0000-000091020000}"/>
    <cellStyle name="40% - Accent6 7 6" xfId="899" xr:uid="{00000000-0005-0000-0000-000092020000}"/>
    <cellStyle name="40% - Accent6 8 2" xfId="900" xr:uid="{00000000-0005-0000-0000-000093020000}"/>
    <cellStyle name="40% - Accent6 8 3" xfId="901" xr:uid="{00000000-0005-0000-0000-000094020000}"/>
    <cellStyle name="40% - Accent6 8 4" xfId="902" xr:uid="{00000000-0005-0000-0000-000095020000}"/>
    <cellStyle name="40% - Accent6 8 5" xfId="903" xr:uid="{00000000-0005-0000-0000-000096020000}"/>
    <cellStyle name="40% - Accent6 8 6" xfId="904" xr:uid="{00000000-0005-0000-0000-000097020000}"/>
    <cellStyle name="40% - Accent6 9 2" xfId="905" xr:uid="{00000000-0005-0000-0000-000098020000}"/>
    <cellStyle name="40% - Accent6 9 3" xfId="906" xr:uid="{00000000-0005-0000-0000-000099020000}"/>
    <cellStyle name="40% - Accent6 9 4" xfId="907" xr:uid="{00000000-0005-0000-0000-00009A020000}"/>
    <cellStyle name="40% - Accent6 9 5" xfId="908" xr:uid="{00000000-0005-0000-0000-00009B020000}"/>
    <cellStyle name="40% - Accent6 9 6" xfId="909" xr:uid="{00000000-0005-0000-0000-00009C020000}"/>
    <cellStyle name="5" xfId="46" xr:uid="{00000000-0005-0000-0000-00009D020000}"/>
    <cellStyle name="5 2" xfId="5248" xr:uid="{C2BE88A6-0A2E-4451-8249-5967E9970863}"/>
    <cellStyle name="5 3" xfId="3508" xr:uid="{A408A9C9-33D9-4CE9-8349-F482BC929075}"/>
    <cellStyle name="6" xfId="47" xr:uid="{00000000-0005-0000-0000-00009E020000}"/>
    <cellStyle name="6 2" xfId="5249" xr:uid="{1AD6E820-36C1-4253-A6A6-CFDC613B192D}"/>
    <cellStyle name="6 3" xfId="3509" xr:uid="{304C9E7A-7DB6-46D7-BC3B-0A581915630F}"/>
    <cellStyle name="60% - Accent1 10 2" xfId="910" xr:uid="{00000000-0005-0000-0000-00009F020000}"/>
    <cellStyle name="60% - Accent1 10 3" xfId="911" xr:uid="{00000000-0005-0000-0000-0000A0020000}"/>
    <cellStyle name="60% - Accent1 10 4" xfId="912" xr:uid="{00000000-0005-0000-0000-0000A1020000}"/>
    <cellStyle name="60% - Accent1 10 5" xfId="913" xr:uid="{00000000-0005-0000-0000-0000A2020000}"/>
    <cellStyle name="60% - Accent1 10 6" xfId="914" xr:uid="{00000000-0005-0000-0000-0000A3020000}"/>
    <cellStyle name="60% - Accent1 11 2" xfId="915" xr:uid="{00000000-0005-0000-0000-0000A4020000}"/>
    <cellStyle name="60% - Accent1 11 3" xfId="916" xr:uid="{00000000-0005-0000-0000-0000A5020000}"/>
    <cellStyle name="60% - Accent1 11 4" xfId="917" xr:uid="{00000000-0005-0000-0000-0000A6020000}"/>
    <cellStyle name="60% - Accent1 11 5" xfId="918" xr:uid="{00000000-0005-0000-0000-0000A7020000}"/>
    <cellStyle name="60% - Accent1 11 6" xfId="919" xr:uid="{00000000-0005-0000-0000-0000A8020000}"/>
    <cellStyle name="60% - Accent1 2" xfId="920" xr:uid="{00000000-0005-0000-0000-0000A9020000}"/>
    <cellStyle name="60% - Accent1 2 2" xfId="921" xr:uid="{00000000-0005-0000-0000-0000AA020000}"/>
    <cellStyle name="60% - Accent1 2 3" xfId="922" xr:uid="{00000000-0005-0000-0000-0000AB020000}"/>
    <cellStyle name="60% - Accent1 2 4" xfId="923" xr:uid="{00000000-0005-0000-0000-0000AC020000}"/>
    <cellStyle name="60% - Accent1 2 5" xfId="924" xr:uid="{00000000-0005-0000-0000-0000AD020000}"/>
    <cellStyle name="60% - Accent1 2 6" xfId="925" xr:uid="{00000000-0005-0000-0000-0000AE020000}"/>
    <cellStyle name="60% - Accent1 2 7" xfId="4254" xr:uid="{B60E3239-6868-4334-A52A-79C2970F00C8}"/>
    <cellStyle name="60% - Accent1 3" xfId="926" xr:uid="{00000000-0005-0000-0000-0000AF020000}"/>
    <cellStyle name="60% - Accent1 3 2" xfId="927" xr:uid="{00000000-0005-0000-0000-0000B0020000}"/>
    <cellStyle name="60% - Accent1 3 3" xfId="928" xr:uid="{00000000-0005-0000-0000-0000B1020000}"/>
    <cellStyle name="60% - Accent1 3 4" xfId="929" xr:uid="{00000000-0005-0000-0000-0000B2020000}"/>
    <cellStyle name="60% - Accent1 3 5" xfId="930" xr:uid="{00000000-0005-0000-0000-0000B3020000}"/>
    <cellStyle name="60% - Accent1 3 6" xfId="931" xr:uid="{00000000-0005-0000-0000-0000B4020000}"/>
    <cellStyle name="60% - Accent1 4 2" xfId="932" xr:uid="{00000000-0005-0000-0000-0000B5020000}"/>
    <cellStyle name="60% - Accent1 4 3" xfId="933" xr:uid="{00000000-0005-0000-0000-0000B6020000}"/>
    <cellStyle name="60% - Accent1 4 4" xfId="934" xr:uid="{00000000-0005-0000-0000-0000B7020000}"/>
    <cellStyle name="60% - Accent1 4 5" xfId="935" xr:uid="{00000000-0005-0000-0000-0000B8020000}"/>
    <cellStyle name="60% - Accent1 4 6" xfId="936" xr:uid="{00000000-0005-0000-0000-0000B9020000}"/>
    <cellStyle name="60% - Accent1 5 2" xfId="937" xr:uid="{00000000-0005-0000-0000-0000BA020000}"/>
    <cellStyle name="60% - Accent1 5 3" xfId="938" xr:uid="{00000000-0005-0000-0000-0000BB020000}"/>
    <cellStyle name="60% - Accent1 5 4" xfId="939" xr:uid="{00000000-0005-0000-0000-0000BC020000}"/>
    <cellStyle name="60% - Accent1 5 5" xfId="940" xr:uid="{00000000-0005-0000-0000-0000BD020000}"/>
    <cellStyle name="60% - Accent1 5 6" xfId="941" xr:uid="{00000000-0005-0000-0000-0000BE020000}"/>
    <cellStyle name="60% - Accent1 6 2" xfId="942" xr:uid="{00000000-0005-0000-0000-0000BF020000}"/>
    <cellStyle name="60% - Accent1 6 3" xfId="943" xr:uid="{00000000-0005-0000-0000-0000C0020000}"/>
    <cellStyle name="60% - Accent1 6 4" xfId="944" xr:uid="{00000000-0005-0000-0000-0000C1020000}"/>
    <cellStyle name="60% - Accent1 6 5" xfId="945" xr:uid="{00000000-0005-0000-0000-0000C2020000}"/>
    <cellStyle name="60% - Accent1 6 6" xfId="946" xr:uid="{00000000-0005-0000-0000-0000C3020000}"/>
    <cellStyle name="60% - Accent1 7 2" xfId="947" xr:uid="{00000000-0005-0000-0000-0000C4020000}"/>
    <cellStyle name="60% - Accent1 7 3" xfId="948" xr:uid="{00000000-0005-0000-0000-0000C5020000}"/>
    <cellStyle name="60% - Accent1 7 4" xfId="949" xr:uid="{00000000-0005-0000-0000-0000C6020000}"/>
    <cellStyle name="60% - Accent1 7 5" xfId="950" xr:uid="{00000000-0005-0000-0000-0000C7020000}"/>
    <cellStyle name="60% - Accent1 7 6" xfId="951" xr:uid="{00000000-0005-0000-0000-0000C8020000}"/>
    <cellStyle name="60% - Accent1 8 2" xfId="952" xr:uid="{00000000-0005-0000-0000-0000C9020000}"/>
    <cellStyle name="60% - Accent1 8 3" xfId="953" xr:uid="{00000000-0005-0000-0000-0000CA020000}"/>
    <cellStyle name="60% - Accent1 8 4" xfId="954" xr:uid="{00000000-0005-0000-0000-0000CB020000}"/>
    <cellStyle name="60% - Accent1 8 5" xfId="955" xr:uid="{00000000-0005-0000-0000-0000CC020000}"/>
    <cellStyle name="60% - Accent1 8 6" xfId="956" xr:uid="{00000000-0005-0000-0000-0000CD020000}"/>
    <cellStyle name="60% - Accent1 9 2" xfId="957" xr:uid="{00000000-0005-0000-0000-0000CE020000}"/>
    <cellStyle name="60% - Accent1 9 3" xfId="958" xr:uid="{00000000-0005-0000-0000-0000CF020000}"/>
    <cellStyle name="60% - Accent1 9 4" xfId="959" xr:uid="{00000000-0005-0000-0000-0000D0020000}"/>
    <cellStyle name="60% - Accent1 9 5" xfId="960" xr:uid="{00000000-0005-0000-0000-0000D1020000}"/>
    <cellStyle name="60% - Accent1 9 6" xfId="961" xr:uid="{00000000-0005-0000-0000-0000D2020000}"/>
    <cellStyle name="60% - Accent2 10 2" xfId="962" xr:uid="{00000000-0005-0000-0000-0000D3020000}"/>
    <cellStyle name="60% - Accent2 10 3" xfId="963" xr:uid="{00000000-0005-0000-0000-0000D4020000}"/>
    <cellStyle name="60% - Accent2 10 4" xfId="964" xr:uid="{00000000-0005-0000-0000-0000D5020000}"/>
    <cellStyle name="60% - Accent2 10 5" xfId="965" xr:uid="{00000000-0005-0000-0000-0000D6020000}"/>
    <cellStyle name="60% - Accent2 10 6" xfId="966" xr:uid="{00000000-0005-0000-0000-0000D7020000}"/>
    <cellStyle name="60% - Accent2 11 2" xfId="967" xr:uid="{00000000-0005-0000-0000-0000D8020000}"/>
    <cellStyle name="60% - Accent2 11 3" xfId="968" xr:uid="{00000000-0005-0000-0000-0000D9020000}"/>
    <cellStyle name="60% - Accent2 11 4" xfId="969" xr:uid="{00000000-0005-0000-0000-0000DA020000}"/>
    <cellStyle name="60% - Accent2 11 5" xfId="970" xr:uid="{00000000-0005-0000-0000-0000DB020000}"/>
    <cellStyle name="60% - Accent2 11 6" xfId="971" xr:uid="{00000000-0005-0000-0000-0000DC020000}"/>
    <cellStyle name="60% - Accent2 2" xfId="972" xr:uid="{00000000-0005-0000-0000-0000DD020000}"/>
    <cellStyle name="60% - Accent2 2 2" xfId="973" xr:uid="{00000000-0005-0000-0000-0000DE020000}"/>
    <cellStyle name="60% - Accent2 2 3" xfId="974" xr:uid="{00000000-0005-0000-0000-0000DF020000}"/>
    <cellStyle name="60% - Accent2 2 4" xfId="975" xr:uid="{00000000-0005-0000-0000-0000E0020000}"/>
    <cellStyle name="60% - Accent2 2 5" xfId="976" xr:uid="{00000000-0005-0000-0000-0000E1020000}"/>
    <cellStyle name="60% - Accent2 2 6" xfId="977" xr:uid="{00000000-0005-0000-0000-0000E2020000}"/>
    <cellStyle name="60% - Accent2 2 7" xfId="4253" xr:uid="{0B92FF88-4468-4EF3-88C1-E5A94265258E}"/>
    <cellStyle name="60% - Accent2 3" xfId="978" xr:uid="{00000000-0005-0000-0000-0000E3020000}"/>
    <cellStyle name="60% - Accent2 3 2" xfId="979" xr:uid="{00000000-0005-0000-0000-0000E4020000}"/>
    <cellStyle name="60% - Accent2 3 3" xfId="980" xr:uid="{00000000-0005-0000-0000-0000E5020000}"/>
    <cellStyle name="60% - Accent2 3 4" xfId="981" xr:uid="{00000000-0005-0000-0000-0000E6020000}"/>
    <cellStyle name="60% - Accent2 3 5" xfId="982" xr:uid="{00000000-0005-0000-0000-0000E7020000}"/>
    <cellStyle name="60% - Accent2 3 6" xfId="983" xr:uid="{00000000-0005-0000-0000-0000E8020000}"/>
    <cellStyle name="60% - Accent2 4 2" xfId="984" xr:uid="{00000000-0005-0000-0000-0000E9020000}"/>
    <cellStyle name="60% - Accent2 4 3" xfId="985" xr:uid="{00000000-0005-0000-0000-0000EA020000}"/>
    <cellStyle name="60% - Accent2 4 4" xfId="986" xr:uid="{00000000-0005-0000-0000-0000EB020000}"/>
    <cellStyle name="60% - Accent2 4 5" xfId="987" xr:uid="{00000000-0005-0000-0000-0000EC020000}"/>
    <cellStyle name="60% - Accent2 4 6" xfId="988" xr:uid="{00000000-0005-0000-0000-0000ED020000}"/>
    <cellStyle name="60% - Accent2 5 2" xfId="989" xr:uid="{00000000-0005-0000-0000-0000EE020000}"/>
    <cellStyle name="60% - Accent2 5 3" xfId="990" xr:uid="{00000000-0005-0000-0000-0000EF020000}"/>
    <cellStyle name="60% - Accent2 5 4" xfId="991" xr:uid="{00000000-0005-0000-0000-0000F0020000}"/>
    <cellStyle name="60% - Accent2 5 5" xfId="992" xr:uid="{00000000-0005-0000-0000-0000F1020000}"/>
    <cellStyle name="60% - Accent2 5 6" xfId="993" xr:uid="{00000000-0005-0000-0000-0000F2020000}"/>
    <cellStyle name="60% - Accent2 6 2" xfId="994" xr:uid="{00000000-0005-0000-0000-0000F3020000}"/>
    <cellStyle name="60% - Accent2 6 3" xfId="995" xr:uid="{00000000-0005-0000-0000-0000F4020000}"/>
    <cellStyle name="60% - Accent2 6 4" xfId="996" xr:uid="{00000000-0005-0000-0000-0000F5020000}"/>
    <cellStyle name="60% - Accent2 6 5" xfId="997" xr:uid="{00000000-0005-0000-0000-0000F6020000}"/>
    <cellStyle name="60% - Accent2 6 6" xfId="998" xr:uid="{00000000-0005-0000-0000-0000F7020000}"/>
    <cellStyle name="60% - Accent2 7 2" xfId="999" xr:uid="{00000000-0005-0000-0000-0000F8020000}"/>
    <cellStyle name="60% - Accent2 7 3" xfId="1000" xr:uid="{00000000-0005-0000-0000-0000F9020000}"/>
    <cellStyle name="60% - Accent2 7 4" xfId="1001" xr:uid="{00000000-0005-0000-0000-0000FA020000}"/>
    <cellStyle name="60% - Accent2 7 5" xfId="1002" xr:uid="{00000000-0005-0000-0000-0000FB020000}"/>
    <cellStyle name="60% - Accent2 7 6" xfId="1003" xr:uid="{00000000-0005-0000-0000-0000FC020000}"/>
    <cellStyle name="60% - Accent2 8 2" xfId="1004" xr:uid="{00000000-0005-0000-0000-0000FD020000}"/>
    <cellStyle name="60% - Accent2 8 3" xfId="1005" xr:uid="{00000000-0005-0000-0000-0000FE020000}"/>
    <cellStyle name="60% - Accent2 8 4" xfId="1006" xr:uid="{00000000-0005-0000-0000-0000FF020000}"/>
    <cellStyle name="60% - Accent2 8 5" xfId="1007" xr:uid="{00000000-0005-0000-0000-000000030000}"/>
    <cellStyle name="60% - Accent2 8 6" xfId="1008" xr:uid="{00000000-0005-0000-0000-000001030000}"/>
    <cellStyle name="60% - Accent2 9 2" xfId="1009" xr:uid="{00000000-0005-0000-0000-000002030000}"/>
    <cellStyle name="60% - Accent2 9 3" xfId="1010" xr:uid="{00000000-0005-0000-0000-000003030000}"/>
    <cellStyle name="60% - Accent2 9 4" xfId="1011" xr:uid="{00000000-0005-0000-0000-000004030000}"/>
    <cellStyle name="60% - Accent2 9 5" xfId="1012" xr:uid="{00000000-0005-0000-0000-000005030000}"/>
    <cellStyle name="60% - Accent2 9 6" xfId="1013" xr:uid="{00000000-0005-0000-0000-000006030000}"/>
    <cellStyle name="60% - Accent3 10 2" xfId="1014" xr:uid="{00000000-0005-0000-0000-000007030000}"/>
    <cellStyle name="60% - Accent3 10 3" xfId="1015" xr:uid="{00000000-0005-0000-0000-000008030000}"/>
    <cellStyle name="60% - Accent3 10 4" xfId="1016" xr:uid="{00000000-0005-0000-0000-000009030000}"/>
    <cellStyle name="60% - Accent3 10 5" xfId="1017" xr:uid="{00000000-0005-0000-0000-00000A030000}"/>
    <cellStyle name="60% - Accent3 10 6" xfId="1018" xr:uid="{00000000-0005-0000-0000-00000B030000}"/>
    <cellStyle name="60% - Accent3 11 2" xfId="1019" xr:uid="{00000000-0005-0000-0000-00000C030000}"/>
    <cellStyle name="60% - Accent3 11 3" xfId="1020" xr:uid="{00000000-0005-0000-0000-00000D030000}"/>
    <cellStyle name="60% - Accent3 11 4" xfId="1021" xr:uid="{00000000-0005-0000-0000-00000E030000}"/>
    <cellStyle name="60% - Accent3 11 5" xfId="1022" xr:uid="{00000000-0005-0000-0000-00000F030000}"/>
    <cellStyle name="60% - Accent3 11 6" xfId="1023" xr:uid="{00000000-0005-0000-0000-000010030000}"/>
    <cellStyle name="60% - Accent3 2" xfId="1024" xr:uid="{00000000-0005-0000-0000-000011030000}"/>
    <cellStyle name="60% - Accent3 2 2" xfId="1025" xr:uid="{00000000-0005-0000-0000-000012030000}"/>
    <cellStyle name="60% - Accent3 2 3" xfId="1026" xr:uid="{00000000-0005-0000-0000-000013030000}"/>
    <cellStyle name="60% - Accent3 2 4" xfId="1027" xr:uid="{00000000-0005-0000-0000-000014030000}"/>
    <cellStyle name="60% - Accent3 2 5" xfId="1028" xr:uid="{00000000-0005-0000-0000-000015030000}"/>
    <cellStyle name="60% - Accent3 2 6" xfId="1029" xr:uid="{00000000-0005-0000-0000-000016030000}"/>
    <cellStyle name="60% - Accent3 2 7" xfId="4252" xr:uid="{790C48DE-1A1E-422F-AB29-D0F4DD0E104D}"/>
    <cellStyle name="60% - Accent3 3" xfId="1030" xr:uid="{00000000-0005-0000-0000-000017030000}"/>
    <cellStyle name="60% - Accent3 3 2" xfId="1031" xr:uid="{00000000-0005-0000-0000-000018030000}"/>
    <cellStyle name="60% - Accent3 3 3" xfId="1032" xr:uid="{00000000-0005-0000-0000-000019030000}"/>
    <cellStyle name="60% - Accent3 3 4" xfId="1033" xr:uid="{00000000-0005-0000-0000-00001A030000}"/>
    <cellStyle name="60% - Accent3 3 5" xfId="1034" xr:uid="{00000000-0005-0000-0000-00001B030000}"/>
    <cellStyle name="60% - Accent3 3 6" xfId="1035" xr:uid="{00000000-0005-0000-0000-00001C030000}"/>
    <cellStyle name="60% - Accent3 4 2" xfId="1036" xr:uid="{00000000-0005-0000-0000-00001D030000}"/>
    <cellStyle name="60% - Accent3 4 3" xfId="1037" xr:uid="{00000000-0005-0000-0000-00001E030000}"/>
    <cellStyle name="60% - Accent3 4 4" xfId="1038" xr:uid="{00000000-0005-0000-0000-00001F030000}"/>
    <cellStyle name="60% - Accent3 4 5" xfId="1039" xr:uid="{00000000-0005-0000-0000-000020030000}"/>
    <cellStyle name="60% - Accent3 4 6" xfId="1040" xr:uid="{00000000-0005-0000-0000-000021030000}"/>
    <cellStyle name="60% - Accent3 5 2" xfId="1041" xr:uid="{00000000-0005-0000-0000-000022030000}"/>
    <cellStyle name="60% - Accent3 5 3" xfId="1042" xr:uid="{00000000-0005-0000-0000-000023030000}"/>
    <cellStyle name="60% - Accent3 5 4" xfId="1043" xr:uid="{00000000-0005-0000-0000-000024030000}"/>
    <cellStyle name="60% - Accent3 5 5" xfId="1044" xr:uid="{00000000-0005-0000-0000-000025030000}"/>
    <cellStyle name="60% - Accent3 5 6" xfId="1045" xr:uid="{00000000-0005-0000-0000-000026030000}"/>
    <cellStyle name="60% - Accent3 6 2" xfId="1046" xr:uid="{00000000-0005-0000-0000-000027030000}"/>
    <cellStyle name="60% - Accent3 6 3" xfId="1047" xr:uid="{00000000-0005-0000-0000-000028030000}"/>
    <cellStyle name="60% - Accent3 6 4" xfId="1048" xr:uid="{00000000-0005-0000-0000-000029030000}"/>
    <cellStyle name="60% - Accent3 6 5" xfId="1049" xr:uid="{00000000-0005-0000-0000-00002A030000}"/>
    <cellStyle name="60% - Accent3 6 6" xfId="1050" xr:uid="{00000000-0005-0000-0000-00002B030000}"/>
    <cellStyle name="60% - Accent3 7 2" xfId="1051" xr:uid="{00000000-0005-0000-0000-00002C030000}"/>
    <cellStyle name="60% - Accent3 7 3" xfId="1052" xr:uid="{00000000-0005-0000-0000-00002D030000}"/>
    <cellStyle name="60% - Accent3 7 4" xfId="1053" xr:uid="{00000000-0005-0000-0000-00002E030000}"/>
    <cellStyle name="60% - Accent3 7 5" xfId="1054" xr:uid="{00000000-0005-0000-0000-00002F030000}"/>
    <cellStyle name="60% - Accent3 7 6" xfId="1055" xr:uid="{00000000-0005-0000-0000-000030030000}"/>
    <cellStyle name="60% - Accent3 8 2" xfId="1056" xr:uid="{00000000-0005-0000-0000-000031030000}"/>
    <cellStyle name="60% - Accent3 8 3" xfId="1057" xr:uid="{00000000-0005-0000-0000-000032030000}"/>
    <cellStyle name="60% - Accent3 8 4" xfId="1058" xr:uid="{00000000-0005-0000-0000-000033030000}"/>
    <cellStyle name="60% - Accent3 8 5" xfId="1059" xr:uid="{00000000-0005-0000-0000-000034030000}"/>
    <cellStyle name="60% - Accent3 8 6" xfId="1060" xr:uid="{00000000-0005-0000-0000-000035030000}"/>
    <cellStyle name="60% - Accent3 9 2" xfId="1061" xr:uid="{00000000-0005-0000-0000-000036030000}"/>
    <cellStyle name="60% - Accent3 9 3" xfId="1062" xr:uid="{00000000-0005-0000-0000-000037030000}"/>
    <cellStyle name="60% - Accent3 9 4" xfId="1063" xr:uid="{00000000-0005-0000-0000-000038030000}"/>
    <cellStyle name="60% - Accent3 9 5" xfId="1064" xr:uid="{00000000-0005-0000-0000-000039030000}"/>
    <cellStyle name="60% - Accent3 9 6" xfId="1065" xr:uid="{00000000-0005-0000-0000-00003A030000}"/>
    <cellStyle name="60% - Accent4 10 2" xfId="1066" xr:uid="{00000000-0005-0000-0000-00003B030000}"/>
    <cellStyle name="60% - Accent4 10 3" xfId="1067" xr:uid="{00000000-0005-0000-0000-00003C030000}"/>
    <cellStyle name="60% - Accent4 10 4" xfId="1068" xr:uid="{00000000-0005-0000-0000-00003D030000}"/>
    <cellStyle name="60% - Accent4 10 5" xfId="1069" xr:uid="{00000000-0005-0000-0000-00003E030000}"/>
    <cellStyle name="60% - Accent4 10 6" xfId="1070" xr:uid="{00000000-0005-0000-0000-00003F030000}"/>
    <cellStyle name="60% - Accent4 11 2" xfId="1071" xr:uid="{00000000-0005-0000-0000-000040030000}"/>
    <cellStyle name="60% - Accent4 11 3" xfId="1072" xr:uid="{00000000-0005-0000-0000-000041030000}"/>
    <cellStyle name="60% - Accent4 11 4" xfId="1073" xr:uid="{00000000-0005-0000-0000-000042030000}"/>
    <cellStyle name="60% - Accent4 11 5" xfId="1074" xr:uid="{00000000-0005-0000-0000-000043030000}"/>
    <cellStyle name="60% - Accent4 11 6" xfId="1075" xr:uid="{00000000-0005-0000-0000-000044030000}"/>
    <cellStyle name="60% - Accent4 2" xfId="1076" xr:uid="{00000000-0005-0000-0000-000045030000}"/>
    <cellStyle name="60% - Accent4 2 2" xfId="1077" xr:uid="{00000000-0005-0000-0000-000046030000}"/>
    <cellStyle name="60% - Accent4 2 3" xfId="1078" xr:uid="{00000000-0005-0000-0000-000047030000}"/>
    <cellStyle name="60% - Accent4 2 4" xfId="1079" xr:uid="{00000000-0005-0000-0000-000048030000}"/>
    <cellStyle name="60% - Accent4 2 5" xfId="1080" xr:uid="{00000000-0005-0000-0000-000049030000}"/>
    <cellStyle name="60% - Accent4 2 6" xfId="1081" xr:uid="{00000000-0005-0000-0000-00004A030000}"/>
    <cellStyle name="60% - Accent4 2 7" xfId="4048" xr:uid="{AAFB7083-032A-4355-B8BD-72B5F52E6FEA}"/>
    <cellStyle name="60% - Accent4 3" xfId="1082" xr:uid="{00000000-0005-0000-0000-00004B030000}"/>
    <cellStyle name="60% - Accent4 3 2" xfId="1083" xr:uid="{00000000-0005-0000-0000-00004C030000}"/>
    <cellStyle name="60% - Accent4 3 3" xfId="1084" xr:uid="{00000000-0005-0000-0000-00004D030000}"/>
    <cellStyle name="60% - Accent4 3 4" xfId="1085" xr:uid="{00000000-0005-0000-0000-00004E030000}"/>
    <cellStyle name="60% - Accent4 3 5" xfId="1086" xr:uid="{00000000-0005-0000-0000-00004F030000}"/>
    <cellStyle name="60% - Accent4 3 6" xfId="1087" xr:uid="{00000000-0005-0000-0000-000050030000}"/>
    <cellStyle name="60% - Accent4 4 2" xfId="1088" xr:uid="{00000000-0005-0000-0000-000051030000}"/>
    <cellStyle name="60% - Accent4 4 3" xfId="1089" xr:uid="{00000000-0005-0000-0000-000052030000}"/>
    <cellStyle name="60% - Accent4 4 4" xfId="1090" xr:uid="{00000000-0005-0000-0000-000053030000}"/>
    <cellStyle name="60% - Accent4 4 5" xfId="1091" xr:uid="{00000000-0005-0000-0000-000054030000}"/>
    <cellStyle name="60% - Accent4 4 6" xfId="1092" xr:uid="{00000000-0005-0000-0000-000055030000}"/>
    <cellStyle name="60% - Accent4 5 2" xfId="1093" xr:uid="{00000000-0005-0000-0000-000056030000}"/>
    <cellStyle name="60% - Accent4 5 3" xfId="1094" xr:uid="{00000000-0005-0000-0000-000057030000}"/>
    <cellStyle name="60% - Accent4 5 4" xfId="1095" xr:uid="{00000000-0005-0000-0000-000058030000}"/>
    <cellStyle name="60% - Accent4 5 5" xfId="1096" xr:uid="{00000000-0005-0000-0000-000059030000}"/>
    <cellStyle name="60% - Accent4 5 6" xfId="1097" xr:uid="{00000000-0005-0000-0000-00005A030000}"/>
    <cellStyle name="60% - Accent4 6 2" xfId="1098" xr:uid="{00000000-0005-0000-0000-00005B030000}"/>
    <cellStyle name="60% - Accent4 6 3" xfId="1099" xr:uid="{00000000-0005-0000-0000-00005C030000}"/>
    <cellStyle name="60% - Accent4 6 4" xfId="1100" xr:uid="{00000000-0005-0000-0000-00005D030000}"/>
    <cellStyle name="60% - Accent4 6 5" xfId="1101" xr:uid="{00000000-0005-0000-0000-00005E030000}"/>
    <cellStyle name="60% - Accent4 6 6" xfId="1102" xr:uid="{00000000-0005-0000-0000-00005F030000}"/>
    <cellStyle name="60% - Accent4 7 2" xfId="1103" xr:uid="{00000000-0005-0000-0000-000060030000}"/>
    <cellStyle name="60% - Accent4 7 3" xfId="1104" xr:uid="{00000000-0005-0000-0000-000061030000}"/>
    <cellStyle name="60% - Accent4 7 4" xfId="1105" xr:uid="{00000000-0005-0000-0000-000062030000}"/>
    <cellStyle name="60% - Accent4 7 5" xfId="1106" xr:uid="{00000000-0005-0000-0000-000063030000}"/>
    <cellStyle name="60% - Accent4 7 6" xfId="1107" xr:uid="{00000000-0005-0000-0000-000064030000}"/>
    <cellStyle name="60% - Accent4 8 2" xfId="1108" xr:uid="{00000000-0005-0000-0000-000065030000}"/>
    <cellStyle name="60% - Accent4 8 3" xfId="1109" xr:uid="{00000000-0005-0000-0000-000066030000}"/>
    <cellStyle name="60% - Accent4 8 4" xfId="1110" xr:uid="{00000000-0005-0000-0000-000067030000}"/>
    <cellStyle name="60% - Accent4 8 5" xfId="1111" xr:uid="{00000000-0005-0000-0000-000068030000}"/>
    <cellStyle name="60% - Accent4 8 6" xfId="1112" xr:uid="{00000000-0005-0000-0000-000069030000}"/>
    <cellStyle name="60% - Accent4 9 2" xfId="1113" xr:uid="{00000000-0005-0000-0000-00006A030000}"/>
    <cellStyle name="60% - Accent4 9 3" xfId="1114" xr:uid="{00000000-0005-0000-0000-00006B030000}"/>
    <cellStyle name="60% - Accent4 9 4" xfId="1115" xr:uid="{00000000-0005-0000-0000-00006C030000}"/>
    <cellStyle name="60% - Accent4 9 5" xfId="1116" xr:uid="{00000000-0005-0000-0000-00006D030000}"/>
    <cellStyle name="60% - Accent4 9 6" xfId="1117" xr:uid="{00000000-0005-0000-0000-00006E030000}"/>
    <cellStyle name="60% - Accent5 10 2" xfId="1118" xr:uid="{00000000-0005-0000-0000-00006F030000}"/>
    <cellStyle name="60% - Accent5 10 3" xfId="1119" xr:uid="{00000000-0005-0000-0000-000070030000}"/>
    <cellStyle name="60% - Accent5 10 4" xfId="1120" xr:uid="{00000000-0005-0000-0000-000071030000}"/>
    <cellStyle name="60% - Accent5 10 5" xfId="1121" xr:uid="{00000000-0005-0000-0000-000072030000}"/>
    <cellStyle name="60% - Accent5 10 6" xfId="1122" xr:uid="{00000000-0005-0000-0000-000073030000}"/>
    <cellStyle name="60% - Accent5 11 2" xfId="1123" xr:uid="{00000000-0005-0000-0000-000074030000}"/>
    <cellStyle name="60% - Accent5 11 3" xfId="1124" xr:uid="{00000000-0005-0000-0000-000075030000}"/>
    <cellStyle name="60% - Accent5 11 4" xfId="1125" xr:uid="{00000000-0005-0000-0000-000076030000}"/>
    <cellStyle name="60% - Accent5 11 5" xfId="1126" xr:uid="{00000000-0005-0000-0000-000077030000}"/>
    <cellStyle name="60% - Accent5 11 6" xfId="1127" xr:uid="{00000000-0005-0000-0000-000078030000}"/>
    <cellStyle name="60% - Accent5 2" xfId="1128" xr:uid="{00000000-0005-0000-0000-000079030000}"/>
    <cellStyle name="60% - Accent5 2 2" xfId="1129" xr:uid="{00000000-0005-0000-0000-00007A030000}"/>
    <cellStyle name="60% - Accent5 2 3" xfId="1130" xr:uid="{00000000-0005-0000-0000-00007B030000}"/>
    <cellStyle name="60% - Accent5 2 4" xfId="1131" xr:uid="{00000000-0005-0000-0000-00007C030000}"/>
    <cellStyle name="60% - Accent5 2 5" xfId="1132" xr:uid="{00000000-0005-0000-0000-00007D030000}"/>
    <cellStyle name="60% - Accent5 2 6" xfId="1133" xr:uid="{00000000-0005-0000-0000-00007E030000}"/>
    <cellStyle name="60% - Accent5 2 7" xfId="4251" xr:uid="{98156210-D64C-40AE-AB86-623AD9DB28F9}"/>
    <cellStyle name="60% - Accent5 3" xfId="1134" xr:uid="{00000000-0005-0000-0000-00007F030000}"/>
    <cellStyle name="60% - Accent5 3 2" xfId="1135" xr:uid="{00000000-0005-0000-0000-000080030000}"/>
    <cellStyle name="60% - Accent5 3 3" xfId="1136" xr:uid="{00000000-0005-0000-0000-000081030000}"/>
    <cellStyle name="60% - Accent5 3 4" xfId="1137" xr:uid="{00000000-0005-0000-0000-000082030000}"/>
    <cellStyle name="60% - Accent5 3 5" xfId="1138" xr:uid="{00000000-0005-0000-0000-000083030000}"/>
    <cellStyle name="60% - Accent5 3 6" xfId="1139" xr:uid="{00000000-0005-0000-0000-000084030000}"/>
    <cellStyle name="60% - Accent5 4 2" xfId="1140" xr:uid="{00000000-0005-0000-0000-000085030000}"/>
    <cellStyle name="60% - Accent5 4 3" xfId="1141" xr:uid="{00000000-0005-0000-0000-000086030000}"/>
    <cellStyle name="60% - Accent5 4 4" xfId="1142" xr:uid="{00000000-0005-0000-0000-000087030000}"/>
    <cellStyle name="60% - Accent5 4 5" xfId="1143" xr:uid="{00000000-0005-0000-0000-000088030000}"/>
    <cellStyle name="60% - Accent5 4 6" xfId="1144" xr:uid="{00000000-0005-0000-0000-000089030000}"/>
    <cellStyle name="60% - Accent5 5 2" xfId="1145" xr:uid="{00000000-0005-0000-0000-00008A030000}"/>
    <cellStyle name="60% - Accent5 5 3" xfId="1146" xr:uid="{00000000-0005-0000-0000-00008B030000}"/>
    <cellStyle name="60% - Accent5 5 4" xfId="1147" xr:uid="{00000000-0005-0000-0000-00008C030000}"/>
    <cellStyle name="60% - Accent5 5 5" xfId="1148" xr:uid="{00000000-0005-0000-0000-00008D030000}"/>
    <cellStyle name="60% - Accent5 5 6" xfId="1149" xr:uid="{00000000-0005-0000-0000-00008E030000}"/>
    <cellStyle name="60% - Accent5 6 2" xfId="1150" xr:uid="{00000000-0005-0000-0000-00008F030000}"/>
    <cellStyle name="60% - Accent5 6 3" xfId="1151" xr:uid="{00000000-0005-0000-0000-000090030000}"/>
    <cellStyle name="60% - Accent5 6 4" xfId="1152" xr:uid="{00000000-0005-0000-0000-000091030000}"/>
    <cellStyle name="60% - Accent5 6 5" xfId="1153" xr:uid="{00000000-0005-0000-0000-000092030000}"/>
    <cellStyle name="60% - Accent5 6 6" xfId="1154" xr:uid="{00000000-0005-0000-0000-000093030000}"/>
    <cellStyle name="60% - Accent5 7 2" xfId="1155" xr:uid="{00000000-0005-0000-0000-000094030000}"/>
    <cellStyle name="60% - Accent5 7 3" xfId="1156" xr:uid="{00000000-0005-0000-0000-000095030000}"/>
    <cellStyle name="60% - Accent5 7 4" xfId="1157" xr:uid="{00000000-0005-0000-0000-000096030000}"/>
    <cellStyle name="60% - Accent5 7 5" xfId="1158" xr:uid="{00000000-0005-0000-0000-000097030000}"/>
    <cellStyle name="60% - Accent5 7 6" xfId="1159" xr:uid="{00000000-0005-0000-0000-000098030000}"/>
    <cellStyle name="60% - Accent5 8 2" xfId="1160" xr:uid="{00000000-0005-0000-0000-000099030000}"/>
    <cellStyle name="60% - Accent5 8 3" xfId="1161" xr:uid="{00000000-0005-0000-0000-00009A030000}"/>
    <cellStyle name="60% - Accent5 8 4" xfId="1162" xr:uid="{00000000-0005-0000-0000-00009B030000}"/>
    <cellStyle name="60% - Accent5 8 5" xfId="1163" xr:uid="{00000000-0005-0000-0000-00009C030000}"/>
    <cellStyle name="60% - Accent5 8 6" xfId="1164" xr:uid="{00000000-0005-0000-0000-00009D030000}"/>
    <cellStyle name="60% - Accent5 9 2" xfId="1165" xr:uid="{00000000-0005-0000-0000-00009E030000}"/>
    <cellStyle name="60% - Accent5 9 3" xfId="1166" xr:uid="{00000000-0005-0000-0000-00009F030000}"/>
    <cellStyle name="60% - Accent5 9 4" xfId="1167" xr:uid="{00000000-0005-0000-0000-0000A0030000}"/>
    <cellStyle name="60% - Accent5 9 5" xfId="1168" xr:uid="{00000000-0005-0000-0000-0000A1030000}"/>
    <cellStyle name="60% - Accent5 9 6" xfId="1169" xr:uid="{00000000-0005-0000-0000-0000A2030000}"/>
    <cellStyle name="60% - Accent6 10 2" xfId="1170" xr:uid="{00000000-0005-0000-0000-0000A3030000}"/>
    <cellStyle name="60% - Accent6 10 3" xfId="1171" xr:uid="{00000000-0005-0000-0000-0000A4030000}"/>
    <cellStyle name="60% - Accent6 10 4" xfId="1172" xr:uid="{00000000-0005-0000-0000-0000A5030000}"/>
    <cellStyle name="60% - Accent6 10 5" xfId="1173" xr:uid="{00000000-0005-0000-0000-0000A6030000}"/>
    <cellStyle name="60% - Accent6 10 6" xfId="1174" xr:uid="{00000000-0005-0000-0000-0000A7030000}"/>
    <cellStyle name="60% - Accent6 11 2" xfId="1175" xr:uid="{00000000-0005-0000-0000-0000A8030000}"/>
    <cellStyle name="60% - Accent6 11 3" xfId="1176" xr:uid="{00000000-0005-0000-0000-0000A9030000}"/>
    <cellStyle name="60% - Accent6 11 4" xfId="1177" xr:uid="{00000000-0005-0000-0000-0000AA030000}"/>
    <cellStyle name="60% - Accent6 11 5" xfId="1178" xr:uid="{00000000-0005-0000-0000-0000AB030000}"/>
    <cellStyle name="60% - Accent6 11 6" xfId="1179" xr:uid="{00000000-0005-0000-0000-0000AC030000}"/>
    <cellStyle name="60% - Accent6 2" xfId="1180" xr:uid="{00000000-0005-0000-0000-0000AD030000}"/>
    <cellStyle name="60% - Accent6 2 2" xfId="1181" xr:uid="{00000000-0005-0000-0000-0000AE030000}"/>
    <cellStyle name="60% - Accent6 2 3" xfId="1182" xr:uid="{00000000-0005-0000-0000-0000AF030000}"/>
    <cellStyle name="60% - Accent6 2 4" xfId="1183" xr:uid="{00000000-0005-0000-0000-0000B0030000}"/>
    <cellStyle name="60% - Accent6 2 5" xfId="1184" xr:uid="{00000000-0005-0000-0000-0000B1030000}"/>
    <cellStyle name="60% - Accent6 2 6" xfId="1185" xr:uid="{00000000-0005-0000-0000-0000B2030000}"/>
    <cellStyle name="60% - Accent6 2 7" xfId="4250" xr:uid="{B23AE838-210A-4E81-ABFE-C9D5F2EF5A49}"/>
    <cellStyle name="60% - Accent6 3" xfId="1186" xr:uid="{00000000-0005-0000-0000-0000B3030000}"/>
    <cellStyle name="60% - Accent6 3 2" xfId="1187" xr:uid="{00000000-0005-0000-0000-0000B4030000}"/>
    <cellStyle name="60% - Accent6 3 3" xfId="1188" xr:uid="{00000000-0005-0000-0000-0000B5030000}"/>
    <cellStyle name="60% - Accent6 3 4" xfId="1189" xr:uid="{00000000-0005-0000-0000-0000B6030000}"/>
    <cellStyle name="60% - Accent6 3 5" xfId="1190" xr:uid="{00000000-0005-0000-0000-0000B7030000}"/>
    <cellStyle name="60% - Accent6 3 6" xfId="1191" xr:uid="{00000000-0005-0000-0000-0000B8030000}"/>
    <cellStyle name="60% - Accent6 4 2" xfId="1192" xr:uid="{00000000-0005-0000-0000-0000B9030000}"/>
    <cellStyle name="60% - Accent6 4 3" xfId="1193" xr:uid="{00000000-0005-0000-0000-0000BA030000}"/>
    <cellStyle name="60% - Accent6 4 4" xfId="1194" xr:uid="{00000000-0005-0000-0000-0000BB030000}"/>
    <cellStyle name="60% - Accent6 4 5" xfId="1195" xr:uid="{00000000-0005-0000-0000-0000BC030000}"/>
    <cellStyle name="60% - Accent6 4 6" xfId="1196" xr:uid="{00000000-0005-0000-0000-0000BD030000}"/>
    <cellStyle name="60% - Accent6 5 2" xfId="1197" xr:uid="{00000000-0005-0000-0000-0000BE030000}"/>
    <cellStyle name="60% - Accent6 5 3" xfId="1198" xr:uid="{00000000-0005-0000-0000-0000BF030000}"/>
    <cellStyle name="60% - Accent6 5 4" xfId="1199" xr:uid="{00000000-0005-0000-0000-0000C0030000}"/>
    <cellStyle name="60% - Accent6 5 5" xfId="1200" xr:uid="{00000000-0005-0000-0000-0000C1030000}"/>
    <cellStyle name="60% - Accent6 5 6" xfId="1201" xr:uid="{00000000-0005-0000-0000-0000C2030000}"/>
    <cellStyle name="60% - Accent6 6 2" xfId="1202" xr:uid="{00000000-0005-0000-0000-0000C3030000}"/>
    <cellStyle name="60% - Accent6 6 3" xfId="1203" xr:uid="{00000000-0005-0000-0000-0000C4030000}"/>
    <cellStyle name="60% - Accent6 6 4" xfId="1204" xr:uid="{00000000-0005-0000-0000-0000C5030000}"/>
    <cellStyle name="60% - Accent6 6 5" xfId="1205" xr:uid="{00000000-0005-0000-0000-0000C6030000}"/>
    <cellStyle name="60% - Accent6 6 6" xfId="1206" xr:uid="{00000000-0005-0000-0000-0000C7030000}"/>
    <cellStyle name="60% - Accent6 7 2" xfId="1207" xr:uid="{00000000-0005-0000-0000-0000C8030000}"/>
    <cellStyle name="60% - Accent6 7 3" xfId="1208" xr:uid="{00000000-0005-0000-0000-0000C9030000}"/>
    <cellStyle name="60% - Accent6 7 4" xfId="1209" xr:uid="{00000000-0005-0000-0000-0000CA030000}"/>
    <cellStyle name="60% - Accent6 7 5" xfId="1210" xr:uid="{00000000-0005-0000-0000-0000CB030000}"/>
    <cellStyle name="60% - Accent6 7 6" xfId="1211" xr:uid="{00000000-0005-0000-0000-0000CC030000}"/>
    <cellStyle name="60% - Accent6 8 2" xfId="1212" xr:uid="{00000000-0005-0000-0000-0000CD030000}"/>
    <cellStyle name="60% - Accent6 8 3" xfId="1213" xr:uid="{00000000-0005-0000-0000-0000CE030000}"/>
    <cellStyle name="60% - Accent6 8 4" xfId="1214" xr:uid="{00000000-0005-0000-0000-0000CF030000}"/>
    <cellStyle name="60% - Accent6 8 5" xfId="1215" xr:uid="{00000000-0005-0000-0000-0000D0030000}"/>
    <cellStyle name="60% - Accent6 8 6" xfId="1216" xr:uid="{00000000-0005-0000-0000-0000D1030000}"/>
    <cellStyle name="60% - Accent6 9 2" xfId="1217" xr:uid="{00000000-0005-0000-0000-0000D2030000}"/>
    <cellStyle name="60% - Accent6 9 3" xfId="1218" xr:uid="{00000000-0005-0000-0000-0000D3030000}"/>
    <cellStyle name="60% - Accent6 9 4" xfId="1219" xr:uid="{00000000-0005-0000-0000-0000D4030000}"/>
    <cellStyle name="60% - Accent6 9 5" xfId="1220" xr:uid="{00000000-0005-0000-0000-0000D5030000}"/>
    <cellStyle name="60% - Accent6 9 6" xfId="1221" xr:uid="{00000000-0005-0000-0000-0000D6030000}"/>
    <cellStyle name="7" xfId="48" xr:uid="{00000000-0005-0000-0000-0000D7030000}"/>
    <cellStyle name="7 2" xfId="5250" xr:uid="{1E13D056-7C10-4F99-9808-A3A8B4432DCF}"/>
    <cellStyle name="7 3" xfId="3510" xr:uid="{AF8E821C-970E-4EC2-9C9A-D70272117684}"/>
    <cellStyle name="8" xfId="49" xr:uid="{00000000-0005-0000-0000-0000D8030000}"/>
    <cellStyle name="8 2" xfId="5251" xr:uid="{AD8E1518-11B4-4CFC-BE0C-45B06028389C}"/>
    <cellStyle name="8 3" xfId="3511" xr:uid="{9F26AA4D-F95F-4068-AEE6-D6EFA57AFCE4}"/>
    <cellStyle name="9" xfId="50" xr:uid="{00000000-0005-0000-0000-0000D9030000}"/>
    <cellStyle name="9 2" xfId="5252" xr:uid="{4BFD0BFC-9485-4889-B266-410FF609CE3F}"/>
    <cellStyle name="9 3" xfId="3512" xr:uid="{81A8A30C-7DB1-42A4-855C-C732412F5CFA}"/>
    <cellStyle name="Accent1 - 20%" xfId="51" xr:uid="{00000000-0005-0000-0000-0000DA030000}"/>
    <cellStyle name="Accent1 - 40%" xfId="52" xr:uid="{00000000-0005-0000-0000-0000DB030000}"/>
    <cellStyle name="Accent1 - 60%" xfId="53" xr:uid="{00000000-0005-0000-0000-0000DC030000}"/>
    <cellStyle name="Accent1 10 2" xfId="1222" xr:uid="{00000000-0005-0000-0000-0000DD030000}"/>
    <cellStyle name="Accent1 10 3" xfId="1223" xr:uid="{00000000-0005-0000-0000-0000DE030000}"/>
    <cellStyle name="Accent1 10 4" xfId="1224" xr:uid="{00000000-0005-0000-0000-0000DF030000}"/>
    <cellStyle name="Accent1 10 5" xfId="1225" xr:uid="{00000000-0005-0000-0000-0000E0030000}"/>
    <cellStyle name="Accent1 10 6" xfId="1226" xr:uid="{00000000-0005-0000-0000-0000E1030000}"/>
    <cellStyle name="Accent1 11 2" xfId="1227" xr:uid="{00000000-0005-0000-0000-0000E2030000}"/>
    <cellStyle name="Accent1 11 3" xfId="1228" xr:uid="{00000000-0005-0000-0000-0000E3030000}"/>
    <cellStyle name="Accent1 11 4" xfId="1229" xr:uid="{00000000-0005-0000-0000-0000E4030000}"/>
    <cellStyle name="Accent1 11 5" xfId="1230" xr:uid="{00000000-0005-0000-0000-0000E5030000}"/>
    <cellStyle name="Accent1 11 6" xfId="1231" xr:uid="{00000000-0005-0000-0000-0000E6030000}"/>
    <cellStyle name="Accent1 2" xfId="54" xr:uid="{00000000-0005-0000-0000-0000E7030000}"/>
    <cellStyle name="Accent1 2 2" xfId="1232" xr:uid="{00000000-0005-0000-0000-0000E8030000}"/>
    <cellStyle name="Accent1 2 3" xfId="1233" xr:uid="{00000000-0005-0000-0000-0000E9030000}"/>
    <cellStyle name="Accent1 2 3 2" xfId="4136" xr:uid="{AD04D1FA-C794-4998-9D4D-28906A3FBB44}"/>
    <cellStyle name="Accent1 2 3 3" xfId="4315" xr:uid="{E9E2063B-016E-45EF-921D-C083DDDEE24D}"/>
    <cellStyle name="Accent1 2 4" xfId="1234" xr:uid="{00000000-0005-0000-0000-0000EA030000}"/>
    <cellStyle name="Accent1 2 4 2" xfId="4135" xr:uid="{2CCC78B5-17E0-4A8F-81CB-C082B34E2B4C}"/>
    <cellStyle name="Accent1 2 4 3" xfId="4314" xr:uid="{B1577318-CA84-4194-8AEC-3DABB583175C}"/>
    <cellStyle name="Accent1 2 5" xfId="1235" xr:uid="{00000000-0005-0000-0000-0000EB030000}"/>
    <cellStyle name="Accent1 2 5 2" xfId="4134" xr:uid="{7AD2E4DF-3DA0-42FB-8E95-F415496355ED}"/>
    <cellStyle name="Accent1 2 5 3" xfId="4249" xr:uid="{F58EFBFF-CFF7-4F88-ADB8-AAAA51B903C8}"/>
    <cellStyle name="Accent1 2 6" xfId="1236" xr:uid="{00000000-0005-0000-0000-0000EC030000}"/>
    <cellStyle name="Accent1 2 6 2" xfId="4522" xr:uid="{18017AEF-3CE5-4ADC-BDD8-DDF44125DB66}"/>
    <cellStyle name="Accent1 2 6 3" xfId="4248" xr:uid="{BBF7E281-52AD-4421-90A2-E3378253DA7F}"/>
    <cellStyle name="Accent1 2 7" xfId="4047" xr:uid="{69EF3C6C-24B5-47E1-A24E-84D083E23505}"/>
    <cellStyle name="Accent1 2 8" xfId="4245" xr:uid="{30E716F9-B73A-4FA8-99FB-4C44DDAC2F54}"/>
    <cellStyle name="Accent1 3" xfId="55" xr:uid="{00000000-0005-0000-0000-0000ED030000}"/>
    <cellStyle name="Accent1 3 2" xfId="1238" xr:uid="{00000000-0005-0000-0000-0000EE030000}"/>
    <cellStyle name="Accent1 3 2 2" xfId="3589" xr:uid="{FF0396B8-9BB5-47C6-8677-CC3B2A140BC6}"/>
    <cellStyle name="Accent1 3 2 3" xfId="3558" xr:uid="{7534AD5D-A30D-4974-9A94-83377BB02D0B}"/>
    <cellStyle name="Accent1 3 3" xfId="1239" xr:uid="{00000000-0005-0000-0000-0000EF030000}"/>
    <cellStyle name="Accent1 3 4" xfId="1240" xr:uid="{00000000-0005-0000-0000-0000F0030000}"/>
    <cellStyle name="Accent1 3 5" xfId="1241" xr:uid="{00000000-0005-0000-0000-0000F1030000}"/>
    <cellStyle name="Accent1 3 6" xfId="1242" xr:uid="{00000000-0005-0000-0000-0000F2030000}"/>
    <cellStyle name="Accent1 3 7" xfId="1243" xr:uid="{00000000-0005-0000-0000-0000F3030000}"/>
    <cellStyle name="Accent1 3 7 2" xfId="4133" xr:uid="{6A15BA9E-4979-476E-9773-7863CABB3E67}"/>
    <cellStyle name="Accent1 3 7 3" xfId="4247" xr:uid="{97A79AA0-AF23-439E-BAE0-FBB0A9A1BF9D}"/>
    <cellStyle name="Accent1 3 8" xfId="1237" xr:uid="{00000000-0005-0000-0000-0000F4030000}"/>
    <cellStyle name="Accent1 3 9" xfId="4471" xr:uid="{2FFB7C0D-B12D-4CF8-863F-BA7C6D61A047}"/>
    <cellStyle name="Accent1 4" xfId="56" xr:uid="{00000000-0005-0000-0000-0000F5030000}"/>
    <cellStyle name="Accent1 4 2" xfId="1245" xr:uid="{00000000-0005-0000-0000-0000F6030000}"/>
    <cellStyle name="Accent1 4 2 2" xfId="4132" xr:uid="{5C742126-A629-47F4-9BF8-5BED295FBFEB}"/>
    <cellStyle name="Accent1 4 2 3" xfId="4246" xr:uid="{B0977D53-088F-45C9-82C5-5ED3843FD4C3}"/>
    <cellStyle name="Accent1 4 3" xfId="1246" xr:uid="{00000000-0005-0000-0000-0000F7030000}"/>
    <cellStyle name="Accent1 4 4" xfId="1247" xr:uid="{00000000-0005-0000-0000-0000F8030000}"/>
    <cellStyle name="Accent1 4 5" xfId="1248" xr:uid="{00000000-0005-0000-0000-0000F9030000}"/>
    <cellStyle name="Accent1 4 6" xfId="1249" xr:uid="{00000000-0005-0000-0000-0000FA030000}"/>
    <cellStyle name="Accent1 4 7" xfId="1250" xr:uid="{00000000-0005-0000-0000-0000FB030000}"/>
    <cellStyle name="Accent1 4 8" xfId="1244" xr:uid="{00000000-0005-0000-0000-0000FC030000}"/>
    <cellStyle name="Accent1 5" xfId="57" xr:uid="{00000000-0005-0000-0000-0000FD030000}"/>
    <cellStyle name="Accent1 5 2" xfId="1251" xr:uid="{00000000-0005-0000-0000-0000FE030000}"/>
    <cellStyle name="Accent1 5 2 2" xfId="4131" xr:uid="{0888D668-CFB3-455B-9E0E-1C5AB35B35B0}"/>
    <cellStyle name="Accent1 5 2 3" xfId="4046" xr:uid="{F76DE066-B672-45F0-8DE6-72D473258E21}"/>
    <cellStyle name="Accent1 5 3" xfId="1252" xr:uid="{00000000-0005-0000-0000-0000FF030000}"/>
    <cellStyle name="Accent1 5 4" xfId="1253" xr:uid="{00000000-0005-0000-0000-000000040000}"/>
    <cellStyle name="Accent1 5 5" xfId="1254" xr:uid="{00000000-0005-0000-0000-000001040000}"/>
    <cellStyle name="Accent1 5 6" xfId="1255" xr:uid="{00000000-0005-0000-0000-000002040000}"/>
    <cellStyle name="Accent1 6" xfId="58" xr:uid="{00000000-0005-0000-0000-000003040000}"/>
    <cellStyle name="Accent1 6 2" xfId="1256" xr:uid="{00000000-0005-0000-0000-000004040000}"/>
    <cellStyle name="Accent1 6 2 2" xfId="4130" xr:uid="{529C177E-9B44-465C-8DAC-549AC962DBDD}"/>
    <cellStyle name="Accent1 6 2 3" xfId="4244" xr:uid="{BE361D64-884E-4247-BD73-EBE6B038DAF6}"/>
    <cellStyle name="Accent1 6 3" xfId="1257" xr:uid="{00000000-0005-0000-0000-000005040000}"/>
    <cellStyle name="Accent1 6 4" xfId="1258" xr:uid="{00000000-0005-0000-0000-000006040000}"/>
    <cellStyle name="Accent1 6 5" xfId="1259" xr:uid="{00000000-0005-0000-0000-000007040000}"/>
    <cellStyle name="Accent1 6 6" xfId="1260" xr:uid="{00000000-0005-0000-0000-000008040000}"/>
    <cellStyle name="Accent1 7" xfId="59" xr:uid="{00000000-0005-0000-0000-000009040000}"/>
    <cellStyle name="Accent1 7 2" xfId="1261" xr:uid="{00000000-0005-0000-0000-00000A040000}"/>
    <cellStyle name="Accent1 7 2 2" xfId="4129" xr:uid="{EAC8F339-F157-40F6-948A-4CE525B35FF8}"/>
    <cellStyle name="Accent1 7 2 3" xfId="4243" xr:uid="{C67308A6-A226-41B7-9F74-D35383721AE0}"/>
    <cellStyle name="Accent1 7 3" xfId="1262" xr:uid="{00000000-0005-0000-0000-00000B040000}"/>
    <cellStyle name="Accent1 7 4" xfId="1263" xr:uid="{00000000-0005-0000-0000-00000C040000}"/>
    <cellStyle name="Accent1 7 5" xfId="1264" xr:uid="{00000000-0005-0000-0000-00000D040000}"/>
    <cellStyle name="Accent1 7 6" xfId="1265" xr:uid="{00000000-0005-0000-0000-00000E040000}"/>
    <cellStyle name="Accent1 8 2" xfId="1266" xr:uid="{00000000-0005-0000-0000-00000F040000}"/>
    <cellStyle name="Accent1 8 3" xfId="1267" xr:uid="{00000000-0005-0000-0000-000010040000}"/>
    <cellStyle name="Accent1 8 4" xfId="1268" xr:uid="{00000000-0005-0000-0000-000011040000}"/>
    <cellStyle name="Accent1 8 5" xfId="1269" xr:uid="{00000000-0005-0000-0000-000012040000}"/>
    <cellStyle name="Accent1 8 6" xfId="1270" xr:uid="{00000000-0005-0000-0000-000013040000}"/>
    <cellStyle name="Accent1 9 2" xfId="1271" xr:uid="{00000000-0005-0000-0000-000014040000}"/>
    <cellStyle name="Accent1 9 3" xfId="1272" xr:uid="{00000000-0005-0000-0000-000015040000}"/>
    <cellStyle name="Accent1 9 4" xfId="1273" xr:uid="{00000000-0005-0000-0000-000016040000}"/>
    <cellStyle name="Accent1 9 5" xfId="1274" xr:uid="{00000000-0005-0000-0000-000017040000}"/>
    <cellStyle name="Accent1 9 6" xfId="1275" xr:uid="{00000000-0005-0000-0000-000018040000}"/>
    <cellStyle name="Accent2 - 20%" xfId="60" xr:uid="{00000000-0005-0000-0000-000019040000}"/>
    <cellStyle name="Accent2 - 40%" xfId="61" xr:uid="{00000000-0005-0000-0000-00001A040000}"/>
    <cellStyle name="Accent2 - 60%" xfId="62" xr:uid="{00000000-0005-0000-0000-00001B040000}"/>
    <cellStyle name="Accent2 10 2" xfId="1276" xr:uid="{00000000-0005-0000-0000-00001C040000}"/>
    <cellStyle name="Accent2 10 3" xfId="1277" xr:uid="{00000000-0005-0000-0000-00001D040000}"/>
    <cellStyle name="Accent2 10 4" xfId="1278" xr:uid="{00000000-0005-0000-0000-00001E040000}"/>
    <cellStyle name="Accent2 10 5" xfId="1279" xr:uid="{00000000-0005-0000-0000-00001F040000}"/>
    <cellStyle name="Accent2 10 6" xfId="1280" xr:uid="{00000000-0005-0000-0000-000020040000}"/>
    <cellStyle name="Accent2 11 2" xfId="1281" xr:uid="{00000000-0005-0000-0000-000021040000}"/>
    <cellStyle name="Accent2 11 3" xfId="1282" xr:uid="{00000000-0005-0000-0000-000022040000}"/>
    <cellStyle name="Accent2 11 4" xfId="1283" xr:uid="{00000000-0005-0000-0000-000023040000}"/>
    <cellStyle name="Accent2 11 5" xfId="1284" xr:uid="{00000000-0005-0000-0000-000024040000}"/>
    <cellStyle name="Accent2 11 6" xfId="1285" xr:uid="{00000000-0005-0000-0000-000025040000}"/>
    <cellStyle name="Accent2 2" xfId="63" xr:uid="{00000000-0005-0000-0000-000026040000}"/>
    <cellStyle name="Accent2 2 2" xfId="1286" xr:uid="{00000000-0005-0000-0000-000027040000}"/>
    <cellStyle name="Accent2 2 3" xfId="1287" xr:uid="{00000000-0005-0000-0000-000028040000}"/>
    <cellStyle name="Accent2 2 3 2" xfId="4128" xr:uid="{78DECA3D-FAD0-4250-8EE7-B29A139EB8DC}"/>
    <cellStyle name="Accent2 2 3 3" xfId="3975" xr:uid="{7361AF21-637E-4B34-99A7-75A2577CA62E}"/>
    <cellStyle name="Accent2 2 4" xfId="1288" xr:uid="{00000000-0005-0000-0000-000029040000}"/>
    <cellStyle name="Accent2 2 4 2" xfId="4127" xr:uid="{2CCB51F6-9143-4732-AE37-7032212F6067}"/>
    <cellStyle name="Accent2 2 4 3" xfId="4313" xr:uid="{F58F38DA-4D81-4564-A320-4806EAE51DF9}"/>
    <cellStyle name="Accent2 2 5" xfId="1289" xr:uid="{00000000-0005-0000-0000-00002A040000}"/>
    <cellStyle name="Accent2 2 5 2" xfId="4126" xr:uid="{D31FF717-C149-4B31-8F31-CFADA7F04A63}"/>
    <cellStyle name="Accent2 2 5 3" xfId="4242" xr:uid="{2767360C-F392-4EA5-B797-C603B64D9BF8}"/>
    <cellStyle name="Accent2 2 6" xfId="1290" xr:uid="{00000000-0005-0000-0000-00002B040000}"/>
    <cellStyle name="Accent2 2 6 2" xfId="4125" xr:uid="{AD736DD2-96B8-4074-A5D5-14C46910094A}"/>
    <cellStyle name="Accent2 2 6 3" xfId="4241" xr:uid="{342B630D-853C-4132-AFE4-8DECB7885832}"/>
    <cellStyle name="Accent2 2 7" xfId="4240" xr:uid="{B40C4D57-F11A-46B0-BC41-107E22FA4F7E}"/>
    <cellStyle name="Accent2 2 8" xfId="4418" xr:uid="{FAB57BB9-18C7-4C83-A561-3895532DB709}"/>
    <cellStyle name="Accent2 3" xfId="64" xr:uid="{00000000-0005-0000-0000-00002C040000}"/>
    <cellStyle name="Accent2 3 2" xfId="1292" xr:uid="{00000000-0005-0000-0000-00002D040000}"/>
    <cellStyle name="Accent2 3 2 2" xfId="3590" xr:uid="{94B6A348-10FC-4641-9376-0CF5A7604A7C}"/>
    <cellStyle name="Accent2 3 2 3" xfId="3559" xr:uid="{299B9361-5008-4FC2-A339-4DB7A5DBFA54}"/>
    <cellStyle name="Accent2 3 3" xfId="1293" xr:uid="{00000000-0005-0000-0000-00002E040000}"/>
    <cellStyle name="Accent2 3 4" xfId="1294" xr:uid="{00000000-0005-0000-0000-00002F040000}"/>
    <cellStyle name="Accent2 3 5" xfId="1295" xr:uid="{00000000-0005-0000-0000-000030040000}"/>
    <cellStyle name="Accent2 3 6" xfId="1296" xr:uid="{00000000-0005-0000-0000-000031040000}"/>
    <cellStyle name="Accent2 3 7" xfId="1297" xr:uid="{00000000-0005-0000-0000-000032040000}"/>
    <cellStyle name="Accent2 3 7 2" xfId="4124" xr:uid="{A0F814F8-3057-4DD0-9594-3E3095F40BE4}"/>
    <cellStyle name="Accent2 3 7 3" xfId="4239" xr:uid="{2EF0771A-A8FB-4F6E-94D4-6C1E024FBA65}"/>
    <cellStyle name="Accent2 3 8" xfId="1291" xr:uid="{00000000-0005-0000-0000-000033040000}"/>
    <cellStyle name="Accent2 3 9" xfId="4143" xr:uid="{D5A228A3-B7BC-4FA3-AEE3-D8838190860F}"/>
    <cellStyle name="Accent2 4" xfId="65" xr:uid="{00000000-0005-0000-0000-000034040000}"/>
    <cellStyle name="Accent2 4 2" xfId="1299" xr:uid="{00000000-0005-0000-0000-000035040000}"/>
    <cellStyle name="Accent2 4 2 2" xfId="4521" xr:uid="{275B2383-6649-4316-87EC-9DA225FE8F15}"/>
    <cellStyle name="Accent2 4 2 3" xfId="4238" xr:uid="{8BFC0F12-8377-4CC6-BEC3-47C4F1F3BA20}"/>
    <cellStyle name="Accent2 4 3" xfId="1300" xr:uid="{00000000-0005-0000-0000-000036040000}"/>
    <cellStyle name="Accent2 4 4" xfId="1301" xr:uid="{00000000-0005-0000-0000-000037040000}"/>
    <cellStyle name="Accent2 4 5" xfId="1302" xr:uid="{00000000-0005-0000-0000-000038040000}"/>
    <cellStyle name="Accent2 4 6" xfId="1303" xr:uid="{00000000-0005-0000-0000-000039040000}"/>
    <cellStyle name="Accent2 4 7" xfId="1304" xr:uid="{00000000-0005-0000-0000-00003A040000}"/>
    <cellStyle name="Accent2 4 8" xfId="1298" xr:uid="{00000000-0005-0000-0000-00003B040000}"/>
    <cellStyle name="Accent2 5" xfId="66" xr:uid="{00000000-0005-0000-0000-00003C040000}"/>
    <cellStyle name="Accent2 5 2" xfId="1305" xr:uid="{00000000-0005-0000-0000-00003D040000}"/>
    <cellStyle name="Accent2 5 2 2" xfId="4123" xr:uid="{8B26AD0E-B5C6-42C0-9535-8549B45FEB00}"/>
    <cellStyle name="Accent2 5 2 3" xfId="4237" xr:uid="{15A5BDD7-37DA-4A7B-826C-B5E3DEDD72F7}"/>
    <cellStyle name="Accent2 5 3" xfId="1306" xr:uid="{00000000-0005-0000-0000-00003E040000}"/>
    <cellStyle name="Accent2 5 4" xfId="1307" xr:uid="{00000000-0005-0000-0000-00003F040000}"/>
    <cellStyle name="Accent2 5 5" xfId="1308" xr:uid="{00000000-0005-0000-0000-000040040000}"/>
    <cellStyle name="Accent2 5 6" xfId="1309" xr:uid="{00000000-0005-0000-0000-000041040000}"/>
    <cellStyle name="Accent2 6" xfId="67" xr:uid="{00000000-0005-0000-0000-000042040000}"/>
    <cellStyle name="Accent2 6 2" xfId="1310" xr:uid="{00000000-0005-0000-0000-000043040000}"/>
    <cellStyle name="Accent2 6 2 2" xfId="4122" xr:uid="{EDFEBDA9-C60B-4097-B9D1-A489F69B6366}"/>
    <cellStyle name="Accent2 6 2 3" xfId="4236" xr:uid="{EB73A2C9-D9B6-49E4-B639-B8CD9AE581C5}"/>
    <cellStyle name="Accent2 6 3" xfId="1311" xr:uid="{00000000-0005-0000-0000-000044040000}"/>
    <cellStyle name="Accent2 6 4" xfId="1312" xr:uid="{00000000-0005-0000-0000-000045040000}"/>
    <cellStyle name="Accent2 6 5" xfId="1313" xr:uid="{00000000-0005-0000-0000-000046040000}"/>
    <cellStyle name="Accent2 6 6" xfId="1314" xr:uid="{00000000-0005-0000-0000-000047040000}"/>
    <cellStyle name="Accent2 7" xfId="68" xr:uid="{00000000-0005-0000-0000-000048040000}"/>
    <cellStyle name="Accent2 7 2" xfId="1315" xr:uid="{00000000-0005-0000-0000-000049040000}"/>
    <cellStyle name="Accent2 7 2 2" xfId="4121" xr:uid="{C1DCEDC0-609B-436B-BCE7-2138880C3AF4}"/>
    <cellStyle name="Accent2 7 2 3" xfId="4235" xr:uid="{4FF3A4ED-BD76-4A22-A410-4AC6FDF88DF0}"/>
    <cellStyle name="Accent2 7 3" xfId="1316" xr:uid="{00000000-0005-0000-0000-00004A040000}"/>
    <cellStyle name="Accent2 7 4" xfId="1317" xr:uid="{00000000-0005-0000-0000-00004B040000}"/>
    <cellStyle name="Accent2 7 5" xfId="1318" xr:uid="{00000000-0005-0000-0000-00004C040000}"/>
    <cellStyle name="Accent2 7 6" xfId="1319" xr:uid="{00000000-0005-0000-0000-00004D040000}"/>
    <cellStyle name="Accent2 8 2" xfId="1320" xr:uid="{00000000-0005-0000-0000-00004E040000}"/>
    <cellStyle name="Accent2 8 3" xfId="1321" xr:uid="{00000000-0005-0000-0000-00004F040000}"/>
    <cellStyle name="Accent2 8 4" xfId="1322" xr:uid="{00000000-0005-0000-0000-000050040000}"/>
    <cellStyle name="Accent2 8 5" xfId="1323" xr:uid="{00000000-0005-0000-0000-000051040000}"/>
    <cellStyle name="Accent2 8 6" xfId="1324" xr:uid="{00000000-0005-0000-0000-000052040000}"/>
    <cellStyle name="Accent2 9 2" xfId="1325" xr:uid="{00000000-0005-0000-0000-000053040000}"/>
    <cellStyle name="Accent2 9 3" xfId="1326" xr:uid="{00000000-0005-0000-0000-000054040000}"/>
    <cellStyle name="Accent2 9 4" xfId="1327" xr:uid="{00000000-0005-0000-0000-000055040000}"/>
    <cellStyle name="Accent2 9 5" xfId="1328" xr:uid="{00000000-0005-0000-0000-000056040000}"/>
    <cellStyle name="Accent2 9 6" xfId="1329" xr:uid="{00000000-0005-0000-0000-000057040000}"/>
    <cellStyle name="Accent3 - 20%" xfId="69" xr:uid="{00000000-0005-0000-0000-000058040000}"/>
    <cellStyle name="Accent3 - 40%" xfId="70" xr:uid="{00000000-0005-0000-0000-000059040000}"/>
    <cellStyle name="Accent3 - 60%" xfId="71" xr:uid="{00000000-0005-0000-0000-00005A040000}"/>
    <cellStyle name="Accent3 10 2" xfId="1330" xr:uid="{00000000-0005-0000-0000-00005B040000}"/>
    <cellStyle name="Accent3 10 3" xfId="1331" xr:uid="{00000000-0005-0000-0000-00005C040000}"/>
    <cellStyle name="Accent3 10 4" xfId="1332" xr:uid="{00000000-0005-0000-0000-00005D040000}"/>
    <cellStyle name="Accent3 10 5" xfId="1333" xr:uid="{00000000-0005-0000-0000-00005E040000}"/>
    <cellStyle name="Accent3 10 6" xfId="1334" xr:uid="{00000000-0005-0000-0000-00005F040000}"/>
    <cellStyle name="Accent3 11 2" xfId="1335" xr:uid="{00000000-0005-0000-0000-000060040000}"/>
    <cellStyle name="Accent3 11 3" xfId="1336" xr:uid="{00000000-0005-0000-0000-000061040000}"/>
    <cellStyle name="Accent3 11 4" xfId="1337" xr:uid="{00000000-0005-0000-0000-000062040000}"/>
    <cellStyle name="Accent3 11 5" xfId="1338" xr:uid="{00000000-0005-0000-0000-000063040000}"/>
    <cellStyle name="Accent3 11 6" xfId="1339" xr:uid="{00000000-0005-0000-0000-000064040000}"/>
    <cellStyle name="Accent3 2" xfId="72" xr:uid="{00000000-0005-0000-0000-000065040000}"/>
    <cellStyle name="Accent3 2 2" xfId="1340" xr:uid="{00000000-0005-0000-0000-000066040000}"/>
    <cellStyle name="Accent3 2 3" xfId="1341" xr:uid="{00000000-0005-0000-0000-000067040000}"/>
    <cellStyle name="Accent3 2 3 2" xfId="4120" xr:uid="{DACCC92C-50C3-4127-9800-A010473956C1}"/>
    <cellStyle name="Accent3 2 3 3" xfId="3974" xr:uid="{58BECE08-CF35-4633-B50C-3F53F5C7E485}"/>
    <cellStyle name="Accent3 2 4" xfId="1342" xr:uid="{00000000-0005-0000-0000-000068040000}"/>
    <cellStyle name="Accent3 2 4 2" xfId="4427" xr:uid="{FD80EBE8-F3CD-4B5F-893E-D7C6E69C886D}"/>
    <cellStyle name="Accent3 2 4 3" xfId="4312" xr:uid="{EFC21C02-6A74-4594-97D2-7D25F9B6A152}"/>
    <cellStyle name="Accent3 2 5" xfId="1343" xr:uid="{00000000-0005-0000-0000-000069040000}"/>
    <cellStyle name="Accent3 2 5 2" xfId="4119" xr:uid="{88C2A78E-E09E-4925-A765-24BB4904825E}"/>
    <cellStyle name="Accent3 2 5 3" xfId="4234" xr:uid="{637A2F8A-F42F-4C2B-B897-C9926AD6D01E}"/>
    <cellStyle name="Accent3 2 6" xfId="1344" xr:uid="{00000000-0005-0000-0000-00006A040000}"/>
    <cellStyle name="Accent3 2 6 2" xfId="4118" xr:uid="{688E7FAB-32E4-4CF0-9142-7882EF55E44F}"/>
    <cellStyle name="Accent3 2 6 3" xfId="4233" xr:uid="{405A398C-D5C6-481A-AF46-EAE2DB13DE2B}"/>
    <cellStyle name="Accent3 2 7" xfId="4232" xr:uid="{35D1BC24-D3A0-45FE-9347-65E6F6139534}"/>
    <cellStyle name="Accent3 2 8" xfId="4231" xr:uid="{FE5DB200-87F8-4504-ABF9-FBA65DF41A10}"/>
    <cellStyle name="Accent3 3" xfId="73" xr:uid="{00000000-0005-0000-0000-00006B040000}"/>
    <cellStyle name="Accent3 3 2" xfId="1346" xr:uid="{00000000-0005-0000-0000-00006C040000}"/>
    <cellStyle name="Accent3 3 2 2" xfId="3591" xr:uid="{C0679A43-C585-4EF3-856C-78CA07668A2B}"/>
    <cellStyle name="Accent3 3 2 3" xfId="3560" xr:uid="{7F65E177-2E93-4544-BBD2-F1452C5D4EB0}"/>
    <cellStyle name="Accent3 3 3" xfId="1347" xr:uid="{00000000-0005-0000-0000-00006D040000}"/>
    <cellStyle name="Accent3 3 4" xfId="1348" xr:uid="{00000000-0005-0000-0000-00006E040000}"/>
    <cellStyle name="Accent3 3 5" xfId="1349" xr:uid="{00000000-0005-0000-0000-00006F040000}"/>
    <cellStyle name="Accent3 3 6" xfId="1350" xr:uid="{00000000-0005-0000-0000-000070040000}"/>
    <cellStyle name="Accent3 3 7" xfId="1351" xr:uid="{00000000-0005-0000-0000-000071040000}"/>
    <cellStyle name="Accent3 3 7 2" xfId="4034" xr:uid="{C305322E-202B-49FF-ABE5-F90C833DC7D6}"/>
    <cellStyle name="Accent3 3 7 3" xfId="3965" xr:uid="{B6030EFD-0560-4A6F-97C9-0820676FB484}"/>
    <cellStyle name="Accent3 3 8" xfId="1345" xr:uid="{00000000-0005-0000-0000-000072040000}"/>
    <cellStyle name="Accent3 3 9" xfId="4470" xr:uid="{C2C3217F-B883-4EF9-9B87-2D5C2A5B0950}"/>
    <cellStyle name="Accent3 4" xfId="74" xr:uid="{00000000-0005-0000-0000-000073040000}"/>
    <cellStyle name="Accent3 4 2" xfId="1353" xr:uid="{00000000-0005-0000-0000-000074040000}"/>
    <cellStyle name="Accent3 4 2 2" xfId="4117" xr:uid="{AD4216A6-4F5A-4435-8C5A-CD5784218967}"/>
    <cellStyle name="Accent3 4 2 3" xfId="3964" xr:uid="{9F4E66C1-92FC-47EC-A59D-27FE0CFB02ED}"/>
    <cellStyle name="Accent3 4 3" xfId="1354" xr:uid="{00000000-0005-0000-0000-000075040000}"/>
    <cellStyle name="Accent3 4 4" xfId="1355" xr:uid="{00000000-0005-0000-0000-000076040000}"/>
    <cellStyle name="Accent3 4 5" xfId="1356" xr:uid="{00000000-0005-0000-0000-000077040000}"/>
    <cellStyle name="Accent3 4 6" xfId="1357" xr:uid="{00000000-0005-0000-0000-000078040000}"/>
    <cellStyle name="Accent3 4 7" xfId="1358" xr:uid="{00000000-0005-0000-0000-000079040000}"/>
    <cellStyle name="Accent3 4 8" xfId="1352" xr:uid="{00000000-0005-0000-0000-00007A040000}"/>
    <cellStyle name="Accent3 5" xfId="75" xr:uid="{00000000-0005-0000-0000-00007B040000}"/>
    <cellStyle name="Accent3 5 2" xfId="1359" xr:uid="{00000000-0005-0000-0000-00007C040000}"/>
    <cellStyle name="Accent3 5 2 2" xfId="4115" xr:uid="{476988B4-CEA4-45CD-A9A6-492DC6C6D4F2}"/>
    <cellStyle name="Accent3 5 2 3" xfId="3963" xr:uid="{F40765AE-50A9-4713-8AF1-838961C65E58}"/>
    <cellStyle name="Accent3 5 3" xfId="1360" xr:uid="{00000000-0005-0000-0000-00007D040000}"/>
    <cellStyle name="Accent3 5 4" xfId="1361" xr:uid="{00000000-0005-0000-0000-00007E040000}"/>
    <cellStyle name="Accent3 5 5" xfId="1362" xr:uid="{00000000-0005-0000-0000-00007F040000}"/>
    <cellStyle name="Accent3 5 6" xfId="1363" xr:uid="{00000000-0005-0000-0000-000080040000}"/>
    <cellStyle name="Accent3 6" xfId="76" xr:uid="{00000000-0005-0000-0000-000081040000}"/>
    <cellStyle name="Accent3 6 2" xfId="1364" xr:uid="{00000000-0005-0000-0000-000082040000}"/>
    <cellStyle name="Accent3 6 2 2" xfId="4116" xr:uid="{038D058B-0C27-4A78-8F99-33511D525273}"/>
    <cellStyle name="Accent3 6 2 3" xfId="3962" xr:uid="{F45F8330-638A-4AC6-9637-DD5918D04356}"/>
    <cellStyle name="Accent3 6 3" xfId="1365" xr:uid="{00000000-0005-0000-0000-000083040000}"/>
    <cellStyle name="Accent3 6 4" xfId="1366" xr:uid="{00000000-0005-0000-0000-000084040000}"/>
    <cellStyle name="Accent3 6 5" xfId="1367" xr:uid="{00000000-0005-0000-0000-000085040000}"/>
    <cellStyle name="Accent3 6 6" xfId="1368" xr:uid="{00000000-0005-0000-0000-000086040000}"/>
    <cellStyle name="Accent3 7" xfId="77" xr:uid="{00000000-0005-0000-0000-000087040000}"/>
    <cellStyle name="Accent3 7 2" xfId="1369" xr:uid="{00000000-0005-0000-0000-000088040000}"/>
    <cellStyle name="Accent3 7 2 2" xfId="4114" xr:uid="{F9F2C0D0-297B-49FE-BAB0-93F40327E2DF}"/>
    <cellStyle name="Accent3 7 2 3" xfId="4230" xr:uid="{DB8A6518-3C52-48F7-9D56-0E20902838A9}"/>
    <cellStyle name="Accent3 7 3" xfId="1370" xr:uid="{00000000-0005-0000-0000-000089040000}"/>
    <cellStyle name="Accent3 7 4" xfId="1371" xr:uid="{00000000-0005-0000-0000-00008A040000}"/>
    <cellStyle name="Accent3 7 5" xfId="1372" xr:uid="{00000000-0005-0000-0000-00008B040000}"/>
    <cellStyle name="Accent3 7 6" xfId="1373" xr:uid="{00000000-0005-0000-0000-00008C040000}"/>
    <cellStyle name="Accent3 8 2" xfId="1374" xr:uid="{00000000-0005-0000-0000-00008D040000}"/>
    <cellStyle name="Accent3 8 3" xfId="1375" xr:uid="{00000000-0005-0000-0000-00008E040000}"/>
    <cellStyle name="Accent3 8 4" xfId="1376" xr:uid="{00000000-0005-0000-0000-00008F040000}"/>
    <cellStyle name="Accent3 8 5" xfId="1377" xr:uid="{00000000-0005-0000-0000-000090040000}"/>
    <cellStyle name="Accent3 8 6" xfId="1378" xr:uid="{00000000-0005-0000-0000-000091040000}"/>
    <cellStyle name="Accent3 9 2" xfId="1379" xr:uid="{00000000-0005-0000-0000-000092040000}"/>
    <cellStyle name="Accent3 9 3" xfId="1380" xr:uid="{00000000-0005-0000-0000-000093040000}"/>
    <cellStyle name="Accent3 9 4" xfId="1381" xr:uid="{00000000-0005-0000-0000-000094040000}"/>
    <cellStyle name="Accent3 9 5" xfId="1382" xr:uid="{00000000-0005-0000-0000-000095040000}"/>
    <cellStyle name="Accent3 9 6" xfId="1383" xr:uid="{00000000-0005-0000-0000-000096040000}"/>
    <cellStyle name="Accent4 - 20%" xfId="78" xr:uid="{00000000-0005-0000-0000-000097040000}"/>
    <cellStyle name="Accent4 - 40%" xfId="79" xr:uid="{00000000-0005-0000-0000-000098040000}"/>
    <cellStyle name="Accent4 - 60%" xfId="80" xr:uid="{00000000-0005-0000-0000-000099040000}"/>
    <cellStyle name="Accent4 10 2" xfId="1384" xr:uid="{00000000-0005-0000-0000-00009A040000}"/>
    <cellStyle name="Accent4 10 3" xfId="1385" xr:uid="{00000000-0005-0000-0000-00009B040000}"/>
    <cellStyle name="Accent4 10 4" xfId="1386" xr:uid="{00000000-0005-0000-0000-00009C040000}"/>
    <cellStyle name="Accent4 10 5" xfId="1387" xr:uid="{00000000-0005-0000-0000-00009D040000}"/>
    <cellStyle name="Accent4 10 6" xfId="1388" xr:uid="{00000000-0005-0000-0000-00009E040000}"/>
    <cellStyle name="Accent4 11 2" xfId="1389" xr:uid="{00000000-0005-0000-0000-00009F040000}"/>
    <cellStyle name="Accent4 11 3" xfId="1390" xr:uid="{00000000-0005-0000-0000-0000A0040000}"/>
    <cellStyle name="Accent4 11 4" xfId="1391" xr:uid="{00000000-0005-0000-0000-0000A1040000}"/>
    <cellStyle name="Accent4 11 5" xfId="1392" xr:uid="{00000000-0005-0000-0000-0000A2040000}"/>
    <cellStyle name="Accent4 11 6" xfId="1393" xr:uid="{00000000-0005-0000-0000-0000A3040000}"/>
    <cellStyle name="Accent4 2" xfId="81" xr:uid="{00000000-0005-0000-0000-0000A4040000}"/>
    <cellStyle name="Accent4 2 2" xfId="1394" xr:uid="{00000000-0005-0000-0000-0000A5040000}"/>
    <cellStyle name="Accent4 2 3" xfId="1395" xr:uid="{00000000-0005-0000-0000-0000A6040000}"/>
    <cellStyle name="Accent4 2 3 2" xfId="4113" xr:uid="{BDD67AD6-14E1-4450-B9DA-641B34795E35}"/>
    <cellStyle name="Accent4 2 3 3" xfId="3973" xr:uid="{EE94B222-A051-4A00-8AB7-FD5B0055D4F9}"/>
    <cellStyle name="Accent4 2 4" xfId="1396" xr:uid="{00000000-0005-0000-0000-0000A7040000}"/>
    <cellStyle name="Accent4 2 4 2" xfId="4112" xr:uid="{E55A9E87-0025-451E-A9A2-E95F4D08586B}"/>
    <cellStyle name="Accent4 2 4 3" xfId="3997" xr:uid="{7C9B4CE5-0A77-4441-AC34-4AB18775FD5A}"/>
    <cellStyle name="Accent4 2 5" xfId="1397" xr:uid="{00000000-0005-0000-0000-0000A8040000}"/>
    <cellStyle name="Accent4 2 5 2" xfId="4111" xr:uid="{339D73B3-9BE5-44F3-B48E-847F68F7596C}"/>
    <cellStyle name="Accent4 2 5 3" xfId="4229" xr:uid="{318B3197-BDC9-4596-873C-2E9FB2CF286C}"/>
    <cellStyle name="Accent4 2 6" xfId="1398" xr:uid="{00000000-0005-0000-0000-0000A9040000}"/>
    <cellStyle name="Accent4 2 6 2" xfId="4110" xr:uid="{1E02ACA2-BCF5-47D5-8061-C33274B75B48}"/>
    <cellStyle name="Accent4 2 6 3" xfId="4228" xr:uid="{A1665048-3E8C-4493-A991-A99254944B7B}"/>
    <cellStyle name="Accent4 2 7" xfId="4227" xr:uid="{1AC05D4F-02D3-4976-857A-9B7A4CF249E4}"/>
    <cellStyle name="Accent4 2 8" xfId="3961" xr:uid="{BF90C4B8-F4A2-4306-8320-5D84543F46BB}"/>
    <cellStyle name="Accent4 3" xfId="82" xr:uid="{00000000-0005-0000-0000-0000AA040000}"/>
    <cellStyle name="Accent4 3 2" xfId="1400" xr:uid="{00000000-0005-0000-0000-0000AB040000}"/>
    <cellStyle name="Accent4 3 2 2" xfId="3592" xr:uid="{7BA85D2C-EC23-45CF-A35B-11D93A6DA269}"/>
    <cellStyle name="Accent4 3 2 3" xfId="3561" xr:uid="{EA41F14E-32DA-4D7A-8CFE-54EB9F9CBD48}"/>
    <cellStyle name="Accent4 3 3" xfId="1401" xr:uid="{00000000-0005-0000-0000-0000AC040000}"/>
    <cellStyle name="Accent4 3 4" xfId="1402" xr:uid="{00000000-0005-0000-0000-0000AD040000}"/>
    <cellStyle name="Accent4 3 5" xfId="1403" xr:uid="{00000000-0005-0000-0000-0000AE040000}"/>
    <cellStyle name="Accent4 3 6" xfId="1404" xr:uid="{00000000-0005-0000-0000-0000AF040000}"/>
    <cellStyle name="Accent4 3 7" xfId="1405" xr:uid="{00000000-0005-0000-0000-0000B0040000}"/>
    <cellStyle name="Accent4 3 7 2" xfId="4109" xr:uid="{A9958ED8-6477-422D-AE08-C1B88C47022B}"/>
    <cellStyle name="Accent4 3 7 3" xfId="4226" xr:uid="{DCDE4322-FE18-4E65-AB5E-8CBFD8CE2DD2}"/>
    <cellStyle name="Accent4 3 8" xfId="1399" xr:uid="{00000000-0005-0000-0000-0000B1040000}"/>
    <cellStyle name="Accent4 3 9" xfId="4142" xr:uid="{6C3903AD-0F9D-4AC1-BFCB-DA2FC8957391}"/>
    <cellStyle name="Accent4 4" xfId="83" xr:uid="{00000000-0005-0000-0000-0000B2040000}"/>
    <cellStyle name="Accent4 4 2" xfId="1407" xr:uid="{00000000-0005-0000-0000-0000B3040000}"/>
    <cellStyle name="Accent4 4 2 2" xfId="4108" xr:uid="{AD376BC7-4D74-4A2F-92D9-A460B8A8C2CF}"/>
    <cellStyle name="Accent4 4 2 3" xfId="4225" xr:uid="{5C59DAB9-313A-498D-A697-3C4FE14E2420}"/>
    <cellStyle name="Accent4 4 3" xfId="1408" xr:uid="{00000000-0005-0000-0000-0000B4040000}"/>
    <cellStyle name="Accent4 4 4" xfId="1409" xr:uid="{00000000-0005-0000-0000-0000B5040000}"/>
    <cellStyle name="Accent4 4 5" xfId="1410" xr:uid="{00000000-0005-0000-0000-0000B6040000}"/>
    <cellStyle name="Accent4 4 6" xfId="1411" xr:uid="{00000000-0005-0000-0000-0000B7040000}"/>
    <cellStyle name="Accent4 4 7" xfId="1412" xr:uid="{00000000-0005-0000-0000-0000B8040000}"/>
    <cellStyle name="Accent4 4 8" xfId="1406" xr:uid="{00000000-0005-0000-0000-0000B9040000}"/>
    <cellStyle name="Accent4 5" xfId="84" xr:uid="{00000000-0005-0000-0000-0000BA040000}"/>
    <cellStyle name="Accent4 5 2" xfId="1413" xr:uid="{00000000-0005-0000-0000-0000BB040000}"/>
    <cellStyle name="Accent4 5 2 2" xfId="4107" xr:uid="{0D8874A1-BAEE-4AD7-807C-ACB73D8137FE}"/>
    <cellStyle name="Accent4 5 2 3" xfId="4224" xr:uid="{5A7E9305-4403-4F1E-A9D8-34B4AB158FB1}"/>
    <cellStyle name="Accent4 5 3" xfId="1414" xr:uid="{00000000-0005-0000-0000-0000BC040000}"/>
    <cellStyle name="Accent4 5 4" xfId="1415" xr:uid="{00000000-0005-0000-0000-0000BD040000}"/>
    <cellStyle name="Accent4 5 5" xfId="1416" xr:uid="{00000000-0005-0000-0000-0000BE040000}"/>
    <cellStyle name="Accent4 5 6" xfId="1417" xr:uid="{00000000-0005-0000-0000-0000BF040000}"/>
    <cellStyle name="Accent4 6" xfId="85" xr:uid="{00000000-0005-0000-0000-0000C0040000}"/>
    <cellStyle name="Accent4 6 2" xfId="1418" xr:uid="{00000000-0005-0000-0000-0000C1040000}"/>
    <cellStyle name="Accent4 6 2 2" xfId="4106" xr:uid="{2F08B69A-9A4C-470C-A5D9-AC6C5D8D48BC}"/>
    <cellStyle name="Accent4 6 2 3" xfId="4223" xr:uid="{4B93E10D-4513-430E-8BA4-059D47CE193E}"/>
    <cellStyle name="Accent4 6 3" xfId="1419" xr:uid="{00000000-0005-0000-0000-0000C2040000}"/>
    <cellStyle name="Accent4 6 4" xfId="1420" xr:uid="{00000000-0005-0000-0000-0000C3040000}"/>
    <cellStyle name="Accent4 6 5" xfId="1421" xr:uid="{00000000-0005-0000-0000-0000C4040000}"/>
    <cellStyle name="Accent4 6 6" xfId="1422" xr:uid="{00000000-0005-0000-0000-0000C5040000}"/>
    <cellStyle name="Accent4 7" xfId="86" xr:uid="{00000000-0005-0000-0000-0000C6040000}"/>
    <cellStyle name="Accent4 7 2" xfId="1423" xr:uid="{00000000-0005-0000-0000-0000C7040000}"/>
    <cellStyle name="Accent4 7 2 2" xfId="4105" xr:uid="{203BF365-55B2-4D76-80E1-E174C988A84E}"/>
    <cellStyle name="Accent4 7 2 3" xfId="4222" xr:uid="{239B12C3-FBB4-4606-83F3-CC5EC584C5C3}"/>
    <cellStyle name="Accent4 7 3" xfId="1424" xr:uid="{00000000-0005-0000-0000-0000C8040000}"/>
    <cellStyle name="Accent4 7 4" xfId="1425" xr:uid="{00000000-0005-0000-0000-0000C9040000}"/>
    <cellStyle name="Accent4 7 5" xfId="1426" xr:uid="{00000000-0005-0000-0000-0000CA040000}"/>
    <cellStyle name="Accent4 7 6" xfId="1427" xr:uid="{00000000-0005-0000-0000-0000CB040000}"/>
    <cellStyle name="Accent4 8 2" xfId="1428" xr:uid="{00000000-0005-0000-0000-0000CC040000}"/>
    <cellStyle name="Accent4 8 3" xfId="1429" xr:uid="{00000000-0005-0000-0000-0000CD040000}"/>
    <cellStyle name="Accent4 8 4" xfId="1430" xr:uid="{00000000-0005-0000-0000-0000CE040000}"/>
    <cellStyle name="Accent4 8 5" xfId="1431" xr:uid="{00000000-0005-0000-0000-0000CF040000}"/>
    <cellStyle name="Accent4 8 6" xfId="1432" xr:uid="{00000000-0005-0000-0000-0000D0040000}"/>
    <cellStyle name="Accent4 9 2" xfId="1433" xr:uid="{00000000-0005-0000-0000-0000D1040000}"/>
    <cellStyle name="Accent4 9 3" xfId="1434" xr:uid="{00000000-0005-0000-0000-0000D2040000}"/>
    <cellStyle name="Accent4 9 4" xfId="1435" xr:uid="{00000000-0005-0000-0000-0000D3040000}"/>
    <cellStyle name="Accent4 9 5" xfId="1436" xr:uid="{00000000-0005-0000-0000-0000D4040000}"/>
    <cellStyle name="Accent4 9 6" xfId="1437" xr:uid="{00000000-0005-0000-0000-0000D5040000}"/>
    <cellStyle name="Accent5 - 20%" xfId="87" xr:uid="{00000000-0005-0000-0000-0000D6040000}"/>
    <cellStyle name="Accent5 - 40%" xfId="88" xr:uid="{00000000-0005-0000-0000-0000D7040000}"/>
    <cellStyle name="Accent5 - 60%" xfId="89" xr:uid="{00000000-0005-0000-0000-0000D8040000}"/>
    <cellStyle name="Accent5 10 2" xfId="1438" xr:uid="{00000000-0005-0000-0000-0000D9040000}"/>
    <cellStyle name="Accent5 10 3" xfId="1439" xr:uid="{00000000-0005-0000-0000-0000DA040000}"/>
    <cellStyle name="Accent5 10 4" xfId="1440" xr:uid="{00000000-0005-0000-0000-0000DB040000}"/>
    <cellStyle name="Accent5 10 5" xfId="1441" xr:uid="{00000000-0005-0000-0000-0000DC040000}"/>
    <cellStyle name="Accent5 10 6" xfId="1442" xr:uid="{00000000-0005-0000-0000-0000DD040000}"/>
    <cellStyle name="Accent5 11 2" xfId="1443" xr:uid="{00000000-0005-0000-0000-0000DE040000}"/>
    <cellStyle name="Accent5 11 3" xfId="1444" xr:uid="{00000000-0005-0000-0000-0000DF040000}"/>
    <cellStyle name="Accent5 11 4" xfId="1445" xr:uid="{00000000-0005-0000-0000-0000E0040000}"/>
    <cellStyle name="Accent5 11 5" xfId="1446" xr:uid="{00000000-0005-0000-0000-0000E1040000}"/>
    <cellStyle name="Accent5 11 6" xfId="1447" xr:uid="{00000000-0005-0000-0000-0000E2040000}"/>
    <cellStyle name="Accent5 2" xfId="90" xr:uid="{00000000-0005-0000-0000-0000E3040000}"/>
    <cellStyle name="Accent5 2 2" xfId="1448" xr:uid="{00000000-0005-0000-0000-0000E4040000}"/>
    <cellStyle name="Accent5 2 3" xfId="1449" xr:uid="{00000000-0005-0000-0000-0000E5040000}"/>
    <cellStyle name="Accent5 2 3 2" xfId="4104" xr:uid="{30C94336-B634-4092-A6FB-E85DC1B457C9}"/>
    <cellStyle name="Accent5 2 3 3" xfId="4311" xr:uid="{80D5C6B7-86A0-47B3-AEBB-6618698AF547}"/>
    <cellStyle name="Accent5 2 4" xfId="1450" xr:uid="{00000000-0005-0000-0000-0000E6040000}"/>
    <cellStyle name="Accent5 2 4 2" xfId="4103" xr:uid="{D3375B69-0481-4359-BB01-61CA458A2717}"/>
    <cellStyle name="Accent5 2 4 3" xfId="4310" xr:uid="{3DAE2114-9F92-453C-8260-89E5A0999691}"/>
    <cellStyle name="Accent5 2 5" xfId="1451" xr:uid="{00000000-0005-0000-0000-0000E7040000}"/>
    <cellStyle name="Accent5 2 5 2" xfId="4102" xr:uid="{098807BA-A410-4545-AA97-6C3236219ADD}"/>
    <cellStyle name="Accent5 2 5 3" xfId="4221" xr:uid="{CCD629D7-8C82-4577-BE2B-FA78909A03AC}"/>
    <cellStyle name="Accent5 2 6" xfId="1452" xr:uid="{00000000-0005-0000-0000-0000E8040000}"/>
    <cellStyle name="Accent5 2 6 2" xfId="4426" xr:uid="{E250A36E-F310-4DFB-A7EB-F5B374888C75}"/>
    <cellStyle name="Accent5 2 6 3" xfId="4220" xr:uid="{DC7679C2-4C41-44E7-8152-DF85E802D6D4}"/>
    <cellStyle name="Accent5 2 7" xfId="4045" xr:uid="{E6836566-8693-46E0-80E6-E0FC3889F66F}"/>
    <cellStyle name="Accent5 2 8" xfId="3960" xr:uid="{E4785B8A-1EF7-4134-8EB1-F7B8AFF0A097}"/>
    <cellStyle name="Accent5 3" xfId="91" xr:uid="{00000000-0005-0000-0000-0000E9040000}"/>
    <cellStyle name="Accent5 3 2" xfId="1454" xr:uid="{00000000-0005-0000-0000-0000EA040000}"/>
    <cellStyle name="Accent5 3 2 2" xfId="3593" xr:uid="{5302A5F4-C215-4812-87BD-BD002B07E855}"/>
    <cellStyle name="Accent5 3 2 3" xfId="3562" xr:uid="{EA1E5D29-3D4F-4EA1-AF47-AF677D43FB19}"/>
    <cellStyle name="Accent5 3 3" xfId="1455" xr:uid="{00000000-0005-0000-0000-0000EB040000}"/>
    <cellStyle name="Accent5 3 4" xfId="1456" xr:uid="{00000000-0005-0000-0000-0000EC040000}"/>
    <cellStyle name="Accent5 3 5" xfId="1457" xr:uid="{00000000-0005-0000-0000-0000ED040000}"/>
    <cellStyle name="Accent5 3 6" xfId="1458" xr:uid="{00000000-0005-0000-0000-0000EE040000}"/>
    <cellStyle name="Accent5 3 7" xfId="1459" xr:uid="{00000000-0005-0000-0000-0000EF040000}"/>
    <cellStyle name="Accent5 3 7 2" xfId="4101" xr:uid="{95BD2856-90CA-4C0B-AA6C-0213F85FF7A4}"/>
    <cellStyle name="Accent5 3 7 3" xfId="4219" xr:uid="{CAE208F6-16FF-4A53-85D3-1CA4B314115B}"/>
    <cellStyle name="Accent5 3 8" xfId="1453" xr:uid="{00000000-0005-0000-0000-0000F0040000}"/>
    <cellStyle name="Accent5 3 9" xfId="4469" xr:uid="{B574C550-2698-4DCC-982E-8580E6D074CC}"/>
    <cellStyle name="Accent5 4" xfId="92" xr:uid="{00000000-0005-0000-0000-0000F1040000}"/>
    <cellStyle name="Accent5 4 2" xfId="1461" xr:uid="{00000000-0005-0000-0000-0000F2040000}"/>
    <cellStyle name="Accent5 4 2 2" xfId="4100" xr:uid="{AD959A63-E3F4-4D11-B5BF-73C15A197424}"/>
    <cellStyle name="Accent5 4 2 3" xfId="4218" xr:uid="{E06DFC86-2F65-4218-895C-9723A0369DE8}"/>
    <cellStyle name="Accent5 4 3" xfId="1462" xr:uid="{00000000-0005-0000-0000-0000F3040000}"/>
    <cellStyle name="Accent5 4 4" xfId="1463" xr:uid="{00000000-0005-0000-0000-0000F4040000}"/>
    <cellStyle name="Accent5 4 5" xfId="1464" xr:uid="{00000000-0005-0000-0000-0000F5040000}"/>
    <cellStyle name="Accent5 4 6" xfId="1465" xr:uid="{00000000-0005-0000-0000-0000F6040000}"/>
    <cellStyle name="Accent5 4 7" xfId="1466" xr:uid="{00000000-0005-0000-0000-0000F7040000}"/>
    <cellStyle name="Accent5 4 8" xfId="1460" xr:uid="{00000000-0005-0000-0000-0000F8040000}"/>
    <cellStyle name="Accent5 5" xfId="93" xr:uid="{00000000-0005-0000-0000-0000F9040000}"/>
    <cellStyle name="Accent5 5 2" xfId="1467" xr:uid="{00000000-0005-0000-0000-0000FA040000}"/>
    <cellStyle name="Accent5 5 2 2" xfId="4099" xr:uid="{8E90A374-9B5B-4BE2-8B3C-3CB8675A5916}"/>
    <cellStyle name="Accent5 5 2 3" xfId="4007" xr:uid="{9DA4E2F2-9188-4AB3-A7BF-504EB4E8F8AF}"/>
    <cellStyle name="Accent5 5 3" xfId="1468" xr:uid="{00000000-0005-0000-0000-0000FB040000}"/>
    <cellStyle name="Accent5 5 4" xfId="1469" xr:uid="{00000000-0005-0000-0000-0000FC040000}"/>
    <cellStyle name="Accent5 5 5" xfId="1470" xr:uid="{00000000-0005-0000-0000-0000FD040000}"/>
    <cellStyle name="Accent5 5 6" xfId="1471" xr:uid="{00000000-0005-0000-0000-0000FE040000}"/>
    <cellStyle name="Accent5 6" xfId="94" xr:uid="{00000000-0005-0000-0000-0000FF040000}"/>
    <cellStyle name="Accent5 6 2" xfId="1472" xr:uid="{00000000-0005-0000-0000-000000050000}"/>
    <cellStyle name="Accent5 6 2 2" xfId="4098" xr:uid="{7ED4EAA9-AF80-41AF-A130-3597C6D20CA5}"/>
    <cellStyle name="Accent5 6 2 3" xfId="3959" xr:uid="{A94F13A8-1496-4546-AA5A-E3FC553C8ABB}"/>
    <cellStyle name="Accent5 6 3" xfId="1473" xr:uid="{00000000-0005-0000-0000-000001050000}"/>
    <cellStyle name="Accent5 6 4" xfId="1474" xr:uid="{00000000-0005-0000-0000-000002050000}"/>
    <cellStyle name="Accent5 6 5" xfId="1475" xr:uid="{00000000-0005-0000-0000-000003050000}"/>
    <cellStyle name="Accent5 6 6" xfId="1476" xr:uid="{00000000-0005-0000-0000-000004050000}"/>
    <cellStyle name="Accent5 7" xfId="95" xr:uid="{00000000-0005-0000-0000-000005050000}"/>
    <cellStyle name="Accent5 7 2" xfId="1477" xr:uid="{00000000-0005-0000-0000-000006050000}"/>
    <cellStyle name="Accent5 7 2 2" xfId="4097" xr:uid="{D98E1047-267C-4CFC-A153-25FFE416993E}"/>
    <cellStyle name="Accent5 7 2 3" xfId="4217" xr:uid="{9202CB05-37D0-402A-AED1-CC669EF2F060}"/>
    <cellStyle name="Accent5 7 3" xfId="1478" xr:uid="{00000000-0005-0000-0000-000007050000}"/>
    <cellStyle name="Accent5 7 4" xfId="1479" xr:uid="{00000000-0005-0000-0000-000008050000}"/>
    <cellStyle name="Accent5 7 5" xfId="1480" xr:uid="{00000000-0005-0000-0000-000009050000}"/>
    <cellStyle name="Accent5 7 6" xfId="1481" xr:uid="{00000000-0005-0000-0000-00000A050000}"/>
    <cellStyle name="Accent5 8 2" xfId="1482" xr:uid="{00000000-0005-0000-0000-00000B050000}"/>
    <cellStyle name="Accent5 8 3" xfId="1483" xr:uid="{00000000-0005-0000-0000-00000C050000}"/>
    <cellStyle name="Accent5 8 4" xfId="1484" xr:uid="{00000000-0005-0000-0000-00000D050000}"/>
    <cellStyle name="Accent5 8 5" xfId="1485" xr:uid="{00000000-0005-0000-0000-00000E050000}"/>
    <cellStyle name="Accent5 8 6" xfId="1486" xr:uid="{00000000-0005-0000-0000-00000F050000}"/>
    <cellStyle name="Accent5 9 2" xfId="1487" xr:uid="{00000000-0005-0000-0000-000010050000}"/>
    <cellStyle name="Accent5 9 3" xfId="1488" xr:uid="{00000000-0005-0000-0000-000011050000}"/>
    <cellStyle name="Accent5 9 4" xfId="1489" xr:uid="{00000000-0005-0000-0000-000012050000}"/>
    <cellStyle name="Accent5 9 5" xfId="1490" xr:uid="{00000000-0005-0000-0000-000013050000}"/>
    <cellStyle name="Accent5 9 6" xfId="1491" xr:uid="{00000000-0005-0000-0000-000014050000}"/>
    <cellStyle name="Accent6 - 20%" xfId="96" xr:uid="{00000000-0005-0000-0000-000015050000}"/>
    <cellStyle name="Accent6 - 40%" xfId="97" xr:uid="{00000000-0005-0000-0000-000016050000}"/>
    <cellStyle name="Accent6 - 60%" xfId="98" xr:uid="{00000000-0005-0000-0000-000017050000}"/>
    <cellStyle name="Accent6 10 2" xfId="1492" xr:uid="{00000000-0005-0000-0000-000018050000}"/>
    <cellStyle name="Accent6 10 3" xfId="1493" xr:uid="{00000000-0005-0000-0000-000019050000}"/>
    <cellStyle name="Accent6 10 4" xfId="1494" xr:uid="{00000000-0005-0000-0000-00001A050000}"/>
    <cellStyle name="Accent6 10 5" xfId="1495" xr:uid="{00000000-0005-0000-0000-00001B050000}"/>
    <cellStyle name="Accent6 10 6" xfId="1496" xr:uid="{00000000-0005-0000-0000-00001C050000}"/>
    <cellStyle name="Accent6 11 2" xfId="1497" xr:uid="{00000000-0005-0000-0000-00001D050000}"/>
    <cellStyle name="Accent6 11 3" xfId="1498" xr:uid="{00000000-0005-0000-0000-00001E050000}"/>
    <cellStyle name="Accent6 11 4" xfId="1499" xr:uid="{00000000-0005-0000-0000-00001F050000}"/>
    <cellStyle name="Accent6 11 5" xfId="1500" xr:uid="{00000000-0005-0000-0000-000020050000}"/>
    <cellStyle name="Accent6 11 6" xfId="1501" xr:uid="{00000000-0005-0000-0000-000021050000}"/>
    <cellStyle name="Accent6 2" xfId="99" xr:uid="{00000000-0005-0000-0000-000022050000}"/>
    <cellStyle name="Accent6 2 2" xfId="1502" xr:uid="{00000000-0005-0000-0000-000023050000}"/>
    <cellStyle name="Accent6 2 3" xfId="1503" xr:uid="{00000000-0005-0000-0000-000024050000}"/>
    <cellStyle name="Accent6 2 3 2" xfId="4027" xr:uid="{3946EE87-8822-4DA9-AD3F-CCA0F9251523}"/>
    <cellStyle name="Accent6 2 3 3" xfId="4306" xr:uid="{C233B95A-C44D-4C82-B6E4-AAED4D5447BA}"/>
    <cellStyle name="Accent6 2 4" xfId="1504" xr:uid="{00000000-0005-0000-0000-000025050000}"/>
    <cellStyle name="Accent6 2 4 2" xfId="4096" xr:uid="{C8701572-1F6B-427E-859E-238FCEF2E515}"/>
    <cellStyle name="Accent6 2 4 3" xfId="4309" xr:uid="{906C4962-8875-44D0-BD71-751E633DEC56}"/>
    <cellStyle name="Accent6 2 5" xfId="1505" xr:uid="{00000000-0005-0000-0000-000026050000}"/>
    <cellStyle name="Accent6 2 5 2" xfId="4026" xr:uid="{CCB1600B-34FD-4D9C-A4CD-4A0F58770DC2}"/>
    <cellStyle name="Accent6 2 5 3" xfId="4216" xr:uid="{494D7E04-1ECA-4050-A797-116C92220F0E}"/>
    <cellStyle name="Accent6 2 6" xfId="1506" xr:uid="{00000000-0005-0000-0000-000027050000}"/>
    <cellStyle name="Accent6 2 6 2" xfId="4095" xr:uid="{AA4AFBBF-9D05-4410-9208-391B4423A065}"/>
    <cellStyle name="Accent6 2 6 3" xfId="4215" xr:uid="{E4AFC362-DCD1-411F-87F6-A5275F2D68F2}"/>
    <cellStyle name="Accent6 2 7" xfId="4214" xr:uid="{A243A4F6-673F-48F6-AD3D-AD22B1C2C7AA}"/>
    <cellStyle name="Accent6 2 8" xfId="4044" xr:uid="{4C46AAD6-FFB8-47AA-B80E-CF970E734180}"/>
    <cellStyle name="Accent6 3" xfId="100" xr:uid="{00000000-0005-0000-0000-000028050000}"/>
    <cellStyle name="Accent6 3 2" xfId="1508" xr:uid="{00000000-0005-0000-0000-000029050000}"/>
    <cellStyle name="Accent6 3 2 2" xfId="3594" xr:uid="{A717540F-2D70-48DB-9799-B78693A2E8AA}"/>
    <cellStyle name="Accent6 3 2 3" xfId="3563" xr:uid="{EDD40ED0-27E4-4E2E-906B-E2CA33E6B655}"/>
    <cellStyle name="Accent6 3 3" xfId="1509" xr:uid="{00000000-0005-0000-0000-00002A050000}"/>
    <cellStyle name="Accent6 3 4" xfId="1510" xr:uid="{00000000-0005-0000-0000-00002B050000}"/>
    <cellStyle name="Accent6 3 5" xfId="1511" xr:uid="{00000000-0005-0000-0000-00002C050000}"/>
    <cellStyle name="Accent6 3 6" xfId="1512" xr:uid="{00000000-0005-0000-0000-00002D050000}"/>
    <cellStyle name="Accent6 3 7" xfId="1513" xr:uid="{00000000-0005-0000-0000-00002E050000}"/>
    <cellStyle name="Accent6 3 7 2" xfId="4094" xr:uid="{3499067F-CCFC-48D1-9682-B19B002ABECF}"/>
    <cellStyle name="Accent6 3 7 3" xfId="4213" xr:uid="{4DE0A60D-3B37-4218-B612-C72907E5BFCA}"/>
    <cellStyle name="Accent6 3 8" xfId="1507" xr:uid="{00000000-0005-0000-0000-00002F050000}"/>
    <cellStyle name="Accent6 3 9" xfId="4141" xr:uid="{87AFF469-7FEA-4E55-B32C-7EDC56DD68A8}"/>
    <cellStyle name="Accent6 4" xfId="101" xr:uid="{00000000-0005-0000-0000-000030050000}"/>
    <cellStyle name="Accent6 4 2" xfId="1515" xr:uid="{00000000-0005-0000-0000-000031050000}"/>
    <cellStyle name="Accent6 4 2 2" xfId="4093" xr:uid="{EFC6F16B-B702-4A7C-8BC6-7FB7F54BC210}"/>
    <cellStyle name="Accent6 4 2 3" xfId="3958" xr:uid="{69BBFE5F-4DD9-49AC-8962-54471C28D4CF}"/>
    <cellStyle name="Accent6 4 3" xfId="1516" xr:uid="{00000000-0005-0000-0000-000032050000}"/>
    <cellStyle name="Accent6 4 4" xfId="1517" xr:uid="{00000000-0005-0000-0000-000033050000}"/>
    <cellStyle name="Accent6 4 5" xfId="1518" xr:uid="{00000000-0005-0000-0000-000034050000}"/>
    <cellStyle name="Accent6 4 6" xfId="1519" xr:uid="{00000000-0005-0000-0000-000035050000}"/>
    <cellStyle name="Accent6 4 7" xfId="1520" xr:uid="{00000000-0005-0000-0000-000036050000}"/>
    <cellStyle name="Accent6 4 8" xfId="1514" xr:uid="{00000000-0005-0000-0000-000037050000}"/>
    <cellStyle name="Accent6 5" xfId="102" xr:uid="{00000000-0005-0000-0000-000038050000}"/>
    <cellStyle name="Accent6 5 2" xfId="1521" xr:uid="{00000000-0005-0000-0000-000039050000}"/>
    <cellStyle name="Accent6 5 2 2" xfId="4025" xr:uid="{83C6271A-C60F-40D4-AFDD-B9E212C78530}"/>
    <cellStyle name="Accent6 5 2 3" xfId="4212" xr:uid="{5B4AD62B-9C2C-41D6-9D6C-F7692B2E18D3}"/>
    <cellStyle name="Accent6 5 3" xfId="1522" xr:uid="{00000000-0005-0000-0000-00003A050000}"/>
    <cellStyle name="Accent6 5 4" xfId="1523" xr:uid="{00000000-0005-0000-0000-00003B050000}"/>
    <cellStyle name="Accent6 5 5" xfId="1524" xr:uid="{00000000-0005-0000-0000-00003C050000}"/>
    <cellStyle name="Accent6 5 6" xfId="1525" xr:uid="{00000000-0005-0000-0000-00003D050000}"/>
    <cellStyle name="Accent6 6" xfId="103" xr:uid="{00000000-0005-0000-0000-00003E050000}"/>
    <cellStyle name="Accent6 6 2" xfId="1526" xr:uid="{00000000-0005-0000-0000-00003F050000}"/>
    <cellStyle name="Accent6 6 2 2" xfId="4024" xr:uid="{3DB6FF04-8614-4737-B4F7-D5918626A1AE}"/>
    <cellStyle name="Accent6 6 2 3" xfId="4211" xr:uid="{1C000766-92E5-44E2-B67D-246DC96A8E9A}"/>
    <cellStyle name="Accent6 6 3" xfId="1527" xr:uid="{00000000-0005-0000-0000-000040050000}"/>
    <cellStyle name="Accent6 6 4" xfId="1528" xr:uid="{00000000-0005-0000-0000-000041050000}"/>
    <cellStyle name="Accent6 6 5" xfId="1529" xr:uid="{00000000-0005-0000-0000-000042050000}"/>
    <cellStyle name="Accent6 6 6" xfId="1530" xr:uid="{00000000-0005-0000-0000-000043050000}"/>
    <cellStyle name="Accent6 7" xfId="104" xr:uid="{00000000-0005-0000-0000-000044050000}"/>
    <cellStyle name="Accent6 7 2" xfId="1531" xr:uid="{00000000-0005-0000-0000-000045050000}"/>
    <cellStyle name="Accent6 7 2 2" xfId="4092" xr:uid="{F7993771-FDB4-489F-BAC6-B70E9B14DFA5}"/>
    <cellStyle name="Accent6 7 2 3" xfId="4210" xr:uid="{CE0435DA-BDBF-43AC-934E-8A5BC719B5A5}"/>
    <cellStyle name="Accent6 7 3" xfId="1532" xr:uid="{00000000-0005-0000-0000-000046050000}"/>
    <cellStyle name="Accent6 7 4" xfId="1533" xr:uid="{00000000-0005-0000-0000-000047050000}"/>
    <cellStyle name="Accent6 7 5" xfId="1534" xr:uid="{00000000-0005-0000-0000-000048050000}"/>
    <cellStyle name="Accent6 7 6" xfId="1535" xr:uid="{00000000-0005-0000-0000-000049050000}"/>
    <cellStyle name="Accent6 8 2" xfId="1536" xr:uid="{00000000-0005-0000-0000-00004A050000}"/>
    <cellStyle name="Accent6 8 3" xfId="1537" xr:uid="{00000000-0005-0000-0000-00004B050000}"/>
    <cellStyle name="Accent6 8 4" xfId="1538" xr:uid="{00000000-0005-0000-0000-00004C050000}"/>
    <cellStyle name="Accent6 8 5" xfId="1539" xr:uid="{00000000-0005-0000-0000-00004D050000}"/>
    <cellStyle name="Accent6 8 6" xfId="1540" xr:uid="{00000000-0005-0000-0000-00004E050000}"/>
    <cellStyle name="Accent6 9 2" xfId="1541" xr:uid="{00000000-0005-0000-0000-00004F050000}"/>
    <cellStyle name="Accent6 9 3" xfId="1542" xr:uid="{00000000-0005-0000-0000-000050050000}"/>
    <cellStyle name="Accent6 9 4" xfId="1543" xr:uid="{00000000-0005-0000-0000-000051050000}"/>
    <cellStyle name="Accent6 9 5" xfId="1544" xr:uid="{00000000-0005-0000-0000-000052050000}"/>
    <cellStyle name="Accent6 9 6" xfId="1545" xr:uid="{00000000-0005-0000-0000-000053050000}"/>
    <cellStyle name="Bad 10 2" xfId="1546" xr:uid="{00000000-0005-0000-0000-000054050000}"/>
    <cellStyle name="Bad 10 3" xfId="1547" xr:uid="{00000000-0005-0000-0000-000055050000}"/>
    <cellStyle name="Bad 10 4" xfId="1548" xr:uid="{00000000-0005-0000-0000-000056050000}"/>
    <cellStyle name="Bad 10 5" xfId="1549" xr:uid="{00000000-0005-0000-0000-000057050000}"/>
    <cellStyle name="Bad 10 6" xfId="1550" xr:uid="{00000000-0005-0000-0000-000058050000}"/>
    <cellStyle name="Bad 11 2" xfId="1551" xr:uid="{00000000-0005-0000-0000-000059050000}"/>
    <cellStyle name="Bad 11 3" xfId="1552" xr:uid="{00000000-0005-0000-0000-00005A050000}"/>
    <cellStyle name="Bad 11 4" xfId="1553" xr:uid="{00000000-0005-0000-0000-00005B050000}"/>
    <cellStyle name="Bad 11 5" xfId="1554" xr:uid="{00000000-0005-0000-0000-00005C050000}"/>
    <cellStyle name="Bad 11 6" xfId="1555" xr:uid="{00000000-0005-0000-0000-00005D050000}"/>
    <cellStyle name="Bad 2" xfId="105" xr:uid="{00000000-0005-0000-0000-00005E050000}"/>
    <cellStyle name="Bad 2 2" xfId="1556" xr:uid="{00000000-0005-0000-0000-00005F050000}"/>
    <cellStyle name="Bad 2 3" xfId="1557" xr:uid="{00000000-0005-0000-0000-000060050000}"/>
    <cellStyle name="Bad 2 3 2" xfId="4032" xr:uid="{51D2D32D-A128-4D95-8EF4-9AA15A2AA035}"/>
    <cellStyle name="Bad 2 3 3" xfId="4308" xr:uid="{BAD8C106-4131-479F-A005-E6B8147B3E35}"/>
    <cellStyle name="Bad 2 4" xfId="1558" xr:uid="{00000000-0005-0000-0000-000061050000}"/>
    <cellStyle name="Bad 2 4 2" xfId="4425" xr:uid="{4CB29654-8522-4DD5-9542-C551D8096430}"/>
    <cellStyle name="Bad 2 4 3" xfId="4307" xr:uid="{275AD6B4-35D0-4733-B5E1-C54EE454B1E6}"/>
    <cellStyle name="Bad 2 5" xfId="1559" xr:uid="{00000000-0005-0000-0000-000062050000}"/>
    <cellStyle name="Bad 2 5 2" xfId="4091" xr:uid="{5072BC25-7689-4F5E-8D75-77BC07A348DF}"/>
    <cellStyle name="Bad 2 5 3" xfId="4441" xr:uid="{D0F5B55A-479E-4E10-BAF8-59F430F3F8DC}"/>
    <cellStyle name="Bad 2 6" xfId="1560" xr:uid="{00000000-0005-0000-0000-000063050000}"/>
    <cellStyle name="Bad 2 6 2" xfId="4023" xr:uid="{CEDB6998-E0A4-4B1C-8C1E-25E26A5F4CC5}"/>
    <cellStyle name="Bad 2 6 3" xfId="3957" xr:uid="{19C78E61-EF9B-4982-826F-61CCE3C7E89A}"/>
    <cellStyle name="Bad 2 7" xfId="3956" xr:uid="{EE957033-A938-49D1-B280-56119A04B5B9}"/>
    <cellStyle name="Bad 2 8" xfId="4208" xr:uid="{6F333ACB-8476-4F8A-8433-223FC853592B}"/>
    <cellStyle name="Bad 3" xfId="106" xr:uid="{00000000-0005-0000-0000-000064050000}"/>
    <cellStyle name="Bad 3 2" xfId="1562" xr:uid="{00000000-0005-0000-0000-000065050000}"/>
    <cellStyle name="Bad 3 3" xfId="1563" xr:uid="{00000000-0005-0000-0000-000066050000}"/>
    <cellStyle name="Bad 3 4" xfId="1564" xr:uid="{00000000-0005-0000-0000-000067050000}"/>
    <cellStyle name="Bad 3 5" xfId="1565" xr:uid="{00000000-0005-0000-0000-000068050000}"/>
    <cellStyle name="Bad 3 6" xfId="1566" xr:uid="{00000000-0005-0000-0000-000069050000}"/>
    <cellStyle name="Bad 3 7" xfId="1567" xr:uid="{00000000-0005-0000-0000-00006A050000}"/>
    <cellStyle name="Bad 3 7 2" xfId="4022" xr:uid="{54E3B667-3976-47ED-8579-B7B4ADDD4370}"/>
    <cellStyle name="Bad 3 7 3" xfId="4207" xr:uid="{8ABA440E-1C87-4549-B148-4DD67192DA82}"/>
    <cellStyle name="Bad 3 8" xfId="1561" xr:uid="{00000000-0005-0000-0000-00006B050000}"/>
    <cellStyle name="Bad 3 9" xfId="3575" xr:uid="{90EC5ECA-FC40-463B-922C-9F6910994BFE}"/>
    <cellStyle name="Bad 4" xfId="107" xr:uid="{00000000-0005-0000-0000-00006C050000}"/>
    <cellStyle name="Bad 4 2" xfId="1569" xr:uid="{00000000-0005-0000-0000-00006D050000}"/>
    <cellStyle name="Bad 4 2 2" xfId="4021" xr:uid="{4D31A97D-23E9-4F51-A257-E477D08BAD8B}"/>
    <cellStyle name="Bad 4 2 3" xfId="4206" xr:uid="{27AED042-72FB-4179-B0B1-6F17F667D6DE}"/>
    <cellStyle name="Bad 4 3" xfId="1570" xr:uid="{00000000-0005-0000-0000-00006E050000}"/>
    <cellStyle name="Bad 4 4" xfId="1571" xr:uid="{00000000-0005-0000-0000-00006F050000}"/>
    <cellStyle name="Bad 4 5" xfId="1572" xr:uid="{00000000-0005-0000-0000-000070050000}"/>
    <cellStyle name="Bad 4 6" xfId="1573" xr:uid="{00000000-0005-0000-0000-000071050000}"/>
    <cellStyle name="Bad 4 7" xfId="1574" xr:uid="{00000000-0005-0000-0000-000072050000}"/>
    <cellStyle name="Bad 4 8" xfId="1568" xr:uid="{00000000-0005-0000-0000-000073050000}"/>
    <cellStyle name="Bad 5" xfId="108" xr:uid="{00000000-0005-0000-0000-000074050000}"/>
    <cellStyle name="Bad 5 2" xfId="1575" xr:uid="{00000000-0005-0000-0000-000075050000}"/>
    <cellStyle name="Bad 5 3" xfId="1576" xr:uid="{00000000-0005-0000-0000-000076050000}"/>
    <cellStyle name="Bad 5 4" xfId="1577" xr:uid="{00000000-0005-0000-0000-000077050000}"/>
    <cellStyle name="Bad 5 5" xfId="1578" xr:uid="{00000000-0005-0000-0000-000078050000}"/>
    <cellStyle name="Bad 5 6" xfId="1579" xr:uid="{00000000-0005-0000-0000-000079050000}"/>
    <cellStyle name="Bad 6" xfId="109" xr:uid="{00000000-0005-0000-0000-00007A050000}"/>
    <cellStyle name="Bad 6 2" xfId="1580" xr:uid="{00000000-0005-0000-0000-00007B050000}"/>
    <cellStyle name="Bad 6 3" xfId="1581" xr:uid="{00000000-0005-0000-0000-00007C050000}"/>
    <cellStyle name="Bad 6 4" xfId="1582" xr:uid="{00000000-0005-0000-0000-00007D050000}"/>
    <cellStyle name="Bad 6 5" xfId="1583" xr:uid="{00000000-0005-0000-0000-00007E050000}"/>
    <cellStyle name="Bad 6 6" xfId="1584" xr:uid="{00000000-0005-0000-0000-00007F050000}"/>
    <cellStyle name="Bad 7" xfId="110" xr:uid="{00000000-0005-0000-0000-000080050000}"/>
    <cellStyle name="Bad 7 2" xfId="1585" xr:uid="{00000000-0005-0000-0000-000081050000}"/>
    <cellStyle name="Bad 7 3" xfId="1586" xr:uid="{00000000-0005-0000-0000-000082050000}"/>
    <cellStyle name="Bad 7 4" xfId="1587" xr:uid="{00000000-0005-0000-0000-000083050000}"/>
    <cellStyle name="Bad 7 5" xfId="1588" xr:uid="{00000000-0005-0000-0000-000084050000}"/>
    <cellStyle name="Bad 7 6" xfId="1589" xr:uid="{00000000-0005-0000-0000-000085050000}"/>
    <cellStyle name="Bad 8 2" xfId="1590" xr:uid="{00000000-0005-0000-0000-000086050000}"/>
    <cellStyle name="Bad 8 3" xfId="1591" xr:uid="{00000000-0005-0000-0000-000087050000}"/>
    <cellStyle name="Bad 8 4" xfId="1592" xr:uid="{00000000-0005-0000-0000-000088050000}"/>
    <cellStyle name="Bad 8 5" xfId="1593" xr:uid="{00000000-0005-0000-0000-000089050000}"/>
    <cellStyle name="Bad 8 6" xfId="1594" xr:uid="{00000000-0005-0000-0000-00008A050000}"/>
    <cellStyle name="Bad 9 2" xfId="1595" xr:uid="{00000000-0005-0000-0000-00008B050000}"/>
    <cellStyle name="Bad 9 3" xfId="1596" xr:uid="{00000000-0005-0000-0000-00008C050000}"/>
    <cellStyle name="Bad 9 4" xfId="1597" xr:uid="{00000000-0005-0000-0000-00008D050000}"/>
    <cellStyle name="Bad 9 5" xfId="1598" xr:uid="{00000000-0005-0000-0000-00008E050000}"/>
    <cellStyle name="Bad 9 6" xfId="1599" xr:uid="{00000000-0005-0000-0000-00008F050000}"/>
    <cellStyle name="Bold Border" xfId="111" xr:uid="{00000000-0005-0000-0000-000090050000}"/>
    <cellStyle name="Bold Border 2" xfId="5253" xr:uid="{36126F2D-A869-4EA0-8EAD-2EEFFA0C296F}"/>
    <cellStyle name="Bold Border 3" xfId="3513" xr:uid="{1C782AE0-2DB3-466E-AADB-A16B72DDF14C}"/>
    <cellStyle name="Bottom bold border" xfId="112" xr:uid="{00000000-0005-0000-0000-000091050000}"/>
    <cellStyle name="Bottom single border" xfId="113" xr:uid="{00000000-0005-0000-0000-000092050000}"/>
    <cellStyle name="Calculation 10 2" xfId="1600" xr:uid="{00000000-0005-0000-0000-000093050000}"/>
    <cellStyle name="Calculation 10 2 2" xfId="2603" xr:uid="{00000000-0005-0000-0000-000094050000}"/>
    <cellStyle name="Calculation 10 2 2 2" xfId="3250" xr:uid="{00000000-0005-0000-0000-000098050000}"/>
    <cellStyle name="Calculation 10 2 3" xfId="4907" xr:uid="{AC264C97-9A09-4362-AFA7-E5EFF304EA02}"/>
    <cellStyle name="Calculation 10 2 4" xfId="5082" xr:uid="{EB2401CC-00B3-494B-88CA-7BB8145745D4}"/>
    <cellStyle name="Calculation 10 3" xfId="1601" xr:uid="{00000000-0005-0000-0000-000095050000}"/>
    <cellStyle name="Calculation 10 3 2" xfId="2604" xr:uid="{00000000-0005-0000-0000-000096050000}"/>
    <cellStyle name="Calculation 10 3 2 2" xfId="3249" xr:uid="{00000000-0005-0000-0000-00009B050000}"/>
    <cellStyle name="Calculation 10 3 3" xfId="5116" xr:uid="{D5071BAD-5D75-4A02-AD3B-DF0E7C9DAE1D}"/>
    <cellStyle name="Calculation 10 3 4" xfId="5167" xr:uid="{6DFCB802-67B9-4F6D-AEE6-01CB1695BAA9}"/>
    <cellStyle name="Calculation 10 4" xfId="1602" xr:uid="{00000000-0005-0000-0000-000097050000}"/>
    <cellStyle name="Calculation 10 4 2" xfId="2605" xr:uid="{00000000-0005-0000-0000-000098050000}"/>
    <cellStyle name="Calculation 10 4 2 2" xfId="3248" xr:uid="{00000000-0005-0000-0000-00009E050000}"/>
    <cellStyle name="Calculation 10 4 3" xfId="4906" xr:uid="{8F89DEB2-730C-47C0-A011-AD96D38CE671}"/>
    <cellStyle name="Calculation 10 4 4" xfId="4651" xr:uid="{067C7281-DEBC-4138-AF95-4E37C4E8B6F3}"/>
    <cellStyle name="Calculation 10 5" xfId="1603" xr:uid="{00000000-0005-0000-0000-000099050000}"/>
    <cellStyle name="Calculation 10 5 2" xfId="2606" xr:uid="{00000000-0005-0000-0000-00009A050000}"/>
    <cellStyle name="Calculation 10 5 2 2" xfId="3247" xr:uid="{00000000-0005-0000-0000-0000A1050000}"/>
    <cellStyle name="Calculation 10 5 3" xfId="4905" xr:uid="{AEAD71E4-1C5A-4983-8117-C004347A46AD}"/>
    <cellStyle name="Calculation 10 5 4" xfId="5131" xr:uid="{386D8232-1D73-41FF-BDA9-599B67E821E5}"/>
    <cellStyle name="Calculation 10 6" xfId="1604" xr:uid="{00000000-0005-0000-0000-00009B050000}"/>
    <cellStyle name="Calculation 10 6 2" xfId="2607" xr:uid="{00000000-0005-0000-0000-00009C050000}"/>
    <cellStyle name="Calculation 10 6 2 2" xfId="3246" xr:uid="{00000000-0005-0000-0000-0000A4050000}"/>
    <cellStyle name="Calculation 10 6 3" xfId="5166" xr:uid="{AAEDA76F-F540-408B-B260-E977DECC8285}"/>
    <cellStyle name="Calculation 10 6 4" xfId="4654" xr:uid="{4CEF211E-1421-446C-84FD-4378709D1187}"/>
    <cellStyle name="Calculation 11 2" xfId="1605" xr:uid="{00000000-0005-0000-0000-00009D050000}"/>
    <cellStyle name="Calculation 11 2 2" xfId="2608" xr:uid="{00000000-0005-0000-0000-00009E050000}"/>
    <cellStyle name="Calculation 11 2 2 2" xfId="3245" xr:uid="{00000000-0005-0000-0000-0000A7050000}"/>
    <cellStyle name="Calculation 11 2 3" xfId="4904" xr:uid="{A3003E90-FE2F-434C-9E12-E786D4695F67}"/>
    <cellStyle name="Calculation 11 2 4" xfId="5120" xr:uid="{69983325-8309-4DB7-BCD9-8A26584D6DA7}"/>
    <cellStyle name="Calculation 11 3" xfId="1606" xr:uid="{00000000-0005-0000-0000-00009F050000}"/>
    <cellStyle name="Calculation 11 3 2" xfId="2609" xr:uid="{00000000-0005-0000-0000-0000A0050000}"/>
    <cellStyle name="Calculation 11 3 2 2" xfId="3244" xr:uid="{00000000-0005-0000-0000-0000AA050000}"/>
    <cellStyle name="Calculation 11 3 3" xfId="4903" xr:uid="{07B04F47-F506-40DC-B249-34C7AB076C86}"/>
    <cellStyle name="Calculation 11 3 4" xfId="4908" xr:uid="{D6DB7D7B-AA08-4125-BD1F-9CF3030A9BB9}"/>
    <cellStyle name="Calculation 11 4" xfId="1607" xr:uid="{00000000-0005-0000-0000-0000A1050000}"/>
    <cellStyle name="Calculation 11 4 2" xfId="2610" xr:uid="{00000000-0005-0000-0000-0000A2050000}"/>
    <cellStyle name="Calculation 11 4 2 2" xfId="3243" xr:uid="{00000000-0005-0000-0000-0000AD050000}"/>
    <cellStyle name="Calculation 11 4 3" xfId="4902" xr:uid="{73F5FC7D-46D1-486A-8A2F-B17FAFE36276}"/>
    <cellStyle name="Calculation 11 4 4" xfId="4909" xr:uid="{B4AF270A-6B49-4C87-AF29-2731B89D7273}"/>
    <cellStyle name="Calculation 11 5" xfId="1608" xr:uid="{00000000-0005-0000-0000-0000A3050000}"/>
    <cellStyle name="Calculation 11 5 2" xfId="2611" xr:uid="{00000000-0005-0000-0000-0000A4050000}"/>
    <cellStyle name="Calculation 11 5 2 2" xfId="3242" xr:uid="{00000000-0005-0000-0000-0000B0050000}"/>
    <cellStyle name="Calculation 11 5 3" xfId="4901" xr:uid="{B3C4FD8E-5CAC-4A50-AE81-02B2422A6850}"/>
    <cellStyle name="Calculation 11 5 4" xfId="4610" xr:uid="{86352559-70C3-40D2-B3EE-1F81A37A926F}"/>
    <cellStyle name="Calculation 11 6" xfId="1609" xr:uid="{00000000-0005-0000-0000-0000A5050000}"/>
    <cellStyle name="Calculation 11 6 2" xfId="2612" xr:uid="{00000000-0005-0000-0000-0000A6050000}"/>
    <cellStyle name="Calculation 11 6 2 2" xfId="3241" xr:uid="{00000000-0005-0000-0000-0000B3050000}"/>
    <cellStyle name="Calculation 11 6 3" xfId="4900" xr:uid="{58FA7C8E-6DC2-407A-8833-EF909691ABD3}"/>
    <cellStyle name="Calculation 11 6 4" xfId="4910" xr:uid="{69781029-9BC4-48FF-BCEF-36300E96358C}"/>
    <cellStyle name="Calculation 2" xfId="114" xr:uid="{00000000-0005-0000-0000-0000A7050000}"/>
    <cellStyle name="Calculation 2 2" xfId="1610" xr:uid="{00000000-0005-0000-0000-0000A8050000}"/>
    <cellStyle name="Calculation 2 2 2" xfId="2613" xr:uid="{00000000-0005-0000-0000-0000A9050000}"/>
    <cellStyle name="Calculation 2 2 2 2" xfId="3240" xr:uid="{00000000-0005-0000-0000-0000B7050000}"/>
    <cellStyle name="Calculation 2 2 3" xfId="4609" xr:uid="{6E59ACFD-81AD-497E-95AD-057ADD802B56}"/>
    <cellStyle name="Calculation 2 2 4" xfId="4911" xr:uid="{CAE5A01C-923E-4858-BBC0-95F276B2ED4C}"/>
    <cellStyle name="Calculation 2 3" xfId="1611" xr:uid="{00000000-0005-0000-0000-0000AA050000}"/>
    <cellStyle name="Calculation 2 3 2" xfId="2614" xr:uid="{00000000-0005-0000-0000-0000AB050000}"/>
    <cellStyle name="Calculation 2 3 2 2" xfId="3239" xr:uid="{00000000-0005-0000-0000-0000BA050000}"/>
    <cellStyle name="Calculation 2 3 3" xfId="4608" xr:uid="{4FF612E0-3212-4A9B-9EF1-C8EFA9D594C6}"/>
    <cellStyle name="Calculation 2 3 4" xfId="5121" xr:uid="{5E6349A3-D444-442A-8110-CDCE7973AB94}"/>
    <cellStyle name="Calculation 2 3 5" xfId="4020" xr:uid="{C819E90C-F851-4543-A8CD-DD911B82A4E6}"/>
    <cellStyle name="Calculation 2 3 6" xfId="4305" xr:uid="{3760EBD6-C5DD-4B32-AF65-985603A9625E}"/>
    <cellStyle name="Calculation 2 4" xfId="1612" xr:uid="{00000000-0005-0000-0000-0000AC050000}"/>
    <cellStyle name="Calculation 2 4 2" xfId="2615" xr:uid="{00000000-0005-0000-0000-0000AD050000}"/>
    <cellStyle name="Calculation 2 4 2 2" xfId="3238" xr:uid="{00000000-0005-0000-0000-0000BD050000}"/>
    <cellStyle name="Calculation 2 4 3" xfId="4607" xr:uid="{0699D8B9-B894-454E-A335-B889AE782475}"/>
    <cellStyle name="Calculation 2 4 4" xfId="4912" xr:uid="{92879468-EB88-4A92-8516-67A5D976C90C}"/>
    <cellStyle name="Calculation 2 4 5" xfId="4090" xr:uid="{1ECC2A22-514E-4830-BF96-00DFFF0B37E5}"/>
    <cellStyle name="Calculation 2 4 6" xfId="4304" xr:uid="{5BEDFD7D-AA0E-41A2-8FA2-7F04710DBF9D}"/>
    <cellStyle name="Calculation 2 5" xfId="1613" xr:uid="{00000000-0005-0000-0000-0000AE050000}"/>
    <cellStyle name="Calculation 2 5 2" xfId="2616" xr:uid="{00000000-0005-0000-0000-0000AF050000}"/>
    <cellStyle name="Calculation 2 5 2 2" xfId="3237" xr:uid="{00000000-0005-0000-0000-0000C0050000}"/>
    <cellStyle name="Calculation 2 5 3" xfId="4606" xr:uid="{A0F2DAFE-D726-4512-A9BA-25E0AD960BA8}"/>
    <cellStyle name="Calculation 2 5 4" xfId="4913" xr:uid="{99B9F30D-030F-4270-BEFE-67BCA18334C1}"/>
    <cellStyle name="Calculation 2 5 5" xfId="4019" xr:uid="{EE46F7B3-6B94-42ED-A071-B0EF7157DFC8}"/>
    <cellStyle name="Calculation 2 5 6" xfId="4205" xr:uid="{F3002494-F170-489F-B0E5-920CB9BE72B0}"/>
    <cellStyle name="Calculation 2 6" xfId="1614" xr:uid="{00000000-0005-0000-0000-0000B0050000}"/>
    <cellStyle name="Calculation 2 6 2" xfId="2617" xr:uid="{00000000-0005-0000-0000-0000B1050000}"/>
    <cellStyle name="Calculation 2 6 2 2" xfId="3236" xr:uid="{00000000-0005-0000-0000-0000C3050000}"/>
    <cellStyle name="Calculation 2 6 3" xfId="4605" xr:uid="{E00E44D9-8FEC-4C93-9E80-4572720AE3F3}"/>
    <cellStyle name="Calculation 2 6 4" xfId="4914" xr:uid="{0C2D6550-D5E0-406A-9AEB-230C49BA67FC}"/>
    <cellStyle name="Calculation 2 6 5" xfId="4089" xr:uid="{C03E9E8C-58D0-409C-9569-D7C0DA493964}"/>
    <cellStyle name="Calculation 2 6 6" xfId="4204" xr:uid="{ED5FB257-43A0-4E62-840B-39E6FC2227DC}"/>
    <cellStyle name="Calculation 2 7" xfId="2554" xr:uid="{00000000-0005-0000-0000-0000B2050000}"/>
    <cellStyle name="Calculation 2 7 2" xfId="3299" xr:uid="{00000000-0005-0000-0000-0000C5050000}"/>
    <cellStyle name="Calculation 2 8" xfId="4203" xr:uid="{3022592E-068E-4229-AA1B-3CBA29481EE5}"/>
    <cellStyle name="Calculation 2 8 2" xfId="5025" xr:uid="{95659DA9-22C9-4894-B2A9-25135A68A924}"/>
    <cellStyle name="Calculation 2 9" xfId="5072" xr:uid="{B59B1C01-2F0A-4EFA-8E11-BCAA8DA6FB96}"/>
    <cellStyle name="Calculation 3" xfId="115" xr:uid="{00000000-0005-0000-0000-0000B3050000}"/>
    <cellStyle name="Calculation 3 10" xfId="4709" xr:uid="{99FD333D-6200-44B8-9A97-16D9C75D30EC}"/>
    <cellStyle name="Calculation 3 11" xfId="4981" xr:uid="{8AB8CC49-68EE-4F17-8E63-CE65D9B4C052}"/>
    <cellStyle name="Calculation 3 12" xfId="4140" xr:uid="{E8EAB0EE-9346-4A19-B9D4-4AC3C8E7E955}"/>
    <cellStyle name="Calculation 3 2" xfId="1616" xr:uid="{00000000-0005-0000-0000-0000B4050000}"/>
    <cellStyle name="Calculation 3 2 2" xfId="2619" xr:uid="{00000000-0005-0000-0000-0000B5050000}"/>
    <cellStyle name="Calculation 3 2 2 2" xfId="3234" xr:uid="{00000000-0005-0000-0000-0000C9050000}"/>
    <cellStyle name="Calculation 3 2 3" xfId="4899" xr:uid="{3288263A-CBF3-4ECE-9A9D-789BDEC06CC4}"/>
    <cellStyle name="Calculation 3 2 4" xfId="5190" xr:uid="{E066B197-EF93-4EF9-82D0-327A45878B01}"/>
    <cellStyle name="Calculation 3 3" xfId="1617" xr:uid="{00000000-0005-0000-0000-0000B6050000}"/>
    <cellStyle name="Calculation 3 3 2" xfId="2620" xr:uid="{00000000-0005-0000-0000-0000B7050000}"/>
    <cellStyle name="Calculation 3 3 2 2" xfId="3233" xr:uid="{00000000-0005-0000-0000-0000CC050000}"/>
    <cellStyle name="Calculation 3 3 3" xfId="5115" xr:uid="{A6B44D2F-DA40-440F-96E3-C359D540631E}"/>
    <cellStyle name="Calculation 3 3 4" xfId="5189" xr:uid="{A0B6380E-2C92-493C-8040-0BB423E97859}"/>
    <cellStyle name="Calculation 3 4" xfId="1618" xr:uid="{00000000-0005-0000-0000-0000B8050000}"/>
    <cellStyle name="Calculation 3 4 2" xfId="2621" xr:uid="{00000000-0005-0000-0000-0000B9050000}"/>
    <cellStyle name="Calculation 3 4 2 2" xfId="3232" xr:uid="{00000000-0005-0000-0000-0000CF050000}"/>
    <cellStyle name="Calculation 3 4 3" xfId="4637" xr:uid="{43676AAE-02BF-4986-A3BF-740FF9AD38C6}"/>
    <cellStyle name="Calculation 3 4 4" xfId="5188" xr:uid="{03DD5DBC-5773-49D9-BB68-58785E3ABB19}"/>
    <cellStyle name="Calculation 3 5" xfId="1619" xr:uid="{00000000-0005-0000-0000-0000BA050000}"/>
    <cellStyle name="Calculation 3 5 2" xfId="2622" xr:uid="{00000000-0005-0000-0000-0000BB050000}"/>
    <cellStyle name="Calculation 3 5 2 2" xfId="3231" xr:uid="{00000000-0005-0000-0000-0000D2050000}"/>
    <cellStyle name="Calculation 3 5 3" xfId="4600" xr:uid="{F0B06B3A-8F54-419E-814F-48D8F7AFDFE9}"/>
    <cellStyle name="Calculation 3 5 4" xfId="5128" xr:uid="{8D7FF73B-35A2-44F1-A559-3138FBCE4DD1}"/>
    <cellStyle name="Calculation 3 6" xfId="1620" xr:uid="{00000000-0005-0000-0000-0000BC050000}"/>
    <cellStyle name="Calculation 3 6 2" xfId="2623" xr:uid="{00000000-0005-0000-0000-0000BD050000}"/>
    <cellStyle name="Calculation 3 6 2 2" xfId="3230" xr:uid="{00000000-0005-0000-0000-0000D5050000}"/>
    <cellStyle name="Calculation 3 6 3" xfId="4681" xr:uid="{79AA6326-6084-46B7-B856-BABAA07B2D8D}"/>
    <cellStyle name="Calculation 3 6 4" xfId="4729" xr:uid="{8F3F4F19-DDC8-4B1E-BCA5-7A5239C1B9E6}"/>
    <cellStyle name="Calculation 3 7" xfId="1621" xr:uid="{00000000-0005-0000-0000-0000BE050000}"/>
    <cellStyle name="Calculation 3 7 2" xfId="2624" xr:uid="{00000000-0005-0000-0000-0000BF050000}"/>
    <cellStyle name="Calculation 3 7 2 2" xfId="3229" xr:uid="{00000000-0005-0000-0000-0000D8050000}"/>
    <cellStyle name="Calculation 3 7 3" xfId="4898" xr:uid="{07F9BF29-1FCA-4D7A-897C-1C144A1F9906}"/>
    <cellStyle name="Calculation 3 7 4" xfId="4792" xr:uid="{9C6F2B1F-9F73-4B91-831B-E7647798D374}"/>
    <cellStyle name="Calculation 3 7 5" xfId="4031" xr:uid="{E9A4E79A-9ADE-405E-9EF7-C13E4E71A9FB}"/>
    <cellStyle name="Calculation 3 7 6" xfId="4202" xr:uid="{B44C0BCD-F07A-4700-B2FA-819053D345CB}"/>
    <cellStyle name="Calculation 3 8" xfId="1615" xr:uid="{00000000-0005-0000-0000-0000C0050000}"/>
    <cellStyle name="Calculation 3 8 2" xfId="2618" xr:uid="{00000000-0005-0000-0000-0000C1050000}"/>
    <cellStyle name="Calculation 3 8 2 2" xfId="3235" xr:uid="{00000000-0005-0000-0000-0000DB050000}"/>
    <cellStyle name="Calculation 3 8 3" xfId="4604" xr:uid="{A57C8BB4-AD39-4620-8675-97AADC30BC70}"/>
    <cellStyle name="Calculation 3 8 4" xfId="5063" xr:uid="{D30F10D8-D8B1-4A51-BFB2-6EDC09DC9C41}"/>
    <cellStyle name="Calculation 3 9" xfId="2555" xr:uid="{00000000-0005-0000-0000-0000C2050000}"/>
    <cellStyle name="Calculation 3 9 2" xfId="3298" xr:uid="{00000000-0005-0000-0000-0000DD050000}"/>
    <cellStyle name="Calculation 4" xfId="116" xr:uid="{00000000-0005-0000-0000-0000C3050000}"/>
    <cellStyle name="Calculation 4 10" xfId="5024" xr:uid="{FB1F8B76-C2B9-4DB6-9DDD-8DF7955313EC}"/>
    <cellStyle name="Calculation 4 11" xfId="4694" xr:uid="{1AF37CF6-ECFD-49A2-B3C0-306610B1B8EA}"/>
    <cellStyle name="Calculation 4 2" xfId="1623" xr:uid="{00000000-0005-0000-0000-0000C4050000}"/>
    <cellStyle name="Calculation 4 2 2" xfId="2626" xr:uid="{00000000-0005-0000-0000-0000C5050000}"/>
    <cellStyle name="Calculation 4 2 2 2" xfId="3227" xr:uid="{00000000-0005-0000-0000-0000E1050000}"/>
    <cellStyle name="Calculation 4 2 3" xfId="4896" xr:uid="{B27F30D4-BF3E-41EC-8C0D-6F69717A3DCB}"/>
    <cellStyle name="Calculation 4 2 4" xfId="4652" xr:uid="{FA998616-CB60-44EA-AD33-24AB1D4ECB6D}"/>
    <cellStyle name="Calculation 4 2 5" xfId="4018" xr:uid="{73E836A7-59A0-4703-A03E-DEFB147E11BA}"/>
    <cellStyle name="Calculation 4 2 6" xfId="4442" xr:uid="{2FF80414-1E46-43DA-AE1A-7C3E6B338C05}"/>
    <cellStyle name="Calculation 4 3" xfId="1624" xr:uid="{00000000-0005-0000-0000-0000C6050000}"/>
    <cellStyle name="Calculation 4 3 2" xfId="2627" xr:uid="{00000000-0005-0000-0000-0000C7050000}"/>
    <cellStyle name="Calculation 4 3 2 2" xfId="3226" xr:uid="{00000000-0005-0000-0000-0000E4050000}"/>
    <cellStyle name="Calculation 4 3 3" xfId="5075" xr:uid="{1F0E117A-A41A-473B-A59D-30AF579439CD}"/>
    <cellStyle name="Calculation 4 3 4" xfId="4916" xr:uid="{0DDE6999-C07A-4D0F-95BF-13061C3903F4}"/>
    <cellStyle name="Calculation 4 4" xfId="1625" xr:uid="{00000000-0005-0000-0000-0000C8050000}"/>
    <cellStyle name="Calculation 4 4 2" xfId="2628" xr:uid="{00000000-0005-0000-0000-0000C9050000}"/>
    <cellStyle name="Calculation 4 4 2 2" xfId="3225" xr:uid="{00000000-0005-0000-0000-0000E7050000}"/>
    <cellStyle name="Calculation 4 4 3" xfId="4894" xr:uid="{891AA3A9-C27A-4220-AB86-78B9231BD668}"/>
    <cellStyle name="Calculation 4 4 4" xfId="4917" xr:uid="{8BB0AD4C-D642-41F7-A9B7-E0B7DC39F1FA}"/>
    <cellStyle name="Calculation 4 5" xfId="1626" xr:uid="{00000000-0005-0000-0000-0000CA050000}"/>
    <cellStyle name="Calculation 4 5 2" xfId="2629" xr:uid="{00000000-0005-0000-0000-0000CB050000}"/>
    <cellStyle name="Calculation 4 5 2 2" xfId="3224" xr:uid="{00000000-0005-0000-0000-0000EA050000}"/>
    <cellStyle name="Calculation 4 5 3" xfId="4893" xr:uid="{C90268DC-466E-4C61-A93D-682404BA69F4}"/>
    <cellStyle name="Calculation 4 5 4" xfId="4918" xr:uid="{4438C5B5-DD45-498A-BCBE-ABCF9A650583}"/>
    <cellStyle name="Calculation 4 6" xfId="1627" xr:uid="{00000000-0005-0000-0000-0000CC050000}"/>
    <cellStyle name="Calculation 4 6 2" xfId="2630" xr:uid="{00000000-0005-0000-0000-0000CD050000}"/>
    <cellStyle name="Calculation 4 6 2 2" xfId="3223" xr:uid="{00000000-0005-0000-0000-0000ED050000}"/>
    <cellStyle name="Calculation 4 6 3" xfId="4892" xr:uid="{B94AF042-7A64-436C-B637-F10374F05C3B}"/>
    <cellStyle name="Calculation 4 6 4" xfId="4919" xr:uid="{F529BEBF-8DE3-4223-A54B-566C39ACC9CF}"/>
    <cellStyle name="Calculation 4 7" xfId="1628" xr:uid="{00000000-0005-0000-0000-0000CE050000}"/>
    <cellStyle name="Calculation 4 7 2" xfId="2631" xr:uid="{00000000-0005-0000-0000-0000CF050000}"/>
    <cellStyle name="Calculation 4 7 2 2" xfId="3222" xr:uid="{00000000-0005-0000-0000-0000F0050000}"/>
    <cellStyle name="Calculation 4 7 3" xfId="4891" xr:uid="{109DD8DD-2383-40CF-8933-2E8A86839CAF}"/>
    <cellStyle name="Calculation 4 7 4" xfId="4730" xr:uid="{48A3CD6F-4E19-4262-A3D6-A1FE534B462F}"/>
    <cellStyle name="Calculation 4 8" xfId="1622" xr:uid="{00000000-0005-0000-0000-0000D0050000}"/>
    <cellStyle name="Calculation 4 8 2" xfId="2625" xr:uid="{00000000-0005-0000-0000-0000D1050000}"/>
    <cellStyle name="Calculation 4 8 2 2" xfId="3228" xr:uid="{00000000-0005-0000-0000-0000F3050000}"/>
    <cellStyle name="Calculation 4 8 3" xfId="4897" xr:uid="{B0C8BA50-2D6D-4350-8870-217CAA172EAE}"/>
    <cellStyle name="Calculation 4 8 4" xfId="4611" xr:uid="{62F18EE7-AC8E-4003-9FFB-52114F7F3E7E}"/>
    <cellStyle name="Calculation 4 9" xfId="2556" xr:uid="{00000000-0005-0000-0000-0000D2050000}"/>
    <cellStyle name="Calculation 4 9 2" xfId="3297" xr:uid="{00000000-0005-0000-0000-0000F5050000}"/>
    <cellStyle name="Calculation 5" xfId="117" xr:uid="{00000000-0005-0000-0000-0000D3050000}"/>
    <cellStyle name="Calculation 5 2" xfId="1629" xr:uid="{00000000-0005-0000-0000-0000D4050000}"/>
    <cellStyle name="Calculation 5 2 2" xfId="2632" xr:uid="{00000000-0005-0000-0000-0000D5050000}"/>
    <cellStyle name="Calculation 5 2 2 2" xfId="3221" xr:uid="{00000000-0005-0000-0000-0000F9050000}"/>
    <cellStyle name="Calculation 5 2 3" xfId="4890" xr:uid="{FCE538FC-DC4E-4F7D-A242-B25EB75678A6}"/>
    <cellStyle name="Calculation 5 2 4" xfId="5097" xr:uid="{D3D22528-ECB8-43F2-892E-401DFB0346F0}"/>
    <cellStyle name="Calculation 5 3" xfId="1630" xr:uid="{00000000-0005-0000-0000-0000D6050000}"/>
    <cellStyle name="Calculation 5 3 2" xfId="2633" xr:uid="{00000000-0005-0000-0000-0000D7050000}"/>
    <cellStyle name="Calculation 5 3 2 2" xfId="3220" xr:uid="{00000000-0005-0000-0000-0000FC050000}"/>
    <cellStyle name="Calculation 5 3 3" xfId="4889" xr:uid="{F71B5E91-A38D-41A4-9987-B36DF82BA955}"/>
    <cellStyle name="Calculation 5 3 4" xfId="5187" xr:uid="{5A9237D6-E3A4-4467-AA79-3174BC9AD414}"/>
    <cellStyle name="Calculation 5 4" xfId="1631" xr:uid="{00000000-0005-0000-0000-0000D8050000}"/>
    <cellStyle name="Calculation 5 4 2" xfId="2634" xr:uid="{00000000-0005-0000-0000-0000D9050000}"/>
    <cellStyle name="Calculation 5 4 2 2" xfId="3219" xr:uid="{00000000-0005-0000-0000-0000FF050000}"/>
    <cellStyle name="Calculation 5 4 3" xfId="4895" xr:uid="{2860A825-D793-4C3F-9270-B02CDCB60290}"/>
    <cellStyle name="Calculation 5 4 4" xfId="4682" xr:uid="{DBFFAF3C-E544-43AB-89DB-2C416D671B24}"/>
    <cellStyle name="Calculation 5 5" xfId="1632" xr:uid="{00000000-0005-0000-0000-0000DA050000}"/>
    <cellStyle name="Calculation 5 5 2" xfId="2635" xr:uid="{00000000-0005-0000-0000-0000DB050000}"/>
    <cellStyle name="Calculation 5 5 2 2" xfId="3218" xr:uid="{00000000-0005-0000-0000-000002060000}"/>
    <cellStyle name="Calculation 5 5 3" xfId="4676" xr:uid="{68E50B0F-D7F7-40DA-8283-1C7BBFC60C2C}"/>
    <cellStyle name="Calculation 5 5 4" xfId="5122" xr:uid="{EB59C09F-DDDE-47FD-BE31-A859B91ACE43}"/>
    <cellStyle name="Calculation 5 6" xfId="1633" xr:uid="{00000000-0005-0000-0000-0000DC050000}"/>
    <cellStyle name="Calculation 5 6 2" xfId="2636" xr:uid="{00000000-0005-0000-0000-0000DD050000}"/>
    <cellStyle name="Calculation 5 6 2 2" xfId="3217" xr:uid="{00000000-0005-0000-0000-000005060000}"/>
    <cellStyle name="Calculation 5 6 3" xfId="4888" xr:uid="{D0069CC4-B08D-47CA-8775-5E8979C6F0B1}"/>
    <cellStyle name="Calculation 5 6 4" xfId="5123" xr:uid="{E094D1E0-AC0B-48C3-B05C-C5F173A9A469}"/>
    <cellStyle name="Calculation 5 7" xfId="2557" xr:uid="{00000000-0005-0000-0000-0000DE050000}"/>
    <cellStyle name="Calculation 5 7 2" xfId="3296" xr:uid="{00000000-0005-0000-0000-000007060000}"/>
    <cellStyle name="Calculation 5 8" xfId="5023" xr:uid="{5F10AA64-0642-4EE8-90DD-4A6350FE2ECE}"/>
    <cellStyle name="Calculation 5 9" xfId="5107" xr:uid="{FE2A9F60-0AF2-4760-A3DB-04FA06EA1743}"/>
    <cellStyle name="Calculation 6" xfId="118" xr:uid="{00000000-0005-0000-0000-0000DF050000}"/>
    <cellStyle name="Calculation 6 2" xfId="1634" xr:uid="{00000000-0005-0000-0000-0000E0050000}"/>
    <cellStyle name="Calculation 6 2 2" xfId="2637" xr:uid="{00000000-0005-0000-0000-0000E1050000}"/>
    <cellStyle name="Calculation 6 2 2 2" xfId="3216" xr:uid="{00000000-0005-0000-0000-00000B060000}"/>
    <cellStyle name="Calculation 6 2 3" xfId="4887" xr:uid="{3564F7AC-E441-4274-A02A-7D73202C0DF1}"/>
    <cellStyle name="Calculation 6 2 4" xfId="4731" xr:uid="{757D3589-35FA-4EA1-9A22-211A6002933B}"/>
    <cellStyle name="Calculation 6 3" xfId="1635" xr:uid="{00000000-0005-0000-0000-0000E2050000}"/>
    <cellStyle name="Calculation 6 3 2" xfId="2638" xr:uid="{00000000-0005-0000-0000-0000E3050000}"/>
    <cellStyle name="Calculation 6 3 2 2" xfId="3215" xr:uid="{00000000-0005-0000-0000-00000E060000}"/>
    <cellStyle name="Calculation 6 3 3" xfId="4886" xr:uid="{5860118B-A08E-4AC1-831B-05D7BC5283A6}"/>
    <cellStyle name="Calculation 6 3 4" xfId="5119" xr:uid="{5080E91E-67F3-4936-BD81-04FE0BADEDC7}"/>
    <cellStyle name="Calculation 6 4" xfId="1636" xr:uid="{00000000-0005-0000-0000-0000E4050000}"/>
    <cellStyle name="Calculation 6 4 2" xfId="2639" xr:uid="{00000000-0005-0000-0000-0000E5050000}"/>
    <cellStyle name="Calculation 6 4 2 2" xfId="3214" xr:uid="{00000000-0005-0000-0000-000011060000}"/>
    <cellStyle name="Calculation 6 4 3" xfId="4646" xr:uid="{30F1482A-5711-49AB-BB7A-CD182D363687}"/>
    <cellStyle name="Calculation 6 4 4" xfId="4920" xr:uid="{3D944D01-4602-41F6-AD79-8CB70B39B987}"/>
    <cellStyle name="Calculation 6 5" xfId="1637" xr:uid="{00000000-0005-0000-0000-0000E6050000}"/>
    <cellStyle name="Calculation 6 5 2" xfId="2640" xr:uid="{00000000-0005-0000-0000-0000E7050000}"/>
    <cellStyle name="Calculation 6 5 2 2" xfId="3213" xr:uid="{00000000-0005-0000-0000-000014060000}"/>
    <cellStyle name="Calculation 6 5 3" xfId="4885" xr:uid="{CD940573-34D1-4C17-B184-C026010E84D2}"/>
    <cellStyle name="Calculation 6 5 4" xfId="5147" xr:uid="{EFD5F89B-CC52-4BE5-8471-FC47F6277238}"/>
    <cellStyle name="Calculation 6 6" xfId="1638" xr:uid="{00000000-0005-0000-0000-0000E8050000}"/>
    <cellStyle name="Calculation 6 6 2" xfId="2641" xr:uid="{00000000-0005-0000-0000-0000E9050000}"/>
    <cellStyle name="Calculation 6 6 2 2" xfId="3212" xr:uid="{00000000-0005-0000-0000-000017060000}"/>
    <cellStyle name="Calculation 6 6 3" xfId="5113" xr:uid="{7A91A393-6ED4-4933-8CF8-46308C81989B}"/>
    <cellStyle name="Calculation 6 6 4" xfId="4976" xr:uid="{A7D701B6-E28C-44D9-8BA8-010B5DAF6111}"/>
    <cellStyle name="Calculation 6 7" xfId="2558" xr:uid="{00000000-0005-0000-0000-0000EA050000}"/>
    <cellStyle name="Calculation 6 7 2" xfId="3295" xr:uid="{00000000-0005-0000-0000-000019060000}"/>
    <cellStyle name="Calculation 6 8" xfId="5022" xr:uid="{A6D95164-E065-4CB6-8102-3E07A7F6C7AD}"/>
    <cellStyle name="Calculation 6 9" xfId="5183" xr:uid="{4AF3AE5E-7A91-478E-88CA-5C301038901C}"/>
    <cellStyle name="Calculation 7" xfId="119" xr:uid="{00000000-0005-0000-0000-0000EB050000}"/>
    <cellStyle name="Calculation 7 2" xfId="1639" xr:uid="{00000000-0005-0000-0000-0000EC050000}"/>
    <cellStyle name="Calculation 7 2 2" xfId="2642" xr:uid="{00000000-0005-0000-0000-0000ED050000}"/>
    <cellStyle name="Calculation 7 2 2 2" xfId="3211" xr:uid="{00000000-0005-0000-0000-00001D060000}"/>
    <cellStyle name="Calculation 7 2 3" xfId="5114" xr:uid="{7CA75199-ABC0-4A55-B3D1-A8B4569D039D}"/>
    <cellStyle name="Calculation 7 2 4" xfId="4641" xr:uid="{43D3DECD-859D-4E64-BFDD-CFD1B8B353F9}"/>
    <cellStyle name="Calculation 7 3" xfId="1640" xr:uid="{00000000-0005-0000-0000-0000EE050000}"/>
    <cellStyle name="Calculation 7 3 2" xfId="2643" xr:uid="{00000000-0005-0000-0000-0000EF050000}"/>
    <cellStyle name="Calculation 7 3 2 2" xfId="3210" xr:uid="{00000000-0005-0000-0000-000020060000}"/>
    <cellStyle name="Calculation 7 3 3" xfId="5180" xr:uid="{2BBD7659-3A55-449F-9B30-E79B1BAEA15D}"/>
    <cellStyle name="Calculation 7 3 4" xfId="5124" xr:uid="{BDD3FF91-E776-4047-9BEE-2AC222786509}"/>
    <cellStyle name="Calculation 7 4" xfId="1641" xr:uid="{00000000-0005-0000-0000-0000F0050000}"/>
    <cellStyle name="Calculation 7 4 2" xfId="2644" xr:uid="{00000000-0005-0000-0000-0000F1050000}"/>
    <cellStyle name="Calculation 7 4 2 2" xfId="3209" xr:uid="{00000000-0005-0000-0000-000023060000}"/>
    <cellStyle name="Calculation 7 4 3" xfId="4883" xr:uid="{A929BF39-F0FC-4D80-9042-4C9B75CB2FDB}"/>
    <cellStyle name="Calculation 7 4 4" xfId="4653" xr:uid="{73F29F39-8875-4743-8501-F0DE664837EE}"/>
    <cellStyle name="Calculation 7 5" xfId="1642" xr:uid="{00000000-0005-0000-0000-0000F2050000}"/>
    <cellStyle name="Calculation 7 5 2" xfId="2645" xr:uid="{00000000-0005-0000-0000-0000F3050000}"/>
    <cellStyle name="Calculation 7 5 2 2" xfId="3208" xr:uid="{00000000-0005-0000-0000-000026060000}"/>
    <cellStyle name="Calculation 7 5 3" xfId="4882" xr:uid="{8D131310-F83E-4C4C-B6CA-43CEBAEC5D8C}"/>
    <cellStyle name="Calculation 7 5 4" xfId="4732" xr:uid="{F7C04728-070C-4023-8AFC-9C23C00999EC}"/>
    <cellStyle name="Calculation 7 6" xfId="1643" xr:uid="{00000000-0005-0000-0000-0000F4050000}"/>
    <cellStyle name="Calculation 7 6 2" xfId="2646" xr:uid="{00000000-0005-0000-0000-0000F5050000}"/>
    <cellStyle name="Calculation 7 6 2 2" xfId="3207" xr:uid="{00000000-0005-0000-0000-000029060000}"/>
    <cellStyle name="Calculation 7 6 3" xfId="4881" xr:uid="{1F4C9BE5-79CF-48CE-AE72-006D518589D1}"/>
    <cellStyle name="Calculation 7 6 4" xfId="4793" xr:uid="{15C9F4A4-20BE-4E45-B6EF-C86484FBCF0D}"/>
    <cellStyle name="Calculation 7 7" xfId="2559" xr:uid="{00000000-0005-0000-0000-0000F6050000}"/>
    <cellStyle name="Calculation 7 7 2" xfId="3294" xr:uid="{00000000-0005-0000-0000-00002B060000}"/>
    <cellStyle name="Calculation 7 8" xfId="5021" xr:uid="{7E18C974-430F-4439-8AC0-7DE47A8574E6}"/>
    <cellStyle name="Calculation 7 9" xfId="5159" xr:uid="{3103914E-BE80-47E1-84A6-91E00584AB55}"/>
    <cellStyle name="Calculation 8 2" xfId="1644" xr:uid="{00000000-0005-0000-0000-0000F7050000}"/>
    <cellStyle name="Calculation 8 2 2" xfId="2647" xr:uid="{00000000-0005-0000-0000-0000F8050000}"/>
    <cellStyle name="Calculation 8 2 2 2" xfId="3206" xr:uid="{00000000-0005-0000-0000-00002E060000}"/>
    <cellStyle name="Calculation 8 2 3" xfId="5165" xr:uid="{44952E11-642B-47D0-89A4-B9E249D4CDF5}"/>
    <cellStyle name="Calculation 8 2 4" xfId="4915" xr:uid="{EA1B8A5E-4782-4464-953B-F3391B9F35BE}"/>
    <cellStyle name="Calculation 8 3" xfId="1645" xr:uid="{00000000-0005-0000-0000-0000F9050000}"/>
    <cellStyle name="Calculation 8 3 2" xfId="2648" xr:uid="{00000000-0005-0000-0000-0000FA050000}"/>
    <cellStyle name="Calculation 8 3 2 2" xfId="3205" xr:uid="{00000000-0005-0000-0000-000031060000}"/>
    <cellStyle name="Calculation 8 3 3" xfId="4880" xr:uid="{5BC03E31-49E7-41C4-B4BD-C200487181F3}"/>
    <cellStyle name="Calculation 8 3 4" xfId="5182" xr:uid="{8C8EA592-20B1-4941-BECE-8E7B5647319C}"/>
    <cellStyle name="Calculation 8 4" xfId="1646" xr:uid="{00000000-0005-0000-0000-0000FB050000}"/>
    <cellStyle name="Calculation 8 4 2" xfId="2649" xr:uid="{00000000-0005-0000-0000-0000FC050000}"/>
    <cellStyle name="Calculation 8 4 2 2" xfId="3204" xr:uid="{00000000-0005-0000-0000-000034060000}"/>
    <cellStyle name="Calculation 8 4 3" xfId="4636" xr:uid="{EA9A4276-71FF-4768-BDC2-5EB2A47CE228}"/>
    <cellStyle name="Calculation 8 4 4" xfId="5170" xr:uid="{64BE2569-5076-49DD-8E2F-248B7E7CAF14}"/>
    <cellStyle name="Calculation 8 5" xfId="1647" xr:uid="{00000000-0005-0000-0000-0000FD050000}"/>
    <cellStyle name="Calculation 8 5 2" xfId="2650" xr:uid="{00000000-0005-0000-0000-0000FE050000}"/>
    <cellStyle name="Calculation 8 5 2 2" xfId="3203" xr:uid="{00000000-0005-0000-0000-000037060000}"/>
    <cellStyle name="Calculation 8 5 3" xfId="4879" xr:uid="{C2C702EE-26AD-45AE-890E-CCDD0984CB31}"/>
    <cellStyle name="Calculation 8 5 4" xfId="5186" xr:uid="{D3BB8CB9-836F-417A-A914-70D1107CD975}"/>
    <cellStyle name="Calculation 8 6" xfId="1648" xr:uid="{00000000-0005-0000-0000-0000FF050000}"/>
    <cellStyle name="Calculation 8 6 2" xfId="2651" xr:uid="{00000000-0005-0000-0000-000000060000}"/>
    <cellStyle name="Calculation 8 6 2 2" xfId="3202" xr:uid="{00000000-0005-0000-0000-00003A060000}"/>
    <cellStyle name="Calculation 8 6 3" xfId="4884" xr:uid="{9346FE7E-97E0-425F-BD82-803E0AA65BC5}"/>
    <cellStyle name="Calculation 8 6 4" xfId="4922" xr:uid="{3411221E-2DE9-4485-9BF8-A6604A07CAC4}"/>
    <cellStyle name="Calculation 9 2" xfId="1649" xr:uid="{00000000-0005-0000-0000-000001060000}"/>
    <cellStyle name="Calculation 9 2 2" xfId="2652" xr:uid="{00000000-0005-0000-0000-000002060000}"/>
    <cellStyle name="Calculation 9 2 2 2" xfId="3201" xr:uid="{00000000-0005-0000-0000-00003D060000}"/>
    <cellStyle name="Calculation 9 2 3" xfId="5112" xr:uid="{D06F06CD-FB60-499F-A047-8E812C9244C6}"/>
    <cellStyle name="Calculation 9 2 4" xfId="4794" xr:uid="{BE982DC0-F666-4750-B030-4D7CB41EA553}"/>
    <cellStyle name="Calculation 9 3" xfId="1650" xr:uid="{00000000-0005-0000-0000-000003060000}"/>
    <cellStyle name="Calculation 9 3 2" xfId="2653" xr:uid="{00000000-0005-0000-0000-000004060000}"/>
    <cellStyle name="Calculation 9 3 2 2" xfId="3200" xr:uid="{00000000-0005-0000-0000-000040060000}"/>
    <cellStyle name="Calculation 9 3 3" xfId="4878" xr:uid="{E175C167-0F68-40D2-9520-AE66161E73B2}"/>
    <cellStyle name="Calculation 9 3 4" xfId="4923" xr:uid="{25DAA1D1-1A9A-4339-9607-6006352CDA24}"/>
    <cellStyle name="Calculation 9 4" xfId="1651" xr:uid="{00000000-0005-0000-0000-000005060000}"/>
    <cellStyle name="Calculation 9 4 2" xfId="2654" xr:uid="{00000000-0005-0000-0000-000006060000}"/>
    <cellStyle name="Calculation 9 4 2 2" xfId="3199" xr:uid="{00000000-0005-0000-0000-000043060000}"/>
    <cellStyle name="Calculation 9 4 3" xfId="4877" xr:uid="{3DCB4C42-501F-4B28-B133-64D6DA311E30}"/>
    <cellStyle name="Calculation 9 4 4" xfId="4921" xr:uid="{11B57D5D-A34F-4BEF-8EB1-DFF95D5FA2DA}"/>
    <cellStyle name="Calculation 9 5" xfId="1652" xr:uid="{00000000-0005-0000-0000-000007060000}"/>
    <cellStyle name="Calculation 9 5 2" xfId="2655" xr:uid="{00000000-0005-0000-0000-000008060000}"/>
    <cellStyle name="Calculation 9 5 2 2" xfId="3198" xr:uid="{00000000-0005-0000-0000-000046060000}"/>
    <cellStyle name="Calculation 9 5 3" xfId="4635" xr:uid="{A3AF9403-0A17-443B-A100-A0A4D9079F02}"/>
    <cellStyle name="Calculation 9 5 4" xfId="4647" xr:uid="{63467ACF-E874-4A58-AC7D-B48190061D9F}"/>
    <cellStyle name="Calculation 9 6" xfId="1653" xr:uid="{00000000-0005-0000-0000-000009060000}"/>
    <cellStyle name="Calculation 9 6 2" xfId="2656" xr:uid="{00000000-0005-0000-0000-00000A060000}"/>
    <cellStyle name="Calculation 9 6 2 2" xfId="3197" xr:uid="{00000000-0005-0000-0000-000049060000}"/>
    <cellStyle name="Calculation 9 6 3" xfId="4876" xr:uid="{1DE14676-36F0-428D-B5A4-3A8226510108}"/>
    <cellStyle name="Calculation 9 6 4" xfId="5051" xr:uid="{CE298D23-27B9-4F40-88F0-A9BE469EB456}"/>
    <cellStyle name="Check Cell 10 2" xfId="1654" xr:uid="{00000000-0005-0000-0000-00000B060000}"/>
    <cellStyle name="Check Cell 10 3" xfId="1655" xr:uid="{00000000-0005-0000-0000-00000C060000}"/>
    <cellStyle name="Check Cell 10 4" xfId="1656" xr:uid="{00000000-0005-0000-0000-00000D060000}"/>
    <cellStyle name="Check Cell 10 5" xfId="1657" xr:uid="{00000000-0005-0000-0000-00000E060000}"/>
    <cellStyle name="Check Cell 10 6" xfId="1658" xr:uid="{00000000-0005-0000-0000-00000F060000}"/>
    <cellStyle name="Check Cell 11 2" xfId="1659" xr:uid="{00000000-0005-0000-0000-000010060000}"/>
    <cellStyle name="Check Cell 11 3" xfId="1660" xr:uid="{00000000-0005-0000-0000-000011060000}"/>
    <cellStyle name="Check Cell 11 4" xfId="1661" xr:uid="{00000000-0005-0000-0000-000012060000}"/>
    <cellStyle name="Check Cell 11 5" xfId="1662" xr:uid="{00000000-0005-0000-0000-000013060000}"/>
    <cellStyle name="Check Cell 11 6" xfId="1663" xr:uid="{00000000-0005-0000-0000-000014060000}"/>
    <cellStyle name="Check Cell 2" xfId="120" xr:uid="{00000000-0005-0000-0000-000015060000}"/>
    <cellStyle name="Check Cell 2 2" xfId="1664" xr:uid="{00000000-0005-0000-0000-000016060000}"/>
    <cellStyle name="Check Cell 2 3" xfId="1665" xr:uid="{00000000-0005-0000-0000-000017060000}"/>
    <cellStyle name="Check Cell 2 3 2" xfId="4087" xr:uid="{5F7530F8-1FA1-49C4-8AB7-CFCEC50057AB}"/>
    <cellStyle name="Check Cell 2 3 3" xfId="4059" xr:uid="{D7C8EA76-8B14-41A0-ADE8-D4214D0AFA80}"/>
    <cellStyle name="Check Cell 2 4" xfId="1666" xr:uid="{00000000-0005-0000-0000-000018060000}"/>
    <cellStyle name="Check Cell 2 4 2" xfId="4086" xr:uid="{574083C4-4176-4CBC-950A-CA742BE2900F}"/>
    <cellStyle name="Check Cell 2 4 3" xfId="4302" xr:uid="{2ACD97BA-5889-444E-9EB4-7EFDD148F4B4}"/>
    <cellStyle name="Check Cell 2 5" xfId="1667" xr:uid="{00000000-0005-0000-0000-000019060000}"/>
    <cellStyle name="Check Cell 2 5 2" xfId="4088" xr:uid="{86E100D6-7322-40AA-BB86-C57D113CF7E1}"/>
    <cellStyle name="Check Cell 2 5 3" xfId="3954" xr:uid="{E2D371BF-6139-4BE6-B2E5-F6AD948E706B}"/>
    <cellStyle name="Check Cell 2 6" xfId="1668" xr:uid="{00000000-0005-0000-0000-00001A060000}"/>
    <cellStyle name="Check Cell 2 6 2" xfId="4424" xr:uid="{CCA42D77-EB2D-457E-9F2A-8B5BEC517B3D}"/>
    <cellStyle name="Check Cell 2 6 3" xfId="4201" xr:uid="{E7DA680D-C86F-4962-9975-4DC40A63EE01}"/>
    <cellStyle name="Check Cell 2 7" xfId="4043" xr:uid="{6358091F-D139-4C55-9A4E-B6FE13006C51}"/>
    <cellStyle name="Check Cell 2 8" xfId="3953" xr:uid="{6BACA54E-05F8-4158-A6EA-69A0E257F653}"/>
    <cellStyle name="Check Cell 3" xfId="121" xr:uid="{00000000-0005-0000-0000-00001B060000}"/>
    <cellStyle name="Check Cell 3 2" xfId="1670" xr:uid="{00000000-0005-0000-0000-00001C060000}"/>
    <cellStyle name="Check Cell 3 3" xfId="1671" xr:uid="{00000000-0005-0000-0000-00001D060000}"/>
    <cellStyle name="Check Cell 3 4" xfId="1672" xr:uid="{00000000-0005-0000-0000-00001E060000}"/>
    <cellStyle name="Check Cell 3 5" xfId="1673" xr:uid="{00000000-0005-0000-0000-00001F060000}"/>
    <cellStyle name="Check Cell 3 6" xfId="1674" xr:uid="{00000000-0005-0000-0000-000020060000}"/>
    <cellStyle name="Check Cell 3 7" xfId="1675" xr:uid="{00000000-0005-0000-0000-000021060000}"/>
    <cellStyle name="Check Cell 3 7 2" xfId="4085" xr:uid="{B9FCEC69-F244-455D-B9BB-66065D42D62A}"/>
    <cellStyle name="Check Cell 3 7 3" xfId="4200" xr:uid="{F0DDEE18-1EE5-4A6A-A794-337ED7924A33}"/>
    <cellStyle name="Check Cell 3 8" xfId="1669" xr:uid="{00000000-0005-0000-0000-000022060000}"/>
    <cellStyle name="Check Cell 3 9" xfId="3576" xr:uid="{61432270-3EEA-4FD7-8A86-F661BB9AF731}"/>
    <cellStyle name="Check Cell 4" xfId="122" xr:uid="{00000000-0005-0000-0000-000023060000}"/>
    <cellStyle name="Check Cell 4 2" xfId="1677" xr:uid="{00000000-0005-0000-0000-000024060000}"/>
    <cellStyle name="Check Cell 4 2 2" xfId="4084" xr:uid="{0CECED1A-957F-4E27-8B36-B31670DB6896}"/>
    <cellStyle name="Check Cell 4 2 3" xfId="4006" xr:uid="{51DA4F62-4720-43B2-9419-168CFA7D2D17}"/>
    <cellStyle name="Check Cell 4 3" xfId="1678" xr:uid="{00000000-0005-0000-0000-000025060000}"/>
    <cellStyle name="Check Cell 4 4" xfId="1679" xr:uid="{00000000-0005-0000-0000-000026060000}"/>
    <cellStyle name="Check Cell 4 5" xfId="1680" xr:uid="{00000000-0005-0000-0000-000027060000}"/>
    <cellStyle name="Check Cell 4 6" xfId="1681" xr:uid="{00000000-0005-0000-0000-000028060000}"/>
    <cellStyle name="Check Cell 4 7" xfId="1682" xr:uid="{00000000-0005-0000-0000-000029060000}"/>
    <cellStyle name="Check Cell 4 8" xfId="1676" xr:uid="{00000000-0005-0000-0000-00002A060000}"/>
    <cellStyle name="Check Cell 5" xfId="123" xr:uid="{00000000-0005-0000-0000-00002B060000}"/>
    <cellStyle name="Check Cell 5 2" xfId="1683" xr:uid="{00000000-0005-0000-0000-00002C060000}"/>
    <cellStyle name="Check Cell 5 3" xfId="1684" xr:uid="{00000000-0005-0000-0000-00002D060000}"/>
    <cellStyle name="Check Cell 5 4" xfId="1685" xr:uid="{00000000-0005-0000-0000-00002E060000}"/>
    <cellStyle name="Check Cell 5 5" xfId="1686" xr:uid="{00000000-0005-0000-0000-00002F060000}"/>
    <cellStyle name="Check Cell 5 6" xfId="1687" xr:uid="{00000000-0005-0000-0000-000030060000}"/>
    <cellStyle name="Check Cell 6" xfId="124" xr:uid="{00000000-0005-0000-0000-000031060000}"/>
    <cellStyle name="Check Cell 6 2" xfId="1688" xr:uid="{00000000-0005-0000-0000-000032060000}"/>
    <cellStyle name="Check Cell 6 3" xfId="1689" xr:uid="{00000000-0005-0000-0000-000033060000}"/>
    <cellStyle name="Check Cell 6 4" xfId="1690" xr:uid="{00000000-0005-0000-0000-000034060000}"/>
    <cellStyle name="Check Cell 6 5" xfId="1691" xr:uid="{00000000-0005-0000-0000-000035060000}"/>
    <cellStyle name="Check Cell 6 6" xfId="1692" xr:uid="{00000000-0005-0000-0000-000036060000}"/>
    <cellStyle name="Check Cell 7" xfId="125" xr:uid="{00000000-0005-0000-0000-000037060000}"/>
    <cellStyle name="Check Cell 7 2" xfId="1693" xr:uid="{00000000-0005-0000-0000-000038060000}"/>
    <cellStyle name="Check Cell 7 3" xfId="1694" xr:uid="{00000000-0005-0000-0000-000039060000}"/>
    <cellStyle name="Check Cell 7 4" xfId="1695" xr:uid="{00000000-0005-0000-0000-00003A060000}"/>
    <cellStyle name="Check Cell 7 5" xfId="1696" xr:uid="{00000000-0005-0000-0000-00003B060000}"/>
    <cellStyle name="Check Cell 7 6" xfId="1697" xr:uid="{00000000-0005-0000-0000-00003C060000}"/>
    <cellStyle name="Check Cell 8 2" xfId="1698" xr:uid="{00000000-0005-0000-0000-00003D060000}"/>
    <cellStyle name="Check Cell 8 3" xfId="1699" xr:uid="{00000000-0005-0000-0000-00003E060000}"/>
    <cellStyle name="Check Cell 8 4" xfId="1700" xr:uid="{00000000-0005-0000-0000-00003F060000}"/>
    <cellStyle name="Check Cell 8 5" xfId="1701" xr:uid="{00000000-0005-0000-0000-000040060000}"/>
    <cellStyle name="Check Cell 8 6" xfId="1702" xr:uid="{00000000-0005-0000-0000-000041060000}"/>
    <cellStyle name="Check Cell 9 2" xfId="1703" xr:uid="{00000000-0005-0000-0000-000042060000}"/>
    <cellStyle name="Check Cell 9 3" xfId="1704" xr:uid="{00000000-0005-0000-0000-000043060000}"/>
    <cellStyle name="Check Cell 9 4" xfId="1705" xr:uid="{00000000-0005-0000-0000-000044060000}"/>
    <cellStyle name="Check Cell 9 5" xfId="1706" xr:uid="{00000000-0005-0000-0000-000045060000}"/>
    <cellStyle name="Check Cell 9 6" xfId="1707" xr:uid="{00000000-0005-0000-0000-000046060000}"/>
    <cellStyle name="Client Name" xfId="126" xr:uid="{00000000-0005-0000-0000-000047060000}"/>
    <cellStyle name="Column Headings" xfId="127" xr:uid="{00000000-0005-0000-0000-000048060000}"/>
    <cellStyle name="Comma" xfId="1" builtinId="3"/>
    <cellStyle name="Comma 16 2" xfId="4199" xr:uid="{A8D42DC4-1503-4158-86EE-8B4B194D9A81}"/>
    <cellStyle name="Comma 18" xfId="1708" xr:uid="{00000000-0005-0000-0000-00004A060000}"/>
    <cellStyle name="Comma 18 2" xfId="3568" xr:uid="{B661AB56-B908-451F-AEAC-7641D580E8B7}"/>
    <cellStyle name="Comma 18 2 2" xfId="3677" xr:uid="{56970429-2F2E-488A-8DCA-AD1E7BA8C797}"/>
    <cellStyle name="Comma 18 3" xfId="3624" xr:uid="{EBE7FD06-FBF8-4A7E-A79E-2F7D9678C16F}"/>
    <cellStyle name="Comma 18 4" xfId="4198" xr:uid="{3EB1A4E1-4CB0-4A41-A25B-7EE095B8BC7F}"/>
    <cellStyle name="Comma 18 5" xfId="4042" xr:uid="{521BA2B2-DF3A-4626-9EEE-EE70D362CF10}"/>
    <cellStyle name="Comma 18 6" xfId="4192" xr:uid="{43586CA2-0382-448E-9AB8-5FD354959B39}"/>
    <cellStyle name="Comma 18 7" xfId="4197" xr:uid="{52B1E810-13E5-442E-8FAC-36E2E13F1D66}"/>
    <cellStyle name="Comma 18 8" xfId="4196" xr:uid="{5752C94E-A9D3-42EC-8CDC-0EFDF49A83D8}"/>
    <cellStyle name="Comma 19" xfId="1709" xr:uid="{00000000-0005-0000-0000-00004B060000}"/>
    <cellStyle name="Comma 19 2" xfId="1710" xr:uid="{00000000-0005-0000-0000-00004C060000}"/>
    <cellStyle name="Comma 19 2 2" xfId="3626" xr:uid="{891A6584-2036-4A91-9B49-7DBEF8FCE36B}"/>
    <cellStyle name="Comma 19 3" xfId="3625" xr:uid="{92406D3C-E63D-4E3F-B3A6-1557AF3605D8}"/>
    <cellStyle name="Comma 19 3 2" xfId="4383" xr:uid="{9E49168C-3497-490E-B403-995C46AEDF4A}"/>
    <cellStyle name="Comma 19 4" xfId="4356" xr:uid="{70CE3E57-BC27-4EB3-AA37-7DC1B66892C0}"/>
    <cellStyle name="Comma 19 4 2" xfId="4340" xr:uid="{7B292A21-608F-41B0-AFB7-07D1653656A3}"/>
    <cellStyle name="Comma 19 5" xfId="4009" xr:uid="{414CC008-36B6-465C-AB94-6BA8213F0345}"/>
    <cellStyle name="Comma 19 5 2" xfId="4330" xr:uid="{8D2DAF91-058E-4183-92D4-1C7145B51179}"/>
    <cellStyle name="Comma 19 6" xfId="4462" xr:uid="{EF8E7439-CD88-4879-80F4-84CDCE6BF7EF}"/>
    <cellStyle name="Comma 19 6 2" xfId="4407" xr:uid="{BB86079B-CF27-48AF-89B0-C75278BBD209}"/>
    <cellStyle name="Comma 19 7" xfId="3991" xr:uid="{3A18DE72-82D4-444A-A1CC-632AB1CB0761}"/>
    <cellStyle name="Comma 2" xfId="128" xr:uid="{00000000-0005-0000-0000-00004D060000}"/>
    <cellStyle name="Comma 2 2" xfId="129" xr:uid="{00000000-0005-0000-0000-00004E060000}"/>
    <cellStyle name="Comma 2 2 2" xfId="3671" xr:uid="{4675DED3-E679-43FA-8D76-0A55ED89888F}"/>
    <cellStyle name="Comma 2 3" xfId="130" xr:uid="{00000000-0005-0000-0000-00004F060000}"/>
    <cellStyle name="Comma 2 3 2" xfId="1711" xr:uid="{00000000-0005-0000-0000-000050060000}"/>
    <cellStyle name="Comma 2 3 2 2" xfId="3734" xr:uid="{A13A23D2-5CD3-4C45-A535-2DFA54E75CDF}"/>
    <cellStyle name="Comma 2 3 3" xfId="3690" xr:uid="{47950FC9-44B8-4C5B-A245-473989BDC6E0}"/>
    <cellStyle name="Comma 2 4" xfId="131" xr:uid="{00000000-0005-0000-0000-000051060000}"/>
    <cellStyle name="Comma 2 4 2" xfId="2535" xr:uid="{00000000-0005-0000-0000-000052060000}"/>
    <cellStyle name="Comma 2 4 2 2" xfId="3785" xr:uid="{5C661092-5411-44A6-A4D6-77C99F00EE40}"/>
    <cellStyle name="Comma 2 4 3" xfId="2964" xr:uid="{00000000-0005-0000-0000-000092060000}"/>
    <cellStyle name="Comma 2 4 3 2" xfId="3691" xr:uid="{859299BD-D494-4EF2-A037-6DF445CA2DA0}"/>
    <cellStyle name="Comma 2 5" xfId="3663" xr:uid="{8E20EFD1-6126-4F24-A8FE-7A6E8275CDF5}"/>
    <cellStyle name="Comma 2 5 2" xfId="4195" xr:uid="{3AEF5E49-F80F-4D12-82ED-5D6AFEA54022}"/>
    <cellStyle name="Comma 2 6" xfId="4303" xr:uid="{C698ED94-790D-403C-8F08-BC5E78100EB0}"/>
    <cellStyle name="Comma 2 7" xfId="4058" xr:uid="{F78D69C6-8C13-4845-B620-2517220AB8A9}"/>
    <cellStyle name="Comma 2 8" xfId="4301" xr:uid="{B6B6FDAE-69DC-4119-AFBA-CB1DB56BC8BC}"/>
    <cellStyle name="Comma 2 9" xfId="4300" xr:uid="{9CD48E43-673E-4F46-8A69-01D0CE483C57}"/>
    <cellStyle name="Comma 20" xfId="1712" xr:uid="{00000000-0005-0000-0000-000053060000}"/>
    <cellStyle name="Comma 20 2" xfId="1713" xr:uid="{00000000-0005-0000-0000-000054060000}"/>
    <cellStyle name="Comma 20 2 2" xfId="3628" xr:uid="{31B2F8C4-4FB6-40F6-BBB9-3D980D924E54}"/>
    <cellStyle name="Comma 20 3" xfId="3627" xr:uid="{185F28CC-ABA4-4C31-AFFF-E2B80EABE2A0}"/>
    <cellStyle name="Comma 20 3 2" xfId="4341" xr:uid="{DBBC2F91-5E95-483B-83DB-9DAE94A8B950}"/>
    <cellStyle name="Comma 20 4" xfId="4502" xr:uid="{86E2331C-D300-4224-B87B-C464B0399176}"/>
    <cellStyle name="Comma 20 4 2" xfId="4063" xr:uid="{D4541309-377A-405A-BEAB-1D771B7258B2}"/>
    <cellStyle name="Comma 20 5" xfId="4064" xr:uid="{62616856-8ACB-4E5F-B600-6ADF89F96E75}"/>
    <cellStyle name="Comma 20 5 2" xfId="4448" xr:uid="{C029ECF0-AAB8-4440-BDA8-E113E86166C6}"/>
    <cellStyle name="Comma 20 6" xfId="4348" xr:uid="{42311E78-EFE1-4F94-9181-F06BF2C089F1}"/>
    <cellStyle name="Comma 20 6 2" xfId="4316" xr:uid="{08DAC59A-D8FB-4D6B-909A-B255DDEB23F1}"/>
    <cellStyle name="Comma 20 7" xfId="3986" xr:uid="{E98D5692-A07D-4443-A76D-F145F570B4D7}"/>
    <cellStyle name="Comma 21" xfId="1714" xr:uid="{00000000-0005-0000-0000-000055060000}"/>
    <cellStyle name="Comma 21 2" xfId="1715" xr:uid="{00000000-0005-0000-0000-000056060000}"/>
    <cellStyle name="Comma 21 2 2" xfId="3736" xr:uid="{4578C2F4-2557-4011-9A55-D56FFB34CA16}"/>
    <cellStyle name="Comma 21 3" xfId="3595" xr:uid="{76146147-650A-4E9A-8E9A-D51D8F8B7353}"/>
    <cellStyle name="Comma 21 3 2" xfId="3735" xr:uid="{956585A0-BB15-4A3D-9123-432B219DC5DE}"/>
    <cellStyle name="Comma 21 4" xfId="3629" xr:uid="{3B8CB265-FE69-496D-833C-2AA82AD100C1}"/>
    <cellStyle name="Comma 21 4 2" xfId="4415" xr:uid="{DAA30E1E-9766-401D-BCE8-39712AE0A0EF}"/>
    <cellStyle name="Comma 21 5" xfId="4008" xr:uid="{62CE195B-1365-44FB-8073-549D12A13DE1}"/>
    <cellStyle name="Comma 21 5 2" xfId="4329" xr:uid="{8B38B987-2EA9-4808-A440-C6995E82E996}"/>
    <cellStyle name="Comma 21 6" xfId="4360" xr:uid="{7A8A2C71-0AFE-4CAB-9A51-C9E33FBB5D34}"/>
    <cellStyle name="Comma 21 6 2" xfId="4466" xr:uid="{FFB62346-6167-404D-907B-A76BCDCAB592}"/>
    <cellStyle name="Comma 21 7" xfId="4344" xr:uid="{C955BB71-09B5-4D28-A487-6FF20CCC41A8}"/>
    <cellStyle name="Comma 22" xfId="1716" xr:uid="{00000000-0005-0000-0000-000057060000}"/>
    <cellStyle name="Comma 22 2" xfId="1717" xr:uid="{00000000-0005-0000-0000-000058060000}"/>
    <cellStyle name="Comma 22 2 2" xfId="3738" xr:uid="{3A6C121B-0626-4E22-AF9F-A481610A2AD6}"/>
    <cellStyle name="Comma 22 3" xfId="3596" xr:uid="{665F9862-95BF-49F0-9BD4-5CEF7485958D}"/>
    <cellStyle name="Comma 22 3 2" xfId="3737" xr:uid="{FC9A1C90-B047-446D-92BC-8469A9EE74DC}"/>
    <cellStyle name="Comma 22 4" xfId="3630" xr:uid="{364C0911-8613-4A35-8728-F78CFCCEC684}"/>
    <cellStyle name="Comma 22 4 2" xfId="3935" xr:uid="{A45C9017-7273-47C9-8330-BEA80AEFB369}"/>
    <cellStyle name="Comma 22 5" xfId="3995" xr:uid="{BCA196CB-3935-41F7-9845-C672A2727953}"/>
    <cellStyle name="Comma 22 5 2" xfId="4411" xr:uid="{03F3BA83-9D8D-457F-9D1D-2C39ABCA25D6}"/>
    <cellStyle name="Comma 22 6" xfId="4491" xr:uid="{66EB62D6-8C7B-4D9D-BF70-6D1B2798CDFC}"/>
    <cellStyle name="Comma 22 6 2" xfId="4322" xr:uid="{84C4ABB0-BA53-46A5-BF00-EF926600EC74}"/>
    <cellStyle name="Comma 22 7" xfId="4373" xr:uid="{C9CB4A09-D878-4B52-84A7-9BE0E28ADB8C}"/>
    <cellStyle name="Comma 23" xfId="1718" xr:uid="{00000000-0005-0000-0000-000059060000}"/>
    <cellStyle name="Comma 23 2" xfId="1719" xr:uid="{00000000-0005-0000-0000-00005A060000}"/>
    <cellStyle name="Comma 23 2 2" xfId="3740" xr:uid="{5C09BF24-8DF6-4FDD-9912-781D1FAE3BFF}"/>
    <cellStyle name="Comma 23 3" xfId="3597" xr:uid="{C10DA211-A328-4509-B581-4E25D25C44E5}"/>
    <cellStyle name="Comma 23 3 2" xfId="3739" xr:uid="{F64AAB46-01B9-42FB-8F3F-29C77597C6D1}"/>
    <cellStyle name="Comma 23 4" xfId="3631" xr:uid="{CCF48821-DC6C-42C4-8CE5-E0167F3AE04F}"/>
    <cellStyle name="Comma 23 4 2" xfId="4338" xr:uid="{E954E8F8-04E3-406A-96F9-985C30131B9A}"/>
    <cellStyle name="Comma 23 5" xfId="3994" xr:uid="{613AB98B-AF66-48B2-A9E8-477EB94261EA}"/>
    <cellStyle name="Comma 23 5 2" xfId="4328" xr:uid="{B8485F85-6BF0-4F7F-96EB-5B1BF6290288}"/>
    <cellStyle name="Comma 23 6" xfId="3984" xr:uid="{04C5446A-783A-41FF-AEF3-E509C458277A}"/>
    <cellStyle name="Comma 23 6 2" xfId="4061" xr:uid="{28821B03-4612-4193-934A-0D0751F28C72}"/>
    <cellStyle name="Comma 23 7" xfId="3982" xr:uid="{4B2B2696-CB0C-45FA-9E2D-7D9EEC68592A}"/>
    <cellStyle name="Comma 24" xfId="1720" xr:uid="{00000000-0005-0000-0000-00005B060000}"/>
    <cellStyle name="Comma 24 2" xfId="1721" xr:uid="{00000000-0005-0000-0000-00005C060000}"/>
    <cellStyle name="Comma 24 2 2" xfId="3742" xr:uid="{B7B2A267-559C-4867-842D-3B5FCDD96104}"/>
    <cellStyle name="Comma 24 3" xfId="3598" xr:uid="{A424AA7F-9C31-4494-98AF-08D22E67FBE9}"/>
    <cellStyle name="Comma 24 3 2" xfId="3741" xr:uid="{41DC9117-FA66-4F13-A01F-2E21BAEFE750}"/>
    <cellStyle name="Comma 24 4" xfId="3632" xr:uid="{46E9A28B-818E-40AB-A1F1-1FFBDA065115}"/>
    <cellStyle name="Comma 24 4 2" xfId="4384" xr:uid="{B0D7526D-0BEB-49A3-A527-248A370E19EA}"/>
    <cellStyle name="Comma 24 5" xfId="4464" xr:uid="{D48D4CFC-076C-421D-99F4-C7FEFB553DD8}"/>
    <cellStyle name="Comma 24 5 2" xfId="4449" xr:uid="{E4FB5D72-0A9F-48EC-8F76-B41596890EFB}"/>
    <cellStyle name="Comma 24 6" xfId="4347" xr:uid="{0C067211-3FAD-4B35-9DB0-08BC3A64763F}"/>
    <cellStyle name="Comma 24 6 2" xfId="4368" xr:uid="{DAD67F80-A358-45E3-82E7-56AA86831BB7}"/>
    <cellStyle name="Comma 24 7" xfId="4374" xr:uid="{467CF8F9-BFD3-48B4-85F0-6631110A42B9}"/>
    <cellStyle name="Comma 25 2" xfId="4194" xr:uid="{51EAE19C-D79A-4983-8A1D-B7AE935B3982}"/>
    <cellStyle name="Comma 27" xfId="1722" xr:uid="{00000000-0005-0000-0000-00005D060000}"/>
    <cellStyle name="Comma 27 2" xfId="1723" xr:uid="{00000000-0005-0000-0000-00005E060000}"/>
    <cellStyle name="Comma 27 2 2" xfId="3634" xr:uid="{974D755D-CCF7-44A3-A945-A6A3C5B5227D}"/>
    <cellStyle name="Comma 27 3" xfId="3633" xr:uid="{9796AC01-7B26-4C83-B44E-862A80BAB991}"/>
    <cellStyle name="Comma 27 3 2" xfId="4382" xr:uid="{9947605A-725C-4B59-A707-570271CD1CF2}"/>
    <cellStyle name="Comma 27 4" xfId="4455" xr:uid="{01932BDE-F03C-4095-85C3-CBD96AF732A5}"/>
    <cellStyle name="Comma 27 4 2" xfId="4337" xr:uid="{536DD93B-3FB1-48B4-8931-6BD9999057BD}"/>
    <cellStyle name="Comma 27 5" xfId="3983" xr:uid="{4907C65E-0B5E-4F05-AD88-67126CD87CB1}"/>
    <cellStyle name="Comma 27 5 2" xfId="3976" xr:uid="{414EA663-8A24-4818-9F64-9AEB7F0A1E20}"/>
    <cellStyle name="Comma 27 6" xfId="4359" xr:uid="{50AE373F-7D70-4957-8D36-A4FA91D52C38}"/>
    <cellStyle name="Comma 27 6 2" xfId="4406" xr:uid="{DFE0EDCB-52CB-4E7B-A7C9-61D00E805ACF}"/>
    <cellStyle name="Comma 27 7" xfId="4343" xr:uid="{ACA26757-C081-4EB9-B91F-8D6473D4B3E6}"/>
    <cellStyle name="Comma 28" xfId="1724" xr:uid="{00000000-0005-0000-0000-00005F060000}"/>
    <cellStyle name="Comma 28 2" xfId="1725" xr:uid="{00000000-0005-0000-0000-000060060000}"/>
    <cellStyle name="Comma 28 2 2" xfId="3744" xr:uid="{0E07E1F3-B5C8-4410-8A4A-7EF9ABB241A9}"/>
    <cellStyle name="Comma 28 3" xfId="3599" xr:uid="{4AAE2EA9-1AAD-43EE-9827-A277B0868E24}"/>
    <cellStyle name="Comma 28 3 2" xfId="3743" xr:uid="{BA951B48-569B-434E-8543-74C5214CCCE9}"/>
    <cellStyle name="Comma 28 4" xfId="3635" xr:uid="{BF97B521-9D9C-4434-AE20-61FD8E5A8C24}"/>
    <cellStyle name="Comma 28 4 2" xfId="4385" xr:uid="{37B2CE4C-0597-44B0-AFE7-FC8889D2CDC2}"/>
    <cellStyle name="Comma 28 5" xfId="4413" xr:uid="{D6EC5EB3-E269-4BAA-9292-C01217F02FDA}"/>
    <cellStyle name="Comma 28 5 2" xfId="4369" xr:uid="{B19A3629-FCFF-4023-A84D-AAF792335B40}"/>
    <cellStyle name="Comma 28 6" xfId="4490" xr:uid="{24FC4ECF-5C19-4DF2-97C5-256A79B19839}"/>
    <cellStyle name="Comma 28 6 2" xfId="4321" xr:uid="{13947211-48BE-4E0E-987C-28FC079F1549}"/>
    <cellStyle name="Comma 28 7" xfId="4375" xr:uid="{15D29F94-06F9-4951-9969-1A0BCEABA291}"/>
    <cellStyle name="Comma 29 2" xfId="4193" xr:uid="{634F033C-D9C7-45DD-B6A9-F74EB6896785}"/>
    <cellStyle name="Comma 3" xfId="132" xr:uid="{00000000-0005-0000-0000-000061060000}"/>
    <cellStyle name="Comma 3 10" xfId="2923" xr:uid="{00000000-0005-0000-0000-0000A1060000}"/>
    <cellStyle name="Comma 3 10 2" xfId="5220" xr:uid="{553BC5CD-ABE5-4551-A967-645555D5345C}"/>
    <cellStyle name="Comma 3 10 2 2" xfId="5995" xr:uid="{9EFDC673-B750-4C7E-80CB-6BEEE0DBA54B}"/>
    <cellStyle name="Comma 3 10 3" xfId="3844" xr:uid="{299E1941-925C-4CDF-8108-E04D6F1E7E5F}"/>
    <cellStyle name="Comma 3 10 3 2" xfId="5809" xr:uid="{D8B41176-C6EA-4A8A-9A65-6FB78FA57D2D}"/>
    <cellStyle name="Comma 3 10 4" xfId="5539" xr:uid="{494A8F2D-AA93-4A2B-9021-C1CB91AC41B5}"/>
    <cellStyle name="Comma 3 11" xfId="3482" xr:uid="{1A0F4D0A-AB5A-4A5D-86EB-A5C35ED7A407}"/>
    <cellStyle name="Comma 3 11 2" xfId="3948" xr:uid="{08F31909-CDFA-4DA5-B4AB-9531C67EE0BE}"/>
    <cellStyle name="Comma 3 11 2 2" xfId="5911" xr:uid="{B42B575F-31D6-4B1C-9762-12A162245300}"/>
    <cellStyle name="Comma 3 11 3" xfId="3903" xr:uid="{ABA3C1C6-6D02-4297-AD52-B0697040214F}"/>
    <cellStyle name="Comma 3 11 3 2" xfId="5867" xr:uid="{D6224F32-249F-4A21-B837-3F0389F2C461}"/>
    <cellStyle name="Comma 3 11 4" xfId="5659" xr:uid="{5BA5D6B8-6359-4CB4-B32C-847A09DA773C}"/>
    <cellStyle name="Comma 3 12" xfId="3955" xr:uid="{3B3950EC-E6B9-48A5-B5FF-60A73FF4C3AB}"/>
    <cellStyle name="Comma 3 12 2" xfId="5913" xr:uid="{97F07263-22B4-4AC9-B8A1-1C4DAC5C6182}"/>
    <cellStyle name="Comma 3 13" xfId="5309" xr:uid="{00D14B33-A192-41CE-9131-B65D8D7D3FEC}"/>
    <cellStyle name="Comma 3 13 2" xfId="6061" xr:uid="{08484FBA-C41F-4901-94D8-E46C4DB26F3C}"/>
    <cellStyle name="Comma 3 14" xfId="5351" xr:uid="{478F38F6-B2E9-47CD-BA79-C5C2C4770315}"/>
    <cellStyle name="Comma 3 14 2" xfId="6103" xr:uid="{A9B86917-F3ED-42EC-B911-B4458A6CF875}"/>
    <cellStyle name="Comma 3 15" xfId="5394" xr:uid="{D8EDFFB3-2FFE-414F-A76F-6E71417BD744}"/>
    <cellStyle name="Comma 3 15 2" xfId="6146" xr:uid="{AA20183F-67F4-4697-AC5A-AB842C8D19B9}"/>
    <cellStyle name="Comma 3 16" xfId="3565" xr:uid="{E233735E-8A4C-46E1-BCF8-CA42F767FC8B}"/>
    <cellStyle name="Comma 3 16 2" xfId="5714" xr:uid="{4C3A89AD-1B30-4C4D-A0A4-831F1603325D}"/>
    <cellStyle name="Comma 3 17" xfId="3514" xr:uid="{FD7927B6-75D2-4DBC-8789-9879CE59E532}"/>
    <cellStyle name="Comma 3 17 2" xfId="5678" xr:uid="{F93E510A-8A5A-4F0B-A778-8857143013D6}"/>
    <cellStyle name="Comma 3 18" xfId="5449" xr:uid="{597B031E-22D2-4E0E-B1E7-33A9986DC3AF}"/>
    <cellStyle name="Comma 3 2" xfId="133" xr:uid="{00000000-0005-0000-0000-000062060000}"/>
    <cellStyle name="Comma 3 2 2" xfId="3485" xr:uid="{BABDC3E4-437C-4E7D-9939-85F5B63FA2AC}"/>
    <cellStyle name="Comma 3 2 2 2" xfId="4005" xr:uid="{5F032A35-BB20-43F1-AE10-4BD95634C8D9}"/>
    <cellStyle name="Comma 3 2 2 3" xfId="3693" xr:uid="{197F52F2-B5B4-4C28-BE21-B9DC3272F425}"/>
    <cellStyle name="Comma 3 2 2 4" xfId="5661" xr:uid="{60A502AD-E954-4AE4-AC3F-BA1C10C0159E}"/>
    <cellStyle name="Comma 3 2 3" xfId="4501" xr:uid="{93B957DA-51E0-46CE-B288-F690397DB9E2}"/>
    <cellStyle name="Comma 3 3" xfId="134" xr:uid="{00000000-0005-0000-0000-000063060000}"/>
    <cellStyle name="Comma 3 3 2" xfId="2534" xr:uid="{00000000-0005-0000-0000-000064060000}"/>
    <cellStyle name="Comma 3 3 2 2" xfId="3784" xr:uid="{9A113378-4986-48B1-8EC0-A9EC35560243}"/>
    <cellStyle name="Comma 3 3 3" xfId="2966" xr:uid="{00000000-0005-0000-0000-0000A5060000}"/>
    <cellStyle name="Comma 3 3 3 2" xfId="3694" xr:uid="{F3774323-1621-4978-88FA-E8A482D2EA39}"/>
    <cellStyle name="Comma 3 3 4" xfId="3487" xr:uid="{6A69B858-6D6B-4AA6-895F-056DF2B0B9F0}"/>
    <cellStyle name="Comma 3 3 4 2" xfId="5663" xr:uid="{53ACB898-F1B7-4380-A3CB-345B3D1C78EB}"/>
    <cellStyle name="Comma 3 4" xfId="1726" xr:uid="{00000000-0005-0000-0000-000065060000}"/>
    <cellStyle name="Comma 3 4 10" xfId="4057" xr:uid="{D0C4B4FD-7D31-4BB2-B6F7-54E4014682F1}"/>
    <cellStyle name="Comma 3 4 11" xfId="5396" xr:uid="{9C46F56D-14D1-4B76-9589-454C32603F54}"/>
    <cellStyle name="Comma 3 4 11 2" xfId="6148" xr:uid="{2D48C507-0989-40E5-BED2-9BBA859E4CD0}"/>
    <cellStyle name="Comma 3 4 12" xfId="3600" xr:uid="{87967BE9-6CD1-48B4-92B8-07A55C848B51}"/>
    <cellStyle name="Comma 3 4 12 2" xfId="5723" xr:uid="{CDC889D8-4316-4E17-9620-8840DE7186CD}"/>
    <cellStyle name="Comma 3 4 13" xfId="3522" xr:uid="{93A55802-2675-4B53-86CC-E2DBC10FDA92}"/>
    <cellStyle name="Comma 3 4 13 2" xfId="5680" xr:uid="{44D5A836-247F-4862-9105-D34EE5AFE016}"/>
    <cellStyle name="Comma 3 4 14" xfId="5451" xr:uid="{25AFA28B-DEF6-4F49-96C0-11C5E3208028}"/>
    <cellStyle name="Comma 3 4 2" xfId="2850" xr:uid="{00000000-0005-0000-0000-000066060000}"/>
    <cellStyle name="Comma 3 4 2 2" xfId="2897" xr:uid="{00000000-0005-0000-0000-000066060000}"/>
    <cellStyle name="Comma 3 4 2 2 2" xfId="2998" xr:uid="{00000000-0005-0000-0000-0000A8060000}"/>
    <cellStyle name="Comma 3 4 2 2 2 2" xfId="4598" xr:uid="{21A49161-7AC0-47A2-9B32-08BBA8E8EBB0}"/>
    <cellStyle name="Comma 3 4 2 2 2 2 2" xfId="5975" xr:uid="{26A1E55C-A82E-4ADD-9BB8-74B06319807F}"/>
    <cellStyle name="Comma 3 4 2 2 2 3" xfId="5598" xr:uid="{93683521-E1DC-4DA3-923D-3316B429EF2D}"/>
    <cellStyle name="Comma 3 4 2 2 3" xfId="3827" xr:uid="{E330AF3D-35C2-49D9-9DCD-E6EA3BCC897A}"/>
    <cellStyle name="Comma 3 4 2 2 3 2" xfId="5792" xr:uid="{94829827-A804-4973-BF93-F55303C6E8B1}"/>
    <cellStyle name="Comma 3 4 2 2 4" xfId="5513" xr:uid="{9A02A029-8D81-405A-99AE-9485A9BF45EB}"/>
    <cellStyle name="Comma 3 4 2 3" xfId="3442" xr:uid="{00000000-0005-0000-0000-0000A9060000}"/>
    <cellStyle name="Comma 3 4 2 3 2" xfId="5276" xr:uid="{844E373C-665B-472A-8B7E-D9BCC2CCBBE5}"/>
    <cellStyle name="Comma 3 4 2 3 2 2" xfId="6030" xr:uid="{C81F16E5-E513-42B7-BCFF-B15573646EF9}"/>
    <cellStyle name="Comma 3 4 2 3 3" xfId="3876" xr:uid="{735D01C7-9B39-4D5C-8B15-CD27BB5646FC}"/>
    <cellStyle name="Comma 3 4 2 3 3 2" xfId="5841" xr:uid="{0E416B6E-12ED-41F2-8AD0-15F506F7AE19}"/>
    <cellStyle name="Comma 3 4 2 3 4" xfId="5638" xr:uid="{0D446F4E-7EA2-4C69-A074-2B92E2BDB39A}"/>
    <cellStyle name="Comma 3 4 2 4" xfId="2942" xr:uid="{00000000-0005-0000-0000-0000A7060000}"/>
    <cellStyle name="Comma 3 4 2 4 2" xfId="5327" xr:uid="{20ACB361-8EC1-459A-92D4-21C2AF3938C2}"/>
    <cellStyle name="Comma 3 4 2 4 2 2" xfId="6079" xr:uid="{53B4AEFA-71C4-440C-9B30-B7251C61B233}"/>
    <cellStyle name="Comma 3 4 2 4 3" xfId="3922" xr:uid="{2D24F65C-7FF2-4F53-9D38-AB22EA1C1EE0}"/>
    <cellStyle name="Comma 3 4 2 4 3 2" xfId="5886" xr:uid="{00E86749-AC40-4A0F-A0CF-34143A681F6A}"/>
    <cellStyle name="Comma 3 4 2 4 4" xfId="5558" xr:uid="{90B11EA2-D1D2-4A14-AFCD-EC017CD6C631}"/>
    <cellStyle name="Comma 3 4 2 5" xfId="4532" xr:uid="{62943711-0F5F-4BE7-BC28-6F4BDE615AD1}"/>
    <cellStyle name="Comma 3 4 2 5 2" xfId="5943" xr:uid="{2FF20159-EF53-417F-8227-F62A7EBE088F}"/>
    <cellStyle name="Comma 3 4 2 6" xfId="5413" xr:uid="{52A4E693-C641-4438-B384-2A8BDBBFF5B9}"/>
    <cellStyle name="Comma 3 4 2 6 2" xfId="6165" xr:uid="{3A87EF0D-C262-4360-9EA2-FDDFEAE070B0}"/>
    <cellStyle name="Comma 3 4 2 7" xfId="3745" xr:uid="{84F8E7F4-B098-4746-867B-6E9FF74779B1}"/>
    <cellStyle name="Comma 3 4 2 7 2" xfId="5746" xr:uid="{BA366182-857C-4359-89FF-5E7F0839AF43}"/>
    <cellStyle name="Comma 3 4 2 8" xfId="3540" xr:uid="{104D513B-AAA7-41A5-BF36-E9EC174B6B0E}"/>
    <cellStyle name="Comma 3 4 2 8 2" xfId="5697" xr:uid="{9EA1C501-C33D-48EE-BD02-23966599B494}"/>
    <cellStyle name="Comma 3 4 2 9" xfId="5468" xr:uid="{029C73F1-610D-4785-AE64-39170C7AF789}"/>
    <cellStyle name="Comma 3 4 3" xfId="2880" xr:uid="{00000000-0005-0000-0000-000065060000}"/>
    <cellStyle name="Comma 3 4 3 2" xfId="2976" xr:uid="{00000000-0005-0000-0000-0000AA060000}"/>
    <cellStyle name="Comma 3 4 3 2 2" xfId="4583" xr:uid="{C6AC9486-BFD5-4A49-809D-C98D70A803BF}"/>
    <cellStyle name="Comma 3 4 3 2 2 2" xfId="5963" xr:uid="{9FC14EE0-6A11-4FB4-BFB9-9270E2502C93}"/>
    <cellStyle name="Comma 3 4 3 2 3" xfId="5581" xr:uid="{CC45C319-492E-46F2-BAA2-D44DEFD90B2F}"/>
    <cellStyle name="Comma 3 4 3 3" xfId="3804" xr:uid="{406E0459-DCFB-4319-9CFD-026C850CDC98}"/>
    <cellStyle name="Comma 3 4 3 3 2" xfId="5769" xr:uid="{E26C6534-A056-4CCF-A5CB-2B94A3846F1C}"/>
    <cellStyle name="Comma 3 4 3 4" xfId="5496" xr:uid="{BC475FDD-67E9-414F-A025-DBFA32513B0D}"/>
    <cellStyle name="Comma 3 4 4" xfId="3418" xr:uid="{00000000-0005-0000-0000-0000AB060000}"/>
    <cellStyle name="Comma 3 4 4 2" xfId="4967" xr:uid="{600EA1F8-44AB-4FC2-AD87-04CFAF9ABD8C}"/>
    <cellStyle name="Comma 3 4 4 2 2" xfId="5981" xr:uid="{F3277135-D462-4F6A-BFFA-1452416B632D}"/>
    <cellStyle name="Comma 3 4 4 3" xfId="3853" xr:uid="{9F2E4E0A-52DE-4101-9148-CE3409825523}"/>
    <cellStyle name="Comma 3 4 4 3 2" xfId="5818" xr:uid="{83E565FC-BCFE-4438-B3E2-A9437AF75983}"/>
    <cellStyle name="Comma 3 4 4 4" xfId="5621" xr:uid="{D86CE915-E5F2-4C62-B871-E0F9073B3C6C}"/>
    <cellStyle name="Comma 3 4 5" xfId="2925" xr:uid="{00000000-0005-0000-0000-0000A6060000}"/>
    <cellStyle name="Comma 3 4 5 2" xfId="5223" xr:uid="{43ECBFF7-6357-4865-9661-1B1CE8BFCFED}"/>
    <cellStyle name="Comma 3 4 5 2 2" xfId="5997" xr:uid="{1C00FB87-71E2-46A4-A803-8DA78675AE3E}"/>
    <cellStyle name="Comma 3 4 5 3" xfId="3905" xr:uid="{2633A5F0-7FEC-43BA-AFB7-3978877DFBEF}"/>
    <cellStyle name="Comma 3 4 5 3 2" xfId="5869" xr:uid="{589BC7F2-E07D-4B6C-B18E-EF864A07BD1C}"/>
    <cellStyle name="Comma 3 4 5 4" xfId="5541" xr:uid="{CD771EE3-0BFB-4F17-BF4B-C04A42F55E17}"/>
    <cellStyle name="Comma 3 4 6" xfId="4209" xr:uid="{6D57A180-8091-487D-8DA0-A0ACA69DDF50}"/>
    <cellStyle name="Comma 3 4 6 2" xfId="5918" xr:uid="{5F195522-766D-4A59-9DD3-8505D75C1612}"/>
    <cellStyle name="Comma 3 4 7" xfId="5262" xr:uid="{A09D9BE4-291B-4D91-B3E0-3BC1B74BA1C6}"/>
    <cellStyle name="Comma 3 4 7 2" xfId="6018" xr:uid="{BDE64611-07E3-4EB8-9D4E-0B269C930E8E}"/>
    <cellStyle name="Comma 3 4 8" xfId="5311" xr:uid="{EC2A4B6F-110D-4A73-8A2A-D61662050CCD}"/>
    <cellStyle name="Comma 3 4 8 2" xfId="6063" xr:uid="{9FB725A0-F756-46FF-B8CD-B855A3B9D594}"/>
    <cellStyle name="Comma 3 4 9" xfId="5352" xr:uid="{F6A55DDB-A7A5-48E5-9F00-EF84FCFAF367}"/>
    <cellStyle name="Comma 3 4 9 2" xfId="6104" xr:uid="{8A60F5F4-1A3C-43B8-AECF-F26C71167F36}"/>
    <cellStyle name="Comma 3 5" xfId="2531" xr:uid="{00000000-0005-0000-0000-000067060000}"/>
    <cellStyle name="Comma 3 5 10" xfId="4298" xr:uid="{2DFE8D29-0D08-4C80-A334-7965721BDDC6}"/>
    <cellStyle name="Comma 3 5 11" xfId="5400" xr:uid="{D6BB4128-39E8-434C-BA00-A2393B494FA9}"/>
    <cellStyle name="Comma 3 5 11 2" xfId="6152" xr:uid="{62C841F1-CF16-4C63-B191-7AC020084982}"/>
    <cellStyle name="Comma 3 5 12" xfId="3617" xr:uid="{41831CD3-1787-40D0-A275-476587A23A84}"/>
    <cellStyle name="Comma 3 5 12 2" xfId="5727" xr:uid="{AAFA6699-3B16-49B2-835C-A6100ECB1B0C}"/>
    <cellStyle name="Comma 3 5 13" xfId="3526" xr:uid="{109245D2-ECFC-470B-8369-5F50CE8DC0C5}"/>
    <cellStyle name="Comma 3 5 13 2" xfId="5684" xr:uid="{86BCB905-8780-4536-BF31-FF311F24292A}"/>
    <cellStyle name="Comma 3 5 14" xfId="5455" xr:uid="{7C3C24A6-1A94-4E35-8606-44F65890567E}"/>
    <cellStyle name="Comma 3 5 2" xfId="2854" xr:uid="{00000000-0005-0000-0000-000068060000}"/>
    <cellStyle name="Comma 3 5 2 2" xfId="2901" xr:uid="{00000000-0005-0000-0000-000068060000}"/>
    <cellStyle name="Comma 3 5 2 2 2" xfId="3002" xr:uid="{00000000-0005-0000-0000-0000AE060000}"/>
    <cellStyle name="Comma 3 5 2 2 2 2" xfId="5280" xr:uid="{C6084391-6C1B-420A-B64F-12FBF0999EBF}"/>
    <cellStyle name="Comma 3 5 2 2 2 2 2" xfId="6034" xr:uid="{F4658228-C8BC-4AD6-A5AB-3E908FF4D619}"/>
    <cellStyle name="Comma 3 5 2 2 2 3" xfId="5602" xr:uid="{CCD613C5-510A-4E4D-A2C4-F11A092B33A1}"/>
    <cellStyle name="Comma 3 5 2 2 3" xfId="3831" xr:uid="{A8AFC294-2B9E-4201-B676-E172818C4459}"/>
    <cellStyle name="Comma 3 5 2 2 3 2" xfId="5796" xr:uid="{E2475FAC-D078-4F6F-B11C-C996A098301E}"/>
    <cellStyle name="Comma 3 5 2 2 4" xfId="5517" xr:uid="{9B85BDA3-B60C-4919-9B5D-2307338F610B}"/>
    <cellStyle name="Comma 3 5 2 3" xfId="3446" xr:uid="{00000000-0005-0000-0000-0000AF060000}"/>
    <cellStyle name="Comma 3 5 2 3 2" xfId="5331" xr:uid="{B7860E68-F0EF-4250-8061-9AA3D2A7D641}"/>
    <cellStyle name="Comma 3 5 2 3 2 2" xfId="6083" xr:uid="{020898C9-1AA1-4A38-8362-3783E584DB5D}"/>
    <cellStyle name="Comma 3 5 2 3 3" xfId="3880" xr:uid="{FA3127DC-4B0F-48A7-9E54-974B653F4CE8}"/>
    <cellStyle name="Comma 3 5 2 3 3 2" xfId="5845" xr:uid="{C98BFE2D-57FD-44C5-9148-1A23FA6F361F}"/>
    <cellStyle name="Comma 3 5 2 3 4" xfId="5642" xr:uid="{D2457507-46A2-4434-A88F-84B52B9EE102}"/>
    <cellStyle name="Comma 3 5 2 4" xfId="2946" xr:uid="{00000000-0005-0000-0000-0000AD060000}"/>
    <cellStyle name="Comma 3 5 2 4 2" xfId="5371" xr:uid="{00F0D26A-22E4-4890-BD84-DA20DB30307D}"/>
    <cellStyle name="Comma 3 5 2 4 2 2" xfId="6123" xr:uid="{622FFB3B-06F2-43DB-B2DF-96FCD1BB0AAD}"/>
    <cellStyle name="Comma 3 5 2 4 3" xfId="3926" xr:uid="{280CD2F9-E2BD-4130-B06D-F9225C831E6C}"/>
    <cellStyle name="Comma 3 5 2 4 3 2" xfId="5890" xr:uid="{12BFCC2C-BE78-40B7-BFFE-2739AEF4F39D}"/>
    <cellStyle name="Comma 3 5 2 4 4" xfId="5562" xr:uid="{34597723-FA48-4464-9285-0708D99F2C91}"/>
    <cellStyle name="Comma 3 5 2 5" xfId="4536" xr:uid="{4387D70B-0D4B-49E9-B67D-F699980CE2A2}"/>
    <cellStyle name="Comma 3 5 2 5 2" xfId="5947" xr:uid="{C2DCB5B6-EFB3-468B-9FD9-0856E30A81BE}"/>
    <cellStyle name="Comma 3 5 2 6" xfId="5417" xr:uid="{F03D002A-F4E9-4623-B16E-595D158A96CE}"/>
    <cellStyle name="Comma 3 5 2 6 2" xfId="6169" xr:uid="{03AFFCBE-9AD9-4356-8774-B5F94D2B7402}"/>
    <cellStyle name="Comma 3 5 2 7" xfId="3781" xr:uid="{A7A8E6F5-852E-48AE-A208-4F691DDCC743}"/>
    <cellStyle name="Comma 3 5 2 7 2" xfId="5750" xr:uid="{C45C8F95-D163-4B37-9065-14C64546E359}"/>
    <cellStyle name="Comma 3 5 2 8" xfId="3544" xr:uid="{704618BB-F180-4F89-B1BF-3BB0D3A55DF1}"/>
    <cellStyle name="Comma 3 5 2 8 2" xfId="5701" xr:uid="{6FAB5F79-DCC0-40BE-BFD8-9E22E54E5E18}"/>
    <cellStyle name="Comma 3 5 2 9" xfId="5472" xr:uid="{C9FF802E-7869-4EF2-B3AE-6FDB87C64CF3}"/>
    <cellStyle name="Comma 3 5 3" xfId="2884" xr:uid="{00000000-0005-0000-0000-000067060000}"/>
    <cellStyle name="Comma 3 5 3 2" xfId="2985" xr:uid="{00000000-0005-0000-0000-0000B0060000}"/>
    <cellStyle name="Comma 3 5 3 2 2" xfId="4590" xr:uid="{71D4C0E6-5E79-4109-96BD-04F2CC071505}"/>
    <cellStyle name="Comma 3 5 3 2 2 2" xfId="5967" xr:uid="{7C303732-F6C4-4643-B5C0-0453448793C1}"/>
    <cellStyle name="Comma 3 5 3 2 3" xfId="5585" xr:uid="{D0E1EC86-45C3-445F-9BA2-2A049F249822}"/>
    <cellStyle name="Comma 3 5 3 3" xfId="3808" xr:uid="{671F253E-BC0F-4035-8474-A83DFFDA42F3}"/>
    <cellStyle name="Comma 3 5 3 3 2" xfId="5773" xr:uid="{203C7A00-1C4C-4C68-9063-5448F8B6822E}"/>
    <cellStyle name="Comma 3 5 3 4" xfId="5500" xr:uid="{B69789A3-E93F-4A1A-8570-12DB6FAAEBDD}"/>
    <cellStyle name="Comma 3 5 4" xfId="3428" xr:uid="{00000000-0005-0000-0000-0000B1060000}"/>
    <cellStyle name="Comma 3 5 4 2" xfId="5173" xr:uid="{6C1B3AD0-8178-40BB-95BD-B09670481AF5}"/>
    <cellStyle name="Comma 3 5 4 2 2" xfId="5985" xr:uid="{0C72FE73-D334-412D-9430-9383C4820098}"/>
    <cellStyle name="Comma 3 5 4 3" xfId="3857" xr:uid="{B8927395-973F-4630-928E-12915E1E76B9}"/>
    <cellStyle name="Comma 3 5 4 3 2" xfId="5822" xr:uid="{09269EB5-F0CE-4AF4-8C5C-7BD4F87A1868}"/>
    <cellStyle name="Comma 3 5 4 4" xfId="5625" xr:uid="{DA066EFF-CD8C-47DE-8938-C87F319F680E}"/>
    <cellStyle name="Comma 3 5 5" xfId="2929" xr:uid="{00000000-0005-0000-0000-0000AC060000}"/>
    <cellStyle name="Comma 3 5 5 2" xfId="5227" xr:uid="{8D0E18E4-52D1-48C8-BFB7-B052E9F4AE7F}"/>
    <cellStyle name="Comma 3 5 5 2 2" xfId="6001" xr:uid="{7510EAB7-180E-4D64-91B2-7E5642FBF689}"/>
    <cellStyle name="Comma 3 5 5 3" xfId="3909" xr:uid="{8B3C7045-71A0-4060-B585-D042233DCF9D}"/>
    <cellStyle name="Comma 3 5 5 3 2" xfId="5873" xr:uid="{2377365D-5A89-4311-B166-F48F135111CC}"/>
    <cellStyle name="Comma 3 5 5 4" xfId="5545" xr:uid="{FFD6E0A2-A531-4352-9930-3C30E8B7A781}"/>
    <cellStyle name="Comma 3 5 6" xfId="4440" xr:uid="{85023FDE-544A-490E-934D-4C8B586A93ED}"/>
    <cellStyle name="Comma 3 5 6 2" xfId="5929" xr:uid="{7E7C9C1A-4F2B-4D7C-A37E-ED47A049C35D}"/>
    <cellStyle name="Comma 3 5 7" xfId="5267" xr:uid="{B671D2AA-690E-464F-8AA8-2B8EA4FAAA53}"/>
    <cellStyle name="Comma 3 5 7 2" xfId="6022" xr:uid="{F7177CB6-7C7B-436A-8104-E377996DD105}"/>
    <cellStyle name="Comma 3 5 8" xfId="5315" xr:uid="{1BCE1F02-8370-45EB-A71F-070532EC5A08}"/>
    <cellStyle name="Comma 3 5 8 2" xfId="6067" xr:uid="{DD78C0F6-1029-453E-8187-C041161C5E0C}"/>
    <cellStyle name="Comma 3 5 9" xfId="5356" xr:uid="{C74CF02F-0ECA-45F9-BCBF-D35A617EBE7E}"/>
    <cellStyle name="Comma 3 5 9 2" xfId="6108" xr:uid="{CB7547E7-A3C7-4661-953F-E7EAD0CFB4FC}"/>
    <cellStyle name="Comma 3 6" xfId="2540" xr:uid="{00000000-0005-0000-0000-000069060000}"/>
    <cellStyle name="Comma 3 6 10" xfId="4297" xr:uid="{A0BE64D9-7438-45CD-AD64-4AD315FA1DC0}"/>
    <cellStyle name="Comma 3 6 11" xfId="5404" xr:uid="{D7F5E55D-F0E5-4DB7-A1FE-2D2FF2E775FC}"/>
    <cellStyle name="Comma 3 6 11 2" xfId="6156" xr:uid="{0078D2C4-DAC1-45C8-8167-541CC3F0908C}"/>
    <cellStyle name="Comma 3 6 12" xfId="3622" xr:uid="{D8E558B5-F357-49FC-ABEA-D3EBDFC42474}"/>
    <cellStyle name="Comma 3 6 12 2" xfId="5731" xr:uid="{107A428B-256C-4D36-B194-4FFD60433881}"/>
    <cellStyle name="Comma 3 6 13" xfId="3530" xr:uid="{36BBCB91-ABD8-4114-8AAB-37B8E55C08C7}"/>
    <cellStyle name="Comma 3 6 13 2" xfId="5688" xr:uid="{93B5C7A8-EF28-4491-A01A-4E42BCE92BF7}"/>
    <cellStyle name="Comma 3 6 14" xfId="5459" xr:uid="{D682075E-4337-41ED-A005-E54E531DF9C4}"/>
    <cellStyle name="Comma 3 6 2" xfId="2858" xr:uid="{00000000-0005-0000-0000-00006A060000}"/>
    <cellStyle name="Comma 3 6 2 2" xfId="2905" xr:uid="{00000000-0005-0000-0000-00006A060000}"/>
    <cellStyle name="Comma 3 6 2 2 2" xfId="3006" xr:uid="{00000000-0005-0000-0000-0000B4060000}"/>
    <cellStyle name="Comma 3 6 2 2 2 2" xfId="5284" xr:uid="{59E39ABC-0E28-4B5E-8B6D-56DCE70E5B7A}"/>
    <cellStyle name="Comma 3 6 2 2 2 2 2" xfId="6038" xr:uid="{EC2974B6-9832-4DDC-A817-C992D9FBC9C4}"/>
    <cellStyle name="Comma 3 6 2 2 2 3" xfId="5606" xr:uid="{61524D95-A08B-4E23-ABBF-77F3173A8EA6}"/>
    <cellStyle name="Comma 3 6 2 2 3" xfId="3835" xr:uid="{84673F04-1A37-4780-8898-EFE264907F12}"/>
    <cellStyle name="Comma 3 6 2 2 3 2" xfId="5800" xr:uid="{29383B7E-6941-4953-A002-F456972D16B8}"/>
    <cellStyle name="Comma 3 6 2 2 4" xfId="5521" xr:uid="{64894477-1400-4822-88B7-E67BF8AFDF6B}"/>
    <cellStyle name="Comma 3 6 2 3" xfId="3450" xr:uid="{00000000-0005-0000-0000-0000B5060000}"/>
    <cellStyle name="Comma 3 6 2 3 2" xfId="5335" xr:uid="{D0447509-AD35-4AC3-9029-419F03FB7E60}"/>
    <cellStyle name="Comma 3 6 2 3 2 2" xfId="6087" xr:uid="{84B51807-3145-461A-928E-8A19458B793B}"/>
    <cellStyle name="Comma 3 6 2 3 3" xfId="3884" xr:uid="{5EF7FBC1-8606-49B9-88A6-4CC97EC1AD4F}"/>
    <cellStyle name="Comma 3 6 2 3 3 2" xfId="5849" xr:uid="{B4D1969A-A7B7-423B-B692-3B4E679A329E}"/>
    <cellStyle name="Comma 3 6 2 3 4" xfId="5646" xr:uid="{294FBC1E-CE6F-45F9-BC70-E36C428CC7AC}"/>
    <cellStyle name="Comma 3 6 2 4" xfId="2950" xr:uid="{00000000-0005-0000-0000-0000B3060000}"/>
    <cellStyle name="Comma 3 6 2 4 2" xfId="5375" xr:uid="{1A3FDF59-5EBC-43C5-AB8E-35D7E19BD055}"/>
    <cellStyle name="Comma 3 6 2 4 2 2" xfId="6127" xr:uid="{613B074D-2CC0-4FB2-98E9-0F4F02F7CBB5}"/>
    <cellStyle name="Comma 3 6 2 4 3" xfId="3930" xr:uid="{AE2B62C1-15D3-4631-BA68-9E6682491075}"/>
    <cellStyle name="Comma 3 6 2 4 3 2" xfId="5894" xr:uid="{01CF6B24-A1CD-4ED1-9481-CC4DA27DC2BD}"/>
    <cellStyle name="Comma 3 6 2 4 4" xfId="5566" xr:uid="{5D38AE87-15DF-4016-B3AB-FA3CC66ECCD7}"/>
    <cellStyle name="Comma 3 6 2 5" xfId="4540" xr:uid="{895A154F-B71A-4D1A-8BA8-0715AA0811AF}"/>
    <cellStyle name="Comma 3 6 2 5 2" xfId="5951" xr:uid="{8E33A4E0-0DE8-4E14-9D23-561F735E4BE5}"/>
    <cellStyle name="Comma 3 6 2 6" xfId="5421" xr:uid="{834273E1-C2A5-410A-88DF-1D6BD971BC59}"/>
    <cellStyle name="Comma 3 6 2 6 2" xfId="6173" xr:uid="{EB686ED0-66F9-48D1-AB94-2A9D2BF3D982}"/>
    <cellStyle name="Comma 3 6 2 7" xfId="3789" xr:uid="{048C4E6B-F32B-4B65-B441-32D40CAD1C11}"/>
    <cellStyle name="Comma 3 6 2 7 2" xfId="5754" xr:uid="{E1DA281A-09BA-4F16-A4B0-4F4AFA9EDE46}"/>
    <cellStyle name="Comma 3 6 2 8" xfId="3548" xr:uid="{2B984B5A-EB2C-4E9B-A9C7-01BE07C045AE}"/>
    <cellStyle name="Comma 3 6 2 8 2" xfId="5705" xr:uid="{4488B5BE-1BFB-4BBE-B185-4246E2748EF6}"/>
    <cellStyle name="Comma 3 6 2 9" xfId="5476" xr:uid="{413D3B63-0875-44D0-A0C7-86675F02914A}"/>
    <cellStyle name="Comma 3 6 3" xfId="2888" xr:uid="{00000000-0005-0000-0000-000069060000}"/>
    <cellStyle name="Comma 3 6 3 2" xfId="2989" xr:uid="{00000000-0005-0000-0000-0000B6060000}"/>
    <cellStyle name="Comma 3 6 3 2 2" xfId="4594" xr:uid="{E3C03EA4-7D6B-4B92-95A0-73C656CA40A9}"/>
    <cellStyle name="Comma 3 6 3 2 2 2" xfId="5971" xr:uid="{43A7E2E7-5F60-4593-8A70-9A58BF137BB5}"/>
    <cellStyle name="Comma 3 6 3 2 3" xfId="5589" xr:uid="{860510A1-131F-43A7-93BE-27A0037CBE5B}"/>
    <cellStyle name="Comma 3 6 3 3" xfId="3812" xr:uid="{B26EF77D-1EC7-47B8-A394-26B865EF0E70}"/>
    <cellStyle name="Comma 3 6 3 3 2" xfId="5777" xr:uid="{B3577909-4E8E-4877-A7AE-F6C815CEEAE4}"/>
    <cellStyle name="Comma 3 6 3 4" xfId="5504" xr:uid="{1AA04A60-C84E-4307-8777-DE78EF35BC7F}"/>
    <cellStyle name="Comma 3 6 4" xfId="3432" xr:uid="{00000000-0005-0000-0000-0000B7060000}"/>
    <cellStyle name="Comma 3 6 4 2" xfId="5178" xr:uid="{DF1D3CED-7A59-4EE8-96B3-922F852CDADB}"/>
    <cellStyle name="Comma 3 6 4 2 2" xfId="5989" xr:uid="{CA67D86D-8ECC-4AE6-B9FC-502D0E40C4EB}"/>
    <cellStyle name="Comma 3 6 4 3" xfId="3861" xr:uid="{2E7494C3-8F2A-4332-B171-224FC41003A5}"/>
    <cellStyle name="Comma 3 6 4 3 2" xfId="5826" xr:uid="{1731C001-B909-4AE1-8D92-0407E836780B}"/>
    <cellStyle name="Comma 3 6 4 4" xfId="5629" xr:uid="{0A22E13F-43F0-4872-924B-3A04C329B889}"/>
    <cellStyle name="Comma 3 6 5" xfId="2933" xr:uid="{00000000-0005-0000-0000-0000B2060000}"/>
    <cellStyle name="Comma 3 6 5 2" xfId="5231" xr:uid="{033DF369-0B47-4040-BC76-B7860CF01897}"/>
    <cellStyle name="Comma 3 6 5 2 2" xfId="6005" xr:uid="{8349EFC5-A38E-4F64-B4EF-D24FF81462B1}"/>
    <cellStyle name="Comma 3 6 5 3" xfId="3913" xr:uid="{32335134-24C2-4686-975A-C1D36F835114}"/>
    <cellStyle name="Comma 3 6 5 3 2" xfId="5877" xr:uid="{173A3D2B-5827-42E9-A547-7956E5893285}"/>
    <cellStyle name="Comma 3 6 5 4" xfId="5549" xr:uid="{1D2F5986-802E-4A68-B85C-E8AC700BCE2E}"/>
    <cellStyle name="Comma 3 6 6" xfId="4446" xr:uid="{FB4DB3D2-27E9-4326-9C8F-B0BFD4040FCC}"/>
    <cellStyle name="Comma 3 6 6 2" xfId="5933" xr:uid="{A905B526-1080-41FD-860F-7D37F1B37B46}"/>
    <cellStyle name="Comma 3 6 7" xfId="5269" xr:uid="{50460127-10D2-45FB-9A43-A1D80E9225E3}"/>
    <cellStyle name="Comma 3 6 7 2" xfId="6024" xr:uid="{14FAC842-9132-4CD0-A804-580AD3B91735}"/>
    <cellStyle name="Comma 3 6 8" xfId="5319" xr:uid="{BAFE6B44-151E-453C-9714-63F5AAB6253B}"/>
    <cellStyle name="Comma 3 6 8 2" xfId="6071" xr:uid="{3BB133FC-520A-433E-8C36-B389C2E9A02B}"/>
    <cellStyle name="Comma 3 6 9" xfId="5360" xr:uid="{A097A708-1F1D-4370-B9E7-7F02AB902D9C}"/>
    <cellStyle name="Comma 3 6 9 2" xfId="6112" xr:uid="{E5549E27-BD81-48AE-930D-33AF3AB8C127}"/>
    <cellStyle name="Comma 3 7" xfId="2848" xr:uid="{00000000-0005-0000-0000-00006B060000}"/>
    <cellStyle name="Comma 3 7 10" xfId="3538" xr:uid="{C51F230F-5443-4FA1-8A88-62327E3A3BE8}"/>
    <cellStyle name="Comma 3 7 10 2" xfId="5695" xr:uid="{A08A1F7A-E2BE-408A-88D6-FF78F3A50F8C}"/>
    <cellStyle name="Comma 3 7 11" xfId="5466" xr:uid="{3AE94DF4-004A-4D20-9EA9-CF3F8476BA7D}"/>
    <cellStyle name="Comma 3 7 2" xfId="2895" xr:uid="{00000000-0005-0000-0000-00006B060000}"/>
    <cellStyle name="Comma 3 7 2 2" xfId="2996" xr:uid="{00000000-0005-0000-0000-0000B9060000}"/>
    <cellStyle name="Comma 3 7 2 2 2" xfId="3825" xr:uid="{8BF90FDB-A9EC-4476-8D38-CE2CB474E3F6}"/>
    <cellStyle name="Comma 3 7 2 2 2 2" xfId="5790" xr:uid="{ED67E1DA-D619-4078-8231-88094186CF43}"/>
    <cellStyle name="Comma 3 7 2 2 3" xfId="5596" xr:uid="{45DCDE31-7DC8-4E42-97DC-58AF61CE84F3}"/>
    <cellStyle name="Comma 3 7 2 3" xfId="3874" xr:uid="{46A0711C-355C-4D55-9D4E-CC9138CCCD24}"/>
    <cellStyle name="Comma 3 7 2 3 2" xfId="5839" xr:uid="{1585FEA2-5A55-4D6D-99A8-258A2F9462CE}"/>
    <cellStyle name="Comma 3 7 2 4" xfId="4596" xr:uid="{AC629440-3E49-4FC7-9A05-2433AF5FDA0A}"/>
    <cellStyle name="Comma 3 7 2 4 2" xfId="5973" xr:uid="{618AA49A-7B9D-44FF-A5D6-A3EBB2AC201A}"/>
    <cellStyle name="Comma 3 7 2 5" xfId="3692" xr:uid="{64A5A72C-8F08-409A-8B7F-A9088B79060E}"/>
    <cellStyle name="Comma 3 7 2 5 2" xfId="5744" xr:uid="{3E690F96-7141-4338-AB27-A5EB0513D963}"/>
    <cellStyle name="Comma 3 7 2 6" xfId="5511" xr:uid="{066748DA-8E5A-4129-948C-A766EC136989}"/>
    <cellStyle name="Comma 3 7 3" xfId="3440" xr:uid="{00000000-0005-0000-0000-0000BA060000}"/>
    <cellStyle name="Comma 3 7 3 2" xfId="5275" xr:uid="{7A1EE705-675C-4750-BAEC-AF8CD3118BD6}"/>
    <cellStyle name="Comma 3 7 3 2 2" xfId="6029" xr:uid="{907D75BA-31F3-44F3-86BB-22DD6A47F576}"/>
    <cellStyle name="Comma 3 7 3 3" xfId="3802" xr:uid="{6706451E-B1E0-4A15-B423-F5CBBB738F86}"/>
    <cellStyle name="Comma 3 7 3 3 2" xfId="5767" xr:uid="{3F0E36A6-7003-4024-BE56-3946154F8480}"/>
    <cellStyle name="Comma 3 7 3 4" xfId="5636" xr:uid="{32A5C851-120F-42A4-8CA4-854DB1744AE6}"/>
    <cellStyle name="Comma 3 7 4" xfId="2940" xr:uid="{00000000-0005-0000-0000-0000B8060000}"/>
    <cellStyle name="Comma 3 7 4 2" xfId="5325" xr:uid="{641887FB-BB70-4F3C-8855-8EB64E5C6F99}"/>
    <cellStyle name="Comma 3 7 4 2 2" xfId="6077" xr:uid="{EBEEB74E-A880-43D6-8BE4-0A004927FBC0}"/>
    <cellStyle name="Comma 3 7 4 3" xfId="3851" xr:uid="{0A03F09B-B9E9-4024-BB07-9AD5270195EA}"/>
    <cellStyle name="Comma 3 7 4 3 2" xfId="5816" xr:uid="{70323C6E-5560-4318-BA8C-289DD16CB58B}"/>
    <cellStyle name="Comma 3 7 4 4" xfId="5556" xr:uid="{4FB01322-C719-45BB-8463-E44AF8A52B52}"/>
    <cellStyle name="Comma 3 7 5" xfId="3920" xr:uid="{41C1A045-268D-4727-B819-0009C1CCDACD}"/>
    <cellStyle name="Comma 3 7 5 2" xfId="5367" xr:uid="{C9274A4D-9522-4FCD-AA11-EEB802E440DB}"/>
    <cellStyle name="Comma 3 7 5 2 2" xfId="6119" xr:uid="{D5D888CE-19F5-4292-847E-289B41BE8123}"/>
    <cellStyle name="Comma 3 7 5 3" xfId="5884" xr:uid="{D23ED632-DB2F-4DE2-A237-D24AB1542288}"/>
    <cellStyle name="Comma 3 7 6" xfId="4530" xr:uid="{6D66A6DE-889F-4D3C-A0C9-B0AC1004488E}"/>
    <cellStyle name="Comma 3 7 6 2" xfId="5941" xr:uid="{331430F9-08B8-4505-9F15-27D38B1BF1E5}"/>
    <cellStyle name="Comma 3 7 7" xfId="4296" xr:uid="{7472FE1F-9F29-45B5-84C7-5F2E94303D18}"/>
    <cellStyle name="Comma 3 7 8" xfId="5411" xr:uid="{96DBAA1D-9767-4272-8054-4649B084D170}"/>
    <cellStyle name="Comma 3 7 8 2" xfId="6163" xr:uid="{09329C0E-8B43-47D5-AAE2-3730F1D9E52B}"/>
    <cellStyle name="Comma 3 7 9" xfId="3577" xr:uid="{B489BE19-93E4-40A8-A0BA-E42C2D7F49C1}"/>
    <cellStyle name="Comma 3 7 9 2" xfId="5721" xr:uid="{730D406B-93A0-441B-8E67-AD15093FCC0D}"/>
    <cellStyle name="Comma 3 8" xfId="2878" xr:uid="{00000000-0005-0000-0000-000061060000}"/>
    <cellStyle name="Comma 3 8 2" xfId="2965" xr:uid="{00000000-0005-0000-0000-0000BB060000}"/>
    <cellStyle name="Comma 3 8 2 2" xfId="4581" xr:uid="{C81FFC6F-D706-4262-8C81-934EC5F6B08A}"/>
    <cellStyle name="Comma 3 8 2 2 2" xfId="5961" xr:uid="{B5298C36-3994-4F24-BF32-4C6713C9DA8A}"/>
    <cellStyle name="Comma 3 8 2 3" xfId="3818" xr:uid="{B54419AE-57BC-4859-8820-7CE88804C9FC}"/>
    <cellStyle name="Comma 3 8 2 3 2" xfId="5783" xr:uid="{7D453C27-2E28-404B-9E8E-E1A8EDE61740}"/>
    <cellStyle name="Comma 3 8 2 4" xfId="5579" xr:uid="{9B7F8100-0F3B-4886-A16A-C3EB29AD1651}"/>
    <cellStyle name="Comma 3 8 3" xfId="3867" xr:uid="{CE25A878-7983-4BC3-9FB1-FBA90EBDFA25}"/>
    <cellStyle name="Comma 3 8 3 2" xfId="5832" xr:uid="{B1654436-B7FE-41FF-900C-D32F0BC396F2}"/>
    <cellStyle name="Comma 3 8 4" xfId="4295" xr:uid="{A2344818-095A-4E75-B825-5156AFCAF386}"/>
    <cellStyle name="Comma 3 8 5" xfId="3672" xr:uid="{826064A9-28B5-46D4-9FDC-893EC541F301}"/>
    <cellStyle name="Comma 3 8 5 2" xfId="5737" xr:uid="{2083C31C-B971-4199-8621-FAF7668848CC}"/>
    <cellStyle name="Comma 3 8 6" xfId="5494" xr:uid="{A5288C9A-E3A7-4B01-9DF2-CF827BB7EB75}"/>
    <cellStyle name="Comma 3 9" xfId="3033" xr:uid="{00000000-0005-0000-0000-0000BC060000}"/>
    <cellStyle name="Comma 3 9 2" xfId="4617" xr:uid="{E698A11C-0233-4894-9FE1-B618CE0B517B}"/>
    <cellStyle name="Comma 3 9 2 2" xfId="5980" xr:uid="{66631111-1D47-4C53-9A81-ECCFB0A47F7F}"/>
    <cellStyle name="Comma 3 9 3" xfId="4299" xr:uid="{DD5858BD-AF97-4D74-9177-9051B1011431}"/>
    <cellStyle name="Comma 3 9 3 2" xfId="5921" xr:uid="{45E4F940-C03D-4B6A-9186-4A5ADCF34142}"/>
    <cellStyle name="Comma 3 9 4" xfId="3795" xr:uid="{BE548EA6-3A26-48F3-801C-8FA3CBFE2733}"/>
    <cellStyle name="Comma 3 9 4 2" xfId="5760" xr:uid="{34EC2FBE-9147-4FC0-9C27-A4DC6B338BD6}"/>
    <cellStyle name="Comma 3 9 5" xfId="5619" xr:uid="{B4634C4F-10DD-4A69-9ED9-1C941E25F867}"/>
    <cellStyle name="Comma 30" xfId="1727" xr:uid="{00000000-0005-0000-0000-00006C060000}"/>
    <cellStyle name="Comma 30 2" xfId="1728" xr:uid="{00000000-0005-0000-0000-00006D060000}"/>
    <cellStyle name="Comma 30 2 2" xfId="3637" xr:uid="{47FD1D26-F7BE-4699-875E-21D64D04F462}"/>
    <cellStyle name="Comma 30 3" xfId="3636" xr:uid="{B73D92DA-49BB-466B-90B0-63414DE3125D}"/>
    <cellStyle name="Comma 30 3 2" xfId="4381" xr:uid="{6C7B104B-B0B4-4841-BDFD-1A1B993F5E8F}"/>
    <cellStyle name="Comma 30 4" xfId="4355" xr:uid="{AF3FEC71-B0B6-4F7F-8F63-228F8D374057}"/>
    <cellStyle name="Comma 30 4 2" xfId="4336" xr:uid="{4A967563-A911-4680-B964-582554B107FB}"/>
    <cellStyle name="Comma 30 5" xfId="4494" xr:uid="{E60174E5-DE9F-49C4-98FC-3009ABA2DDB9}"/>
    <cellStyle name="Comma 30 5 2" xfId="4410" xr:uid="{EE55F325-B5C9-40A4-8D0B-FF6C690E16C0}"/>
    <cellStyle name="Comma 30 6" xfId="3985" xr:uid="{9A3B614E-D294-4A9D-A721-1840437D31B2}"/>
    <cellStyle name="Comma 30 6 2" xfId="4452" xr:uid="{23772B95-7D3F-43BF-A65B-C0022D968209}"/>
    <cellStyle name="Comma 30 7" xfId="4342" xr:uid="{A3B7439B-32D7-4015-B2D3-1989D80322A2}"/>
    <cellStyle name="Comma 35" xfId="4503" xr:uid="{269A9FB2-64D0-4F11-A447-D84DA61363ED}"/>
    <cellStyle name="Comma 35 2" xfId="4361" xr:uid="{897BD3A5-66A8-44B3-88D7-386CBB3DD9C2}"/>
    <cellStyle name="Comma 35 3" xfId="4191" xr:uid="{B51DCE17-2FD1-4593-BA00-2D6C2846A005}"/>
    <cellStyle name="Comma 36" xfId="1729" xr:uid="{00000000-0005-0000-0000-00006E060000}"/>
    <cellStyle name="Comma 36 2" xfId="1730" xr:uid="{00000000-0005-0000-0000-00006F060000}"/>
    <cellStyle name="Comma 36 2 2" xfId="3639" xr:uid="{84956D1A-E08A-4FB6-8627-EEF78EA5E6A9}"/>
    <cellStyle name="Comma 36 3" xfId="3638" xr:uid="{134180FC-7300-45E2-89DC-5EF40391C639}"/>
    <cellStyle name="Comma 37" xfId="4294" xr:uid="{3DCBF779-249C-4A1D-AF5B-EEC45A7B1633}"/>
    <cellStyle name="Comma 39" xfId="4500" xr:uid="{6A50B07A-104F-4D1F-B31A-02A9264CDBFD}"/>
    <cellStyle name="Comma 39 2" xfId="1731" xr:uid="{00000000-0005-0000-0000-000070060000}"/>
    <cellStyle name="Comma 39 2 2" xfId="3746" xr:uid="{63CBFDB8-7DB2-4FE8-9300-66750AC52E07}"/>
    <cellStyle name="Comma 39 3" xfId="4190" xr:uid="{CA41090D-7392-4BA8-8F17-2ECAF6DEA584}"/>
    <cellStyle name="Comma 4" xfId="135" xr:uid="{00000000-0005-0000-0000-000071060000}"/>
    <cellStyle name="Comma 4 2" xfId="136" xr:uid="{00000000-0005-0000-0000-000072060000}"/>
    <cellStyle name="Comma 4 2 2" xfId="4138" xr:uid="{0A839E87-D5E9-4366-A956-EC88BB4786CE}"/>
    <cellStyle name="Comma 4 2 3" xfId="4292" xr:uid="{D1EE82B4-8DEC-49D6-A358-3D34828CCD2E}"/>
    <cellStyle name="Comma 4 3" xfId="1732" xr:uid="{00000000-0005-0000-0000-000073060000}"/>
    <cellStyle name="Comma 4 3 2" xfId="3747" xr:uid="{07C138C6-1659-404A-B4FD-19B357065D2A}"/>
    <cellStyle name="Comma 4 4" xfId="3673" xr:uid="{C53F3127-7A40-4DF8-965D-44474CAC77F1}"/>
    <cellStyle name="Comma 4 5" xfId="4291" xr:uid="{C9C4F189-B5EE-4C0E-8130-489AAEB8DCE8}"/>
    <cellStyle name="Comma 4 6" xfId="4404" xr:uid="{99499236-F81C-4264-9122-C72E3287DDC9}"/>
    <cellStyle name="Comma 4 7" xfId="4290" xr:uid="{EBF162F4-A095-4569-908F-3018C2F94374}"/>
    <cellStyle name="Comma 4 8" xfId="3988" xr:uid="{2A17D0A1-CF76-404F-95C7-FD964872FCDF}"/>
    <cellStyle name="Comma 4 9" xfId="4293" xr:uid="{70B8A932-E5F4-475A-A4D2-4AD46158C3EB}"/>
    <cellStyle name="Comma 44" xfId="4189" xr:uid="{F2DB7FC3-2E0B-4D60-AF73-BBFF80DCEC51}"/>
    <cellStyle name="Comma 45" xfId="4188" xr:uid="{8DDCDE23-1A99-414A-8FE5-F3B003CACE3B}"/>
    <cellStyle name="Comma 45 2" xfId="5917" xr:uid="{3A836B64-EC76-475D-8A23-6ABA7FACD5B7}"/>
    <cellStyle name="Comma 46" xfId="3972" xr:uid="{F91B2C57-3817-43BA-A6D9-AAF36135AB68}"/>
    <cellStyle name="Comma 49" xfId="4458" xr:uid="{338DDE4B-E5AC-44F4-8512-BB8C4A29A52C}"/>
    <cellStyle name="Comma 5" xfId="2861" xr:uid="{00000000-0005-0000-0000-000074060000}"/>
    <cellStyle name="Comma 5 10" xfId="5338" xr:uid="{E7E53C0C-9D70-44A6-BDC5-BD1F05B74551}"/>
    <cellStyle name="Comma 5 10 2" xfId="6090" xr:uid="{CAB8E98C-8E67-4662-A00C-191DAE3F756B}"/>
    <cellStyle name="Comma 5 11" xfId="5378" xr:uid="{84CB93AE-E32B-42DB-BE21-CF6E53AE1DEB}"/>
    <cellStyle name="Comma 5 11 2" xfId="6130" xr:uid="{5EE7F822-3F7C-4D75-B1DA-7D5FF84264D4}"/>
    <cellStyle name="Comma 5 12" xfId="5424" xr:uid="{C1D08CC1-16F1-4296-A296-CE9D2ED5AC5A}"/>
    <cellStyle name="Comma 5 12 2" xfId="6176" xr:uid="{F06AFAB6-5D99-44BA-9523-EA126B74BB01}"/>
    <cellStyle name="Comma 5 13" xfId="3564" xr:uid="{D7624D55-959F-40E6-A187-A7CEB5D9DEAF}"/>
    <cellStyle name="Comma 5 14" xfId="3551" xr:uid="{A7FAE4DA-27FB-435F-B304-1F3EB58302CB}"/>
    <cellStyle name="Comma 5 14 2" xfId="5708" xr:uid="{5156863F-9FDD-4211-AF3F-4A5F4269D437}"/>
    <cellStyle name="Comma 5 15" xfId="5479" xr:uid="{FF51A98D-CAAE-417B-ADDF-F5297ECD6531}"/>
    <cellStyle name="Comma 5 2" xfId="2908" xr:uid="{00000000-0005-0000-0000-000074060000}"/>
    <cellStyle name="Comma 5 2 2" xfId="3009" xr:uid="{00000000-0005-0000-0000-0000C6060000}"/>
    <cellStyle name="Comma 5 2 2 2" xfId="5609" xr:uid="{4667AA55-BD94-47DD-962E-BBEDA291303A}"/>
    <cellStyle name="Comma 5 2 3" xfId="3670" xr:uid="{B8B1D195-B906-4B97-8D43-A3B3E31C1891}"/>
    <cellStyle name="Comma 5 2 4" xfId="5524" xr:uid="{4FA6833C-5DDD-4158-A0CE-B734F49F7775}"/>
    <cellStyle name="Comma 5 3" xfId="3453" xr:uid="{00000000-0005-0000-0000-0000C7060000}"/>
    <cellStyle name="Comma 5 3 2" xfId="4289" xr:uid="{24F9872A-49C2-4DC7-98EC-53522D1CCADE}"/>
    <cellStyle name="Comma 5 3 3" xfId="3933" xr:uid="{089D6BE2-FDB4-4099-B954-5005D9F12078}"/>
    <cellStyle name="Comma 5 3 3 2" xfId="5897" xr:uid="{6B202434-CEAC-4860-A3C6-22781A5E9A8C}"/>
    <cellStyle name="Comma 5 3 4" xfId="5649" xr:uid="{8317041F-1221-445B-BB32-5DFAFC8220D9}"/>
    <cellStyle name="Comma 5 4" xfId="2953" xr:uid="{00000000-0005-0000-0000-0000C5060000}"/>
    <cellStyle name="Comma 5 4 2" xfId="4403" xr:uid="{50CA7560-89AA-41FF-AA99-AE84F3ABD08F}"/>
    <cellStyle name="Comma 5 4 3" xfId="4543" xr:uid="{2213FC24-1E69-4A8E-9DED-0C703CE1DD01}"/>
    <cellStyle name="Comma 5 4 3 2" xfId="5954" xr:uid="{C602E487-7272-4283-BE13-16DF832D31AE}"/>
    <cellStyle name="Comma 5 4 4" xfId="5569" xr:uid="{F832F21B-F3E8-431B-8BC4-492A0AF44894}"/>
    <cellStyle name="Comma 5 5" xfId="4288" xr:uid="{6D1DF1A7-56D0-4C9B-900A-81C72D257B57}"/>
    <cellStyle name="Comma 5 6" xfId="4517" xr:uid="{91BE6D0E-7350-4171-8BA0-209F6138C4DA}"/>
    <cellStyle name="Comma 5 7" xfId="4287" xr:uid="{BC926BB9-5384-4A4C-B503-5A9B4A17FE6C}"/>
    <cellStyle name="Comma 5 8" xfId="4402" xr:uid="{53F338F9-4A36-45E5-A44A-D7BEA706E3ED}"/>
    <cellStyle name="Comma 5 9" xfId="5286" xr:uid="{30E73245-A43C-446B-92AD-F94870895E1C}"/>
    <cellStyle name="Comma 5 9 2" xfId="6040" xr:uid="{359D3385-3950-4C58-BB77-68DC693DC8A8}"/>
    <cellStyle name="Comma 50" xfId="4286" xr:uid="{594FAADC-E1DE-4A42-B9D6-DFC81B23132C}"/>
    <cellStyle name="Comma 51" xfId="4516" xr:uid="{AF02DEF3-7E1F-4A3F-B937-3496C211DF7B}"/>
    <cellStyle name="Comma 52" xfId="3971" xr:uid="{57261D54-EBB7-474E-8758-1C4BF9D283D0}"/>
    <cellStyle name="Comma 53" xfId="4401" xr:uid="{898061CD-4611-4E17-9617-EEE651ACBD4D}"/>
    <cellStyle name="Comma 54" xfId="4285" xr:uid="{BDB78B22-458A-4289-988D-53BF1FD2E7BB}"/>
    <cellStyle name="Comma 55" xfId="4515" xr:uid="{A97652FD-1A15-457C-ACE7-BEF198B0B221}"/>
    <cellStyle name="Comma 56" xfId="4284" xr:uid="{DCC026EA-08B9-4BB5-AB3D-C030D74FD0DA}"/>
    <cellStyle name="Comma 57" xfId="4363" xr:uid="{F4C9600E-CFB5-49F0-AF25-01BCADEE40CB}"/>
    <cellStyle name="Comma 58" xfId="4400" xr:uid="{0EB103C0-D905-4568-AE45-E7E0F266909C}"/>
    <cellStyle name="Comma 58 2" xfId="1733" xr:uid="{00000000-0005-0000-0000-000075060000}"/>
    <cellStyle name="Comma 58 2 2" xfId="3640" xr:uid="{CD06FD72-BE87-4B46-9487-A95AEE32DEA9}"/>
    <cellStyle name="Comma 6" xfId="3474" xr:uid="{00000000-0005-0000-0000-0000C9060000}"/>
    <cellStyle name="Comma 6 2" xfId="3661" xr:uid="{0582B253-8786-4FAA-87B5-E4E6768DDDA3}"/>
    <cellStyle name="Comma 6 2 2" xfId="3815" xr:uid="{0F2CCBE0-E082-4E44-B639-494677365ECC}"/>
    <cellStyle name="Comma 6 2 2 2" xfId="5780" xr:uid="{890799DE-FA36-4553-9F32-8052E83BF916}"/>
    <cellStyle name="Comma 6 2 3" xfId="3864" xr:uid="{D7C6CA75-FB52-4D92-955B-6787A97E1B20}"/>
    <cellStyle name="Comma 6 2 3 2" xfId="5829" xr:uid="{B4121A80-B389-4718-883B-4C49CD0B9CF8}"/>
    <cellStyle name="Comma 6 2 4" xfId="5734" xr:uid="{AA4D9622-77AF-44BC-B6FC-CD2C284227F6}"/>
    <cellStyle name="Comma 6 3" xfId="3792" xr:uid="{E0F021FE-E98D-415A-A84F-62DD614FCD4D}"/>
    <cellStyle name="Comma 6 3 2" xfId="5757" xr:uid="{663B4328-5D37-43B7-ABE9-E492EFF5908B}"/>
    <cellStyle name="Comma 6 4" xfId="3841" xr:uid="{E7B24BCF-9E55-4568-88B5-9584BF1188B1}"/>
    <cellStyle name="Comma 6 4 2" xfId="5806" xr:uid="{0EC4937E-BA3D-448E-A32A-ED67379A3CD4}"/>
    <cellStyle name="Comma 6 5" xfId="4283" xr:uid="{C1EFA390-F3DC-475C-99E7-C5132E8B6539}"/>
    <cellStyle name="Comma 6 5 2" xfId="5920" xr:uid="{72F53FBD-A32F-49C4-80B6-2888B6F09667}"/>
    <cellStyle name="Comma 6 6" xfId="3555" xr:uid="{5124B9E5-E1DC-4E58-8E00-C2383A294B86}"/>
    <cellStyle name="Comma 6 6 2" xfId="5711" xr:uid="{64600FF3-3D01-4839-851C-3CB2E89B0174}"/>
    <cellStyle name="Comma 6 7" xfId="5652" xr:uid="{4B6740F6-9AA4-42FC-A727-00EA4293838B}"/>
    <cellStyle name="Comma 66" xfId="4514" xr:uid="{2BFF13B2-253C-4FF5-AA6E-8BEA12956648}"/>
    <cellStyle name="Comma 7" xfId="5430" xr:uid="{62EEAFA3-A804-4E92-84FA-DA7369E17CCF}"/>
    <cellStyle name="Comma0" xfId="137" xr:uid="{00000000-0005-0000-0000-000076060000}"/>
    <cellStyle name="Comma0 2" xfId="2533" xr:uid="{00000000-0005-0000-0000-000077060000}"/>
    <cellStyle name="Comma0 2 2" xfId="3783" xr:uid="{68A88B49-1434-4B97-A77E-51B56A87DD5A}"/>
    <cellStyle name="Comma0 3" xfId="2967" xr:uid="{00000000-0005-0000-0000-0000CC060000}"/>
    <cellStyle name="Comma0 3 2" xfId="3695" xr:uid="{C0ACCEA4-35DB-45FA-87BF-B66D8550CEBB}"/>
    <cellStyle name="Currency 12 2" xfId="4187" xr:uid="{C784DC93-0883-4A8C-8802-970E32D7ACE2}"/>
    <cellStyle name="Currency 16 2" xfId="4186" xr:uid="{3DC988D1-C146-49B9-BA83-5813369F7708}"/>
    <cellStyle name="Currency 18" xfId="1734" xr:uid="{00000000-0005-0000-0000-000078060000}"/>
    <cellStyle name="Currency 18 2" xfId="1735" xr:uid="{00000000-0005-0000-0000-000079060000}"/>
    <cellStyle name="Currency 18 2 2" xfId="3642" xr:uid="{1B13FC77-7AE5-4E1A-B20A-CC66FFAA3532}"/>
    <cellStyle name="Currency 18 3" xfId="3641" xr:uid="{A7EB563C-A6FF-49EF-B3BD-8609265FB9ED}"/>
    <cellStyle name="Currency 18 3 2" xfId="3979" xr:uid="{262D2A04-A7BD-461E-8A7F-168799A2A6ED}"/>
    <cellStyle name="Currency 18 4" xfId="4354" xr:uid="{005F0057-5CBD-4CFD-9873-18BF11DB80AA}"/>
    <cellStyle name="Currency 18 4 2" xfId="3977" xr:uid="{F1E0B98F-3E0B-4EAC-829B-A2AAD879C254}"/>
    <cellStyle name="Currency 18 5" xfId="4459" xr:uid="{9EBB3921-8E32-46D6-8809-C4138232C81C}"/>
    <cellStyle name="Currency 18 5 2" xfId="4323" xr:uid="{BE5054BC-8FD0-4BE8-B916-589B76AA698A}"/>
    <cellStyle name="Currency 18 6" xfId="4346" xr:uid="{54D91C45-589D-49E9-91F3-4B04FF905D3E}"/>
    <cellStyle name="Currency 18 6 2" xfId="4320" xr:uid="{EBAC57C8-3183-411F-A9EE-6765F1ACC7F9}"/>
    <cellStyle name="Currency 18 7" xfId="3992" xr:uid="{0912C912-2BEF-43EF-BA5E-350D64D853F6}"/>
    <cellStyle name="Currency 18 8" xfId="4041" xr:uid="{EEC081CC-7B90-4B6A-BFD7-F01C17F4C2F6}"/>
    <cellStyle name="Currency 19" xfId="1736" xr:uid="{00000000-0005-0000-0000-00007A060000}"/>
    <cellStyle name="Currency 19 2" xfId="1737" xr:uid="{00000000-0005-0000-0000-00007B060000}"/>
    <cellStyle name="Currency 19 2 2" xfId="3749" xr:uid="{64274C5A-8A68-4073-9827-C61921D8BCE3}"/>
    <cellStyle name="Currency 19 3" xfId="3601" xr:uid="{53710CB2-9EE1-4C4D-94F1-790377DB926A}"/>
    <cellStyle name="Currency 19 3 2" xfId="3748" xr:uid="{DC3B500F-BA70-4136-9A1E-68E4BD50B08D}"/>
    <cellStyle name="Currency 19 4" xfId="3643" xr:uid="{E29F3246-25C6-45A2-861A-B96380566A15}"/>
    <cellStyle name="Currency 19 4 2" xfId="4386" xr:uid="{653A3F7F-A177-4589-8421-460534467AFB}"/>
    <cellStyle name="Currency 19 5" xfId="4350" xr:uid="{B42C1511-99C6-45FE-A375-804833037C65}"/>
    <cellStyle name="Currency 19 5 2" xfId="4450" xr:uid="{7D51FA4E-4354-4EA5-9B73-6B11DE203801}"/>
    <cellStyle name="Currency 19 6" xfId="3993" xr:uid="{05AFB01B-A14C-4868-BD51-A2D77DE19024}"/>
    <cellStyle name="Currency 19 6 2" xfId="4405" xr:uid="{25F37D84-897B-4A4E-9162-E36227925B44}"/>
    <cellStyle name="Currency 19 7" xfId="4414" xr:uid="{9BCCB8B7-065D-43EC-BE6D-1FC9BA48C65B}"/>
    <cellStyle name="Currency 2" xfId="138" xr:uid="{00000000-0005-0000-0000-00007C060000}"/>
    <cellStyle name="Currency 2 2" xfId="139" xr:uid="{00000000-0005-0000-0000-00007D060000}"/>
    <cellStyle name="Currency 2 2 2" xfId="3696" xr:uid="{8EE12983-99E0-44D7-BDEF-C98E58D2B881}"/>
    <cellStyle name="Currency 2 3" xfId="140" xr:uid="{00000000-0005-0000-0000-00007E060000}"/>
    <cellStyle name="Currency 2 3 2" xfId="1739" xr:uid="{00000000-0005-0000-0000-00007F060000}"/>
    <cellStyle name="Currency 2 3 2 2" xfId="2977" xr:uid="{00000000-0005-0000-0000-0000D5060000}"/>
    <cellStyle name="Currency 2 3 2 2 2" xfId="3751" xr:uid="{03D39403-B408-42E0-9FC0-121B0914B8F6}"/>
    <cellStyle name="Currency 2 3 2 3" xfId="3602" xr:uid="{1611A0A1-5063-4166-87B0-2CEE8E91410F}"/>
    <cellStyle name="Currency 2 3 3" xfId="1738" xr:uid="{00000000-0005-0000-0000-000080060000}"/>
    <cellStyle name="Currency 2 3 3 2" xfId="3750" xr:uid="{CA953F40-1979-40A2-883D-4974DE218944}"/>
    <cellStyle name="Currency 2 3 4" xfId="2968" xr:uid="{00000000-0005-0000-0000-0000D7060000}"/>
    <cellStyle name="Currency 2 3 4 2" xfId="3697" xr:uid="{0EEDFB4A-CB2D-4CAA-863A-71FF847D239A}"/>
    <cellStyle name="Currency 2 4" xfId="1740" xr:uid="{00000000-0005-0000-0000-000081060000}"/>
    <cellStyle name="Currency 2 4 2" xfId="2978" xr:uid="{00000000-0005-0000-0000-0000D9060000}"/>
    <cellStyle name="Currency 2 4 2 2" xfId="3752" xr:uid="{B9D5B7C2-5B83-4E01-BA2F-9C7D36B79326}"/>
    <cellStyle name="Currency 2 4 3" xfId="3603" xr:uid="{2909417C-35B2-4C41-B1CA-51BF4F1F2D4B}"/>
    <cellStyle name="Currency 2 5" xfId="3664" xr:uid="{A08DCABB-BB67-44CD-A04E-2850368F8E83}"/>
    <cellStyle name="Currency 2 5 2" xfId="3952" xr:uid="{511D175B-4466-4760-A932-3BF234518AC4}"/>
    <cellStyle name="Currency 2 6" xfId="4457" xr:uid="{CF1B1B92-D285-4F9E-94C3-17126025054E}"/>
    <cellStyle name="Currency 2 7" xfId="4277" xr:uid="{8A6701DA-7771-4DC8-987A-671F0E9779D0}"/>
    <cellStyle name="Currency 2 8" xfId="4056" xr:uid="{1A068DCF-0CD9-4BA2-B5FA-5064D73C9E0A}"/>
    <cellStyle name="Currency 2 9" xfId="4282" xr:uid="{9E4479C7-B0CA-42D1-85AD-654B8FD7633F}"/>
    <cellStyle name="Currency 20" xfId="1741" xr:uid="{00000000-0005-0000-0000-000082060000}"/>
    <cellStyle name="Currency 20 2" xfId="1742" xr:uid="{00000000-0005-0000-0000-000083060000}"/>
    <cellStyle name="Currency 20 2 2" xfId="3645" xr:uid="{2BDB2753-D75F-40D3-8961-5F967DA9BEAF}"/>
    <cellStyle name="Currency 20 3" xfId="3644" xr:uid="{3477B8FE-0475-4949-BF35-C2922397F13C}"/>
    <cellStyle name="Currency 20 3 2" xfId="4339" xr:uid="{F718F258-5534-4F99-8147-6D4C62EFEA0D}"/>
    <cellStyle name="Currency 20 4" xfId="4353" xr:uid="{B7A3EDAE-9E98-4EB2-A49C-A5FAA1C6104D}"/>
    <cellStyle name="Currency 20 4 2" xfId="4335" xr:uid="{BC60C9AC-93A3-4EC8-BDBF-3D67CFB8055C}"/>
    <cellStyle name="Currency 20 5" xfId="4417" xr:uid="{082B7991-6EF5-47DB-931B-FCB3A9A17AC8}"/>
    <cellStyle name="Currency 20 5 2" xfId="4327" xr:uid="{0E044143-0E80-485E-9AE5-C98E1A1C17C6}"/>
    <cellStyle name="Currency 20 6" xfId="4519" xr:uid="{5D8702C8-DECB-43BE-AA87-35FF308723B3}"/>
    <cellStyle name="Currency 20 6 2" xfId="4319" xr:uid="{176C2B63-3882-4CCF-A053-AC45ABEA73DE}"/>
    <cellStyle name="Currency 20 7" xfId="4380" xr:uid="{E0A5E146-D8BF-4B83-9E06-A258BA1ECE1D}"/>
    <cellStyle name="Currency 20 8" xfId="4185" xr:uid="{6CA5303C-AE9B-4C8E-AF15-BA6C9C1480E7}"/>
    <cellStyle name="Currency 21" xfId="1743" xr:uid="{00000000-0005-0000-0000-000084060000}"/>
    <cellStyle name="Currency 21 2" xfId="1744" xr:uid="{00000000-0005-0000-0000-000085060000}"/>
    <cellStyle name="Currency 21 2 2" xfId="3754" xr:uid="{D4ACDA44-2D31-4683-A6A6-CA63C0D31F74}"/>
    <cellStyle name="Currency 21 3" xfId="3604" xr:uid="{397CD334-B11D-457B-B660-2872BB1CC80B}"/>
    <cellStyle name="Currency 21 3 2" xfId="3753" xr:uid="{2DE1D41F-3DF8-4467-B501-31AD0AEE3DB6}"/>
    <cellStyle name="Currency 21 4" xfId="3646" xr:uid="{A52ED1C7-A91F-4B02-9788-FC2893AE673D}"/>
    <cellStyle name="Currency 21 4 2" xfId="4362" xr:uid="{A0A0A3BD-10C0-4A2D-A15D-BC0AFE8CC189}"/>
    <cellStyle name="Currency 21 5" xfId="4493" xr:uid="{B5390C0A-0B17-4A03-875E-7A8C7E85D136}"/>
    <cellStyle name="Currency 21 5 2" xfId="4409" xr:uid="{E29D5EEF-CF9A-4A24-931D-A4F5720EF1CF}"/>
    <cellStyle name="Currency 21 6" xfId="4370" xr:uid="{03E616D0-B415-4944-92FA-AE29B40B79B1}"/>
    <cellStyle name="Currency 21 6 2" xfId="3989" xr:uid="{D74458E5-061E-4C8F-9874-CBF54B46CBCA}"/>
    <cellStyle name="Currency 21 7" xfId="3980" xr:uid="{89EB6BE2-205C-4C34-868B-0410A11D82E2}"/>
    <cellStyle name="Currency 22" xfId="1745" xr:uid="{00000000-0005-0000-0000-000086060000}"/>
    <cellStyle name="Currency 22 2" xfId="1746" xr:uid="{00000000-0005-0000-0000-000087060000}"/>
    <cellStyle name="Currency 22 2 2" xfId="3648" xr:uid="{F6EC6F13-A936-45E9-A93B-4ACA7E89F78A}"/>
    <cellStyle name="Currency 22 3" xfId="3647" xr:uid="{CBC88949-1981-4181-ABD5-85A6BA8EEC8E}"/>
    <cellStyle name="Currency 22 3 2" xfId="4463" xr:uid="{B26C9593-5BC1-40C3-B073-C454CA0F0ABA}"/>
    <cellStyle name="Currency 22 4" xfId="4352" xr:uid="{036FCF53-94F5-4FBF-BCF8-87F8304A755A}"/>
    <cellStyle name="Currency 22 4 2" xfId="4334" xr:uid="{3D907A23-F45D-445E-A26C-A5D31E18F1D7}"/>
    <cellStyle name="Currency 22 5" xfId="4460" xr:uid="{18AE7BB5-3220-48B2-BF07-BA68D433F501}"/>
    <cellStyle name="Currency 22 5 2" xfId="4326" xr:uid="{D41E08C2-C90F-49CD-94F7-3CA0C402BE48}"/>
    <cellStyle name="Currency 22 6" xfId="4489" xr:uid="{7C7BDB79-D2C9-4216-A4B8-1FE9E05879AC}"/>
    <cellStyle name="Currency 22 6 2" xfId="4318" xr:uid="{28F9A244-883B-4204-BEA5-6B8C8A7EC938}"/>
    <cellStyle name="Currency 22 7" xfId="4376" xr:uid="{FBDA5094-72D1-4669-83DA-67698EBF5559}"/>
    <cellStyle name="Currency 23" xfId="1747" xr:uid="{00000000-0005-0000-0000-000088060000}"/>
    <cellStyle name="Currency 23 2" xfId="1748" xr:uid="{00000000-0005-0000-0000-000089060000}"/>
    <cellStyle name="Currency 23 2 2" xfId="3756" xr:uid="{94CD16AB-93BF-4C04-82F7-5697C48E5943}"/>
    <cellStyle name="Currency 23 3" xfId="3605" xr:uid="{A9A7D9A2-6E9B-4420-A138-94A81731CDA9}"/>
    <cellStyle name="Currency 23 3 2" xfId="3755" xr:uid="{56EC92D8-7744-4A1C-A793-AD1DCBBA9BF6}"/>
    <cellStyle name="Currency 23 4" xfId="3649" xr:uid="{8CCE27F9-996F-4838-8BDE-79765456A217}"/>
    <cellStyle name="Currency 23 4 2" xfId="4062" xr:uid="{42952270-3FB5-4C09-9BCD-84D94E2C605B}"/>
    <cellStyle name="Currency 23 5" xfId="4349" xr:uid="{35E1C497-87F5-4D64-92E4-62C386F930C1}"/>
    <cellStyle name="Currency 23 5 2" xfId="4451" xr:uid="{2BE259EA-2319-4004-99B9-413638135DAB}"/>
    <cellStyle name="Currency 23 6" xfId="4371" xr:uid="{12A82233-B988-4DDD-92A1-D6F79ABFE6B2}"/>
    <cellStyle name="Currency 23 6 2" xfId="4518" xr:uid="{D9DA4904-80D4-4601-A94C-D0333D72635B}"/>
    <cellStyle name="Currency 23 7" xfId="3981" xr:uid="{D764C67E-E161-40C3-9342-0D6BAC5C78B0}"/>
    <cellStyle name="Currency 24" xfId="1749" xr:uid="{00000000-0005-0000-0000-00008A060000}"/>
    <cellStyle name="Currency 24 2" xfId="1750" xr:uid="{00000000-0005-0000-0000-00008B060000}"/>
    <cellStyle name="Currency 24 2 2" xfId="3758" xr:uid="{2D3256A5-D09E-4DB3-8069-7E256D20F099}"/>
    <cellStyle name="Currency 24 3" xfId="3606" xr:uid="{06EA0439-C331-4F75-962F-1356DC49009A}"/>
    <cellStyle name="Currency 24 3 2" xfId="3757" xr:uid="{85EEBBBB-48C2-479B-9F62-6620D34AFFA3}"/>
    <cellStyle name="Currency 24 4" xfId="3650" xr:uid="{005C38D4-74CD-47A0-A285-12C6E5682727}"/>
    <cellStyle name="Currency 24 4 2" xfId="4465" xr:uid="{9DA32CBD-1A10-4BEE-B4A2-9A6AF064321D}"/>
    <cellStyle name="Currency 24 5" xfId="4416" xr:uid="{068E526A-F6B3-4FC7-BDAA-586418C04AB5}"/>
    <cellStyle name="Currency 24 5 2" xfId="4325" xr:uid="{16D2885D-8F27-44DC-ADCE-D20BD4608368}"/>
    <cellStyle name="Currency 24 6" xfId="4345" xr:uid="{35ECC1C2-D566-4CB2-ACAB-49C4E51A79F7}"/>
    <cellStyle name="Currency 24 6 2" xfId="4317" xr:uid="{D1752408-05F9-4CD5-8169-88CCC5570726}"/>
    <cellStyle name="Currency 24 7" xfId="4377" xr:uid="{CF676631-D476-47FF-802E-E81D290FFEBC}"/>
    <cellStyle name="Currency 25 2" xfId="4184" xr:uid="{7B7C8166-5202-4E15-8FA4-CE4CAD47835D}"/>
    <cellStyle name="Currency 26 2" xfId="4183" xr:uid="{3A61EF28-B791-481A-B771-58B017D5ACB4}"/>
    <cellStyle name="Currency 27" xfId="1751" xr:uid="{00000000-0005-0000-0000-00008C060000}"/>
    <cellStyle name="Currency 27 2" xfId="1752" xr:uid="{00000000-0005-0000-0000-00008D060000}"/>
    <cellStyle name="Currency 27 2 2" xfId="3760" xr:uid="{80D2A55B-6FEA-44C1-9FC9-5EDA91E9D060}"/>
    <cellStyle name="Currency 27 3" xfId="3607" xr:uid="{73B3EA77-759F-40C2-9C61-2099D6F5FB16}"/>
    <cellStyle name="Currency 27 3 2" xfId="3759" xr:uid="{AEA409DC-D0B5-4E12-9845-8A020C3277DF}"/>
    <cellStyle name="Currency 27 4" xfId="3651" xr:uid="{4EB0C39B-F394-4B46-9138-E5FEA42F7926}"/>
    <cellStyle name="Currency 27 4 2" xfId="4333" xr:uid="{E0BF4B36-0938-420B-8ABD-1409CE3166BB}"/>
    <cellStyle name="Currency 27 5" xfId="4492" xr:uid="{E0699DD2-0582-4F5A-99C7-527DEE9412B1}"/>
    <cellStyle name="Currency 27 5 2" xfId="4408" xr:uid="{1C11F541-36CB-4C4F-85B0-411BB1CC97A0}"/>
    <cellStyle name="Currency 27 6" xfId="4372" xr:uid="{738AF5CD-B14F-49BB-992A-F8646EB3A11D}"/>
    <cellStyle name="Currency 27 6 2" xfId="4060" xr:uid="{6BE14638-0528-4158-89A2-E2ED88336643}"/>
    <cellStyle name="Currency 27 7" xfId="4544" xr:uid="{3BD41026-12DD-4668-A991-8636C063237E}"/>
    <cellStyle name="Currency 28" xfId="1753" xr:uid="{00000000-0005-0000-0000-00008E060000}"/>
    <cellStyle name="Currency 28 2" xfId="1754" xr:uid="{00000000-0005-0000-0000-00008F060000}"/>
    <cellStyle name="Currency 28 2 2" xfId="3762" xr:uid="{369F8703-06A9-4E86-8A61-FCA5354F2BA1}"/>
    <cellStyle name="Currency 28 3" xfId="3608" xr:uid="{7CF2FC6E-216A-40C1-93D3-3BFAEEDC3EF2}"/>
    <cellStyle name="Currency 28 3 2" xfId="3761" xr:uid="{BB3CEFCC-3128-4F40-8FAB-5121F2FA495C}"/>
    <cellStyle name="Currency 28 4" xfId="3652" xr:uid="{ED1F1B07-5914-4573-82E4-59BC2F5CA261}"/>
    <cellStyle name="Currency 28 4 2" xfId="4412" xr:uid="{208526F2-4CAE-4384-B7C4-AC63B23F99C1}"/>
    <cellStyle name="Currency 28 5" xfId="4461" xr:uid="{4C549EA0-75E5-4A4E-B388-325CBB91EF08}"/>
    <cellStyle name="Currency 28 5 2" xfId="4324" xr:uid="{29EEF3A8-4537-4EF4-BB05-0251B39D5471}"/>
    <cellStyle name="Currency 28 6" xfId="4488" xr:uid="{1BD34A0E-9D1B-4903-BFFD-A5E741B84FDB}"/>
    <cellStyle name="Currency 28 6 2" xfId="4367" xr:uid="{5CAA05BF-8E89-4D4A-BEBD-F613280AF6D5}"/>
    <cellStyle name="Currency 28 7" xfId="4378" xr:uid="{079BCA28-57B0-45DE-9596-34B0A5A2ECC9}"/>
    <cellStyle name="Currency 29 2" xfId="4182" xr:uid="{44AB5A03-8661-42E8-91E0-DE445EC3EA8E}"/>
    <cellStyle name="Currency 3" xfId="141" xr:uid="{00000000-0005-0000-0000-000090060000}"/>
    <cellStyle name="Currency 3 10" xfId="3556" xr:uid="{2F7348A2-E387-421C-97CC-7827BDEE7737}"/>
    <cellStyle name="Currency 3 10 2" xfId="5712" xr:uid="{794348D6-6D54-476A-8A36-0E7E98A3A9E2}"/>
    <cellStyle name="Currency 3 2" xfId="1755" xr:uid="{00000000-0005-0000-0000-000091060000}"/>
    <cellStyle name="Currency 3 2 2" xfId="3763" xr:uid="{875A4DF7-C158-46D0-89B5-56387ADE4366}"/>
    <cellStyle name="Currency 3 3" xfId="3578" xr:uid="{6BAE1CA1-CB0E-423E-9F98-C07FD5F5B04D}"/>
    <cellStyle name="Currency 3 3 2" xfId="3698" xr:uid="{B01D2998-6973-47D9-964D-0972B3E0AD1F}"/>
    <cellStyle name="Currency 3 4" xfId="3662" xr:uid="{7E79D42F-E54A-4987-835C-CCC881910EC1}"/>
    <cellStyle name="Currency 3 4 2" xfId="3816" xr:uid="{9CCF9369-993E-4BAB-B156-2945641E4A1C}"/>
    <cellStyle name="Currency 3 4 2 2" xfId="5781" xr:uid="{524A35A6-945E-41F2-B280-BB1E94753A31}"/>
    <cellStyle name="Currency 3 4 3" xfId="3865" xr:uid="{C9137628-1BEC-40B8-A09E-C7BE15CB3D18}"/>
    <cellStyle name="Currency 3 4 3 2" xfId="5830" xr:uid="{95094FDF-58A6-403C-9A88-EA77CC5BC037}"/>
    <cellStyle name="Currency 3 4 4" xfId="4399" xr:uid="{A9F918AD-2BA5-4CC1-A20D-0F0A07F31DBF}"/>
    <cellStyle name="Currency 3 4 5" xfId="5735" xr:uid="{1C1592DA-000E-4549-AE6F-3296E09D0B7A}"/>
    <cellStyle name="Currency 3 5" xfId="3793" xr:uid="{35A5B00C-6BFB-40F4-8C8D-07AD91E7E739}"/>
    <cellStyle name="Currency 3 5 2" xfId="4281" xr:uid="{B6EE1241-1B9E-4BD2-9065-9A80FC59E040}"/>
    <cellStyle name="Currency 3 5 3" xfId="5758" xr:uid="{F2085C65-B3A7-4621-A778-0519310C70F8}"/>
    <cellStyle name="Currency 3 6" xfId="3842" xr:uid="{0680C77F-E4AB-4548-9F3F-586E291100C0}"/>
    <cellStyle name="Currency 3 6 2" xfId="4513" xr:uid="{470D1261-91CE-471B-8448-97F90851C691}"/>
    <cellStyle name="Currency 3 6 3" xfId="5807" xr:uid="{A3E8FADE-B070-4345-8E55-F8A31E0D4F65}"/>
    <cellStyle name="Currency 3 7" xfId="4280" xr:uid="{6FC74937-362E-4F65-AB13-4F80E13B0793}"/>
    <cellStyle name="Currency 3 8" xfId="4398" xr:uid="{B69F4795-C7EB-4390-9C2D-35330ADCA58A}"/>
    <cellStyle name="Currency 3 9" xfId="4366" xr:uid="{2C95154B-C825-46D7-AEC0-D535824B664F}"/>
    <cellStyle name="Currency 3 9 2" xfId="5922" xr:uid="{416E238F-7E27-4A6C-98BA-91AAFDE1477B}"/>
    <cellStyle name="Currency 35" xfId="4357" xr:uid="{A7E301CB-8AF7-46F9-9BF9-66371585D466}"/>
    <cellStyle name="Currency 35 2" xfId="3978" xr:uid="{B83A7280-7510-4D3A-8F20-7033D42DBB1B}"/>
    <cellStyle name="Currency 35 3" xfId="4004" xr:uid="{91CD2F64-A5C7-449C-8B8E-535C6C8D1438}"/>
    <cellStyle name="Currency 36" xfId="1756" xr:uid="{00000000-0005-0000-0000-000092060000}"/>
    <cellStyle name="Currency 36 2" xfId="1757" xr:uid="{00000000-0005-0000-0000-000093060000}"/>
    <cellStyle name="Currency 36 2 2" xfId="3654" xr:uid="{E6C7EEF5-6319-4516-9BF0-B8C402947E29}"/>
    <cellStyle name="Currency 36 3" xfId="3653" xr:uid="{5A82A3B6-FAE4-48F6-8C65-88BA43FE4C7F}"/>
    <cellStyle name="Currency 37" xfId="4279" xr:uid="{AAE4FDF4-A527-4F31-86E2-5FC957409363}"/>
    <cellStyle name="Currency 39" xfId="4499" xr:uid="{7AF1779F-7C23-4597-A77F-416FC9550CDD}"/>
    <cellStyle name="Currency 39 2" xfId="1758" xr:uid="{00000000-0005-0000-0000-000094060000}"/>
    <cellStyle name="Currency 39 2 2" xfId="3764" xr:uid="{6C11F947-B48B-4ED6-BAC2-A79E233F5439}"/>
    <cellStyle name="Currency 39 3" xfId="4181" xr:uid="{368BB27B-0AD6-4A26-8A55-93A81D5EF793}"/>
    <cellStyle name="Currency 4" xfId="4512" xr:uid="{37316173-3BE2-48FB-89C3-C959050D5C30}"/>
    <cellStyle name="Currency 4 2" xfId="4437" xr:uid="{BC3CC26F-1C84-4753-809C-3B0F418C658A}"/>
    <cellStyle name="Currency 4 3" xfId="4436" xr:uid="{AB02ABCE-F414-4F77-8A5B-41A699CAA20F}"/>
    <cellStyle name="Currency 42" xfId="4278" xr:uid="{855496DA-3849-4D9F-9609-7B23DBCA5043}"/>
    <cellStyle name="Currency 43" xfId="4055" xr:uid="{43472CCE-581A-454D-B348-81196476C338}"/>
    <cellStyle name="Currency 43 2" xfId="1759" xr:uid="{00000000-0005-0000-0000-000095060000}"/>
    <cellStyle name="Currency 43 2 2" xfId="3655" xr:uid="{7E069871-7F23-4B1B-B60A-132C53491C23}"/>
    <cellStyle name="Currency 44" xfId="4365" xr:uid="{E4D8C5DA-B542-4F09-8C07-412D04D45864}"/>
    <cellStyle name="Currency 45" xfId="4435" xr:uid="{9D88FF05-2AAC-4135-BC27-7A60E34B5D09}"/>
    <cellStyle name="Currency 45 2" xfId="5927" xr:uid="{A7342A4D-4FF5-455E-9A25-7564F3964699}"/>
    <cellStyle name="Currency 5" xfId="4397" xr:uid="{C14C2C4E-6038-4A20-9302-4B71E5A26115}"/>
    <cellStyle name="Currency 5 2" xfId="5926" xr:uid="{F3527C59-F2C0-4A65-915F-309429D550AD}"/>
    <cellStyle name="Currency0" xfId="142" xr:uid="{00000000-0005-0000-0000-000096060000}"/>
    <cellStyle name="Currency0 2" xfId="2532" xr:uid="{00000000-0005-0000-0000-000097060000}"/>
    <cellStyle name="Currency0 2 2" xfId="3782" xr:uid="{3E0E5E31-7D92-46B6-B72B-B9D61B955479}"/>
    <cellStyle name="Currency0 3" xfId="2969" xr:uid="{00000000-0005-0000-0000-0000F0060000}"/>
    <cellStyle name="Currency0 3 2" xfId="3699" xr:uid="{99493018-8198-44F3-97A6-0E06CD6E9C71}"/>
    <cellStyle name="Date" xfId="143" xr:uid="{00000000-0005-0000-0000-000098060000}"/>
    <cellStyle name="Decimal 2 (e.g. 1,000.00)" xfId="144" xr:uid="{00000000-0005-0000-0000-000099060000}"/>
    <cellStyle name="Decimal 2 (e.g. 1,000.00) 2" xfId="5254" xr:uid="{8B5ECA01-D48E-4C6C-9227-CABF70634EF7}"/>
    <cellStyle name="Decimal 2 (e.g. 1,000.00) 3" xfId="3515" xr:uid="{AF1D99A3-C483-42FE-B9D4-0DF6267A6CB3}"/>
    <cellStyle name="Double Underline" xfId="145" xr:uid="{00000000-0005-0000-0000-00009A060000}"/>
    <cellStyle name="Double Underscore" xfId="146" xr:uid="{00000000-0005-0000-0000-00009B060000}"/>
    <cellStyle name="Double Underscore 2" xfId="5255" xr:uid="{D2F4070D-1CA3-4AA0-B267-4945D9D2416C}"/>
    <cellStyle name="Double Underscore 3" xfId="3516" xr:uid="{2D77A72C-7935-4A04-BEE9-1B25C09E4E71}"/>
    <cellStyle name="Emphasis 1" xfId="147" xr:uid="{00000000-0005-0000-0000-00009C060000}"/>
    <cellStyle name="Emphasis 2" xfId="148" xr:uid="{00000000-0005-0000-0000-00009D060000}"/>
    <cellStyle name="Emphasis 3" xfId="149" xr:uid="{00000000-0005-0000-0000-00009E060000}"/>
    <cellStyle name="Explanatory Text 10 2" xfId="1760" xr:uid="{00000000-0005-0000-0000-00009F060000}"/>
    <cellStyle name="Explanatory Text 10 3" xfId="1761" xr:uid="{00000000-0005-0000-0000-0000A0060000}"/>
    <cellStyle name="Explanatory Text 10 4" xfId="1762" xr:uid="{00000000-0005-0000-0000-0000A1060000}"/>
    <cellStyle name="Explanatory Text 10 5" xfId="1763" xr:uid="{00000000-0005-0000-0000-0000A2060000}"/>
    <cellStyle name="Explanatory Text 10 6" xfId="1764" xr:uid="{00000000-0005-0000-0000-0000A3060000}"/>
    <cellStyle name="Explanatory Text 11 2" xfId="1765" xr:uid="{00000000-0005-0000-0000-0000A4060000}"/>
    <cellStyle name="Explanatory Text 11 3" xfId="1766" xr:uid="{00000000-0005-0000-0000-0000A5060000}"/>
    <cellStyle name="Explanatory Text 11 4" xfId="1767" xr:uid="{00000000-0005-0000-0000-0000A6060000}"/>
    <cellStyle name="Explanatory Text 11 5" xfId="1768" xr:uid="{00000000-0005-0000-0000-0000A7060000}"/>
    <cellStyle name="Explanatory Text 11 6" xfId="1769" xr:uid="{00000000-0005-0000-0000-0000A8060000}"/>
    <cellStyle name="Explanatory Text 2" xfId="1770" xr:uid="{00000000-0005-0000-0000-0000A9060000}"/>
    <cellStyle name="Explanatory Text 2 2" xfId="1771" xr:uid="{00000000-0005-0000-0000-0000AA060000}"/>
    <cellStyle name="Explanatory Text 2 3" xfId="1772" xr:uid="{00000000-0005-0000-0000-0000AB060000}"/>
    <cellStyle name="Explanatory Text 2 4" xfId="1773" xr:uid="{00000000-0005-0000-0000-0000AC060000}"/>
    <cellStyle name="Explanatory Text 2 5" xfId="1774" xr:uid="{00000000-0005-0000-0000-0000AD060000}"/>
    <cellStyle name="Explanatory Text 2 6" xfId="1775" xr:uid="{00000000-0005-0000-0000-0000AE060000}"/>
    <cellStyle name="Explanatory Text 2 7" xfId="4434" xr:uid="{80436FEB-E28A-494D-AF87-736EE5C14A60}"/>
    <cellStyle name="Explanatory Text 3" xfId="1776" xr:uid="{00000000-0005-0000-0000-0000AF060000}"/>
    <cellStyle name="Explanatory Text 3 2" xfId="1777" xr:uid="{00000000-0005-0000-0000-0000B0060000}"/>
    <cellStyle name="Explanatory Text 3 3" xfId="1778" xr:uid="{00000000-0005-0000-0000-0000B1060000}"/>
    <cellStyle name="Explanatory Text 3 4" xfId="1779" xr:uid="{00000000-0005-0000-0000-0000B2060000}"/>
    <cellStyle name="Explanatory Text 3 5" xfId="1780" xr:uid="{00000000-0005-0000-0000-0000B3060000}"/>
    <cellStyle name="Explanatory Text 3 6" xfId="1781" xr:uid="{00000000-0005-0000-0000-0000B4060000}"/>
    <cellStyle name="Explanatory Text 4 2" xfId="1782" xr:uid="{00000000-0005-0000-0000-0000B5060000}"/>
    <cellStyle name="Explanatory Text 4 3" xfId="1783" xr:uid="{00000000-0005-0000-0000-0000B6060000}"/>
    <cellStyle name="Explanatory Text 4 4" xfId="1784" xr:uid="{00000000-0005-0000-0000-0000B7060000}"/>
    <cellStyle name="Explanatory Text 4 5" xfId="1785" xr:uid="{00000000-0005-0000-0000-0000B8060000}"/>
    <cellStyle name="Explanatory Text 4 6" xfId="1786" xr:uid="{00000000-0005-0000-0000-0000B9060000}"/>
    <cellStyle name="Explanatory Text 5 2" xfId="1787" xr:uid="{00000000-0005-0000-0000-0000BA060000}"/>
    <cellStyle name="Explanatory Text 5 3" xfId="1788" xr:uid="{00000000-0005-0000-0000-0000BB060000}"/>
    <cellStyle name="Explanatory Text 5 4" xfId="1789" xr:uid="{00000000-0005-0000-0000-0000BC060000}"/>
    <cellStyle name="Explanatory Text 5 5" xfId="1790" xr:uid="{00000000-0005-0000-0000-0000BD060000}"/>
    <cellStyle name="Explanatory Text 5 6" xfId="1791" xr:uid="{00000000-0005-0000-0000-0000BE060000}"/>
    <cellStyle name="Explanatory Text 6 2" xfId="1792" xr:uid="{00000000-0005-0000-0000-0000BF060000}"/>
    <cellStyle name="Explanatory Text 6 3" xfId="1793" xr:uid="{00000000-0005-0000-0000-0000C0060000}"/>
    <cellStyle name="Explanatory Text 6 4" xfId="1794" xr:uid="{00000000-0005-0000-0000-0000C1060000}"/>
    <cellStyle name="Explanatory Text 6 5" xfId="1795" xr:uid="{00000000-0005-0000-0000-0000C2060000}"/>
    <cellStyle name="Explanatory Text 6 6" xfId="1796" xr:uid="{00000000-0005-0000-0000-0000C3060000}"/>
    <cellStyle name="Explanatory Text 7 2" xfId="1797" xr:uid="{00000000-0005-0000-0000-0000C4060000}"/>
    <cellStyle name="Explanatory Text 7 3" xfId="1798" xr:uid="{00000000-0005-0000-0000-0000C5060000}"/>
    <cellStyle name="Explanatory Text 7 4" xfId="1799" xr:uid="{00000000-0005-0000-0000-0000C6060000}"/>
    <cellStyle name="Explanatory Text 7 5" xfId="1800" xr:uid="{00000000-0005-0000-0000-0000C7060000}"/>
    <cellStyle name="Explanatory Text 7 6" xfId="1801" xr:uid="{00000000-0005-0000-0000-0000C8060000}"/>
    <cellStyle name="Explanatory Text 8 2" xfId="1802" xr:uid="{00000000-0005-0000-0000-0000C9060000}"/>
    <cellStyle name="Explanatory Text 8 3" xfId="1803" xr:uid="{00000000-0005-0000-0000-0000CA060000}"/>
    <cellStyle name="Explanatory Text 8 4" xfId="1804" xr:uid="{00000000-0005-0000-0000-0000CB060000}"/>
    <cellStyle name="Explanatory Text 8 5" xfId="1805" xr:uid="{00000000-0005-0000-0000-0000CC060000}"/>
    <cellStyle name="Explanatory Text 8 6" xfId="1806" xr:uid="{00000000-0005-0000-0000-0000CD060000}"/>
    <cellStyle name="Explanatory Text 9 2" xfId="1807" xr:uid="{00000000-0005-0000-0000-0000CE060000}"/>
    <cellStyle name="Explanatory Text 9 3" xfId="1808" xr:uid="{00000000-0005-0000-0000-0000CF060000}"/>
    <cellStyle name="Explanatory Text 9 4" xfId="1809" xr:uid="{00000000-0005-0000-0000-0000D0060000}"/>
    <cellStyle name="Explanatory Text 9 5" xfId="1810" xr:uid="{00000000-0005-0000-0000-0000D1060000}"/>
    <cellStyle name="Explanatory Text 9 6" xfId="1811" xr:uid="{00000000-0005-0000-0000-0000D2060000}"/>
    <cellStyle name="F2" xfId="150" xr:uid="{00000000-0005-0000-0000-0000D3060000}"/>
    <cellStyle name="F3" xfId="151" xr:uid="{00000000-0005-0000-0000-0000D4060000}"/>
    <cellStyle name="F4" xfId="152" xr:uid="{00000000-0005-0000-0000-0000D5060000}"/>
    <cellStyle name="F5" xfId="153" xr:uid="{00000000-0005-0000-0000-0000D6060000}"/>
    <cellStyle name="F6" xfId="154" xr:uid="{00000000-0005-0000-0000-0000D7060000}"/>
    <cellStyle name="F7" xfId="155" xr:uid="{00000000-0005-0000-0000-0000D8060000}"/>
    <cellStyle name="F8" xfId="156" xr:uid="{00000000-0005-0000-0000-0000D9060000}"/>
    <cellStyle name="Fixed" xfId="157" xr:uid="{00000000-0005-0000-0000-0000DA060000}"/>
    <cellStyle name="Good 10 2" xfId="1812" xr:uid="{00000000-0005-0000-0000-0000DB060000}"/>
    <cellStyle name="Good 10 3" xfId="1813" xr:uid="{00000000-0005-0000-0000-0000DC060000}"/>
    <cellStyle name="Good 10 4" xfId="1814" xr:uid="{00000000-0005-0000-0000-0000DD060000}"/>
    <cellStyle name="Good 10 5" xfId="1815" xr:uid="{00000000-0005-0000-0000-0000DE060000}"/>
    <cellStyle name="Good 10 6" xfId="1816" xr:uid="{00000000-0005-0000-0000-0000DF060000}"/>
    <cellStyle name="Good 11 2" xfId="1817" xr:uid="{00000000-0005-0000-0000-0000E0060000}"/>
    <cellStyle name="Good 11 3" xfId="1818" xr:uid="{00000000-0005-0000-0000-0000E1060000}"/>
    <cellStyle name="Good 11 4" xfId="1819" xr:uid="{00000000-0005-0000-0000-0000E2060000}"/>
    <cellStyle name="Good 11 5" xfId="1820" xr:uid="{00000000-0005-0000-0000-0000E3060000}"/>
    <cellStyle name="Good 11 6" xfId="1821" xr:uid="{00000000-0005-0000-0000-0000E4060000}"/>
    <cellStyle name="Good 2" xfId="158" xr:uid="{00000000-0005-0000-0000-0000E5060000}"/>
    <cellStyle name="Good 2 2" xfId="1822" xr:uid="{00000000-0005-0000-0000-0000E6060000}"/>
    <cellStyle name="Good 2 3" xfId="1823" xr:uid="{00000000-0005-0000-0000-0000E7060000}"/>
    <cellStyle name="Good 2 3 2" xfId="4083" xr:uid="{452E1EB6-357C-450A-BDC9-EA2268187889}"/>
    <cellStyle name="Good 2 3 3" xfId="4275" xr:uid="{150ADD21-4D92-4203-894B-889EA708A5BC}"/>
    <cellStyle name="Good 2 4" xfId="1824" xr:uid="{00000000-0005-0000-0000-0000E8060000}"/>
    <cellStyle name="Good 2 4 2" xfId="4082" xr:uid="{68AAC45B-DD9C-4339-8781-E931EDDE35C4}"/>
    <cellStyle name="Good 2 4 3" xfId="4511" xr:uid="{14D7CB74-8B17-4866-B82F-6284614F8566}"/>
    <cellStyle name="Good 2 5" xfId="1825" xr:uid="{00000000-0005-0000-0000-0000E9060000}"/>
    <cellStyle name="Good 2 5 2" xfId="4423" xr:uid="{BA4F99F3-06B2-4668-A5C4-370DBB8A6131}"/>
    <cellStyle name="Good 2 5 3" xfId="4180" xr:uid="{F3A16BC9-D121-4DA2-B086-E1D8E301253F}"/>
    <cellStyle name="Good 2 6" xfId="1826" xr:uid="{00000000-0005-0000-0000-0000EA060000}"/>
    <cellStyle name="Good 2 6 2" xfId="4438" xr:uid="{CBE4138D-B2AD-4FFE-8187-66D17C06E332}"/>
    <cellStyle name="Good 2 6 3" xfId="4179" xr:uid="{243E416E-17AD-46DE-95DA-0CDEF986C7FD}"/>
    <cellStyle name="Good 2 7" xfId="4178" xr:uid="{6038F031-164A-4227-896A-679A77882B84}"/>
    <cellStyle name="Good 2 8" xfId="4177" xr:uid="{C08432FF-4E11-4FFC-86BF-4CC03B5A1764}"/>
    <cellStyle name="Good 3" xfId="159" xr:uid="{00000000-0005-0000-0000-0000EB060000}"/>
    <cellStyle name="Good 3 2" xfId="1828" xr:uid="{00000000-0005-0000-0000-0000EC060000}"/>
    <cellStyle name="Good 3 3" xfId="1829" xr:uid="{00000000-0005-0000-0000-0000ED060000}"/>
    <cellStyle name="Good 3 4" xfId="1830" xr:uid="{00000000-0005-0000-0000-0000EE060000}"/>
    <cellStyle name="Good 3 5" xfId="1831" xr:uid="{00000000-0005-0000-0000-0000EF060000}"/>
    <cellStyle name="Good 3 6" xfId="1832" xr:uid="{00000000-0005-0000-0000-0000F0060000}"/>
    <cellStyle name="Good 3 7" xfId="1833" xr:uid="{00000000-0005-0000-0000-0000F1060000}"/>
    <cellStyle name="Good 3 7 2" xfId="4081" xr:uid="{407377DC-975E-4F9F-822C-D4BEA88A742D}"/>
    <cellStyle name="Good 3 7 3" xfId="4172" xr:uid="{1889F8F0-5E79-4587-BB7B-9878A53E7EB9}"/>
    <cellStyle name="Good 3 8" xfId="1827" xr:uid="{00000000-0005-0000-0000-0000F2060000}"/>
    <cellStyle name="Good 3 9" xfId="3579" xr:uid="{B39BA709-DD16-4420-BC29-7936F6DC6650}"/>
    <cellStyle name="Good 4" xfId="160" xr:uid="{00000000-0005-0000-0000-0000F3060000}"/>
    <cellStyle name="Good 4 2" xfId="1835" xr:uid="{00000000-0005-0000-0000-0000F4060000}"/>
    <cellStyle name="Good 4 2 2" xfId="4422" xr:uid="{DB8A4953-D9C6-4EA5-8BA3-FBCF06C56819}"/>
    <cellStyle name="Good 4 2 3" xfId="4176" xr:uid="{6203D608-5CF9-4ABE-8462-DA3DD8A097C2}"/>
    <cellStyle name="Good 4 3" xfId="1836" xr:uid="{00000000-0005-0000-0000-0000F5060000}"/>
    <cellStyle name="Good 4 4" xfId="1837" xr:uid="{00000000-0005-0000-0000-0000F6060000}"/>
    <cellStyle name="Good 4 5" xfId="1838" xr:uid="{00000000-0005-0000-0000-0000F7060000}"/>
    <cellStyle name="Good 4 6" xfId="1839" xr:uid="{00000000-0005-0000-0000-0000F8060000}"/>
    <cellStyle name="Good 4 7" xfId="1840" xr:uid="{00000000-0005-0000-0000-0000F9060000}"/>
    <cellStyle name="Good 4 8" xfId="1834" xr:uid="{00000000-0005-0000-0000-0000FA060000}"/>
    <cellStyle name="Good 5" xfId="161" xr:uid="{00000000-0005-0000-0000-0000FB060000}"/>
    <cellStyle name="Good 5 2" xfId="1841" xr:uid="{00000000-0005-0000-0000-0000FC060000}"/>
    <cellStyle name="Good 5 3" xfId="1842" xr:uid="{00000000-0005-0000-0000-0000FD060000}"/>
    <cellStyle name="Good 5 4" xfId="1843" xr:uid="{00000000-0005-0000-0000-0000FE060000}"/>
    <cellStyle name="Good 5 5" xfId="1844" xr:uid="{00000000-0005-0000-0000-0000FF060000}"/>
    <cellStyle name="Good 5 6" xfId="1845" xr:uid="{00000000-0005-0000-0000-000000070000}"/>
    <cellStyle name="Good 6" xfId="162" xr:uid="{00000000-0005-0000-0000-000001070000}"/>
    <cellStyle name="Good 6 2" xfId="1846" xr:uid="{00000000-0005-0000-0000-000002070000}"/>
    <cellStyle name="Good 6 3" xfId="1847" xr:uid="{00000000-0005-0000-0000-000003070000}"/>
    <cellStyle name="Good 6 4" xfId="1848" xr:uid="{00000000-0005-0000-0000-000004070000}"/>
    <cellStyle name="Good 6 5" xfId="1849" xr:uid="{00000000-0005-0000-0000-000005070000}"/>
    <cellStyle name="Good 6 6" xfId="1850" xr:uid="{00000000-0005-0000-0000-000006070000}"/>
    <cellStyle name="Good 7" xfId="163" xr:uid="{00000000-0005-0000-0000-000007070000}"/>
    <cellStyle name="Good 7 2" xfId="1851" xr:uid="{00000000-0005-0000-0000-000008070000}"/>
    <cellStyle name="Good 7 3" xfId="1852" xr:uid="{00000000-0005-0000-0000-000009070000}"/>
    <cellStyle name="Good 7 4" xfId="1853" xr:uid="{00000000-0005-0000-0000-00000A070000}"/>
    <cellStyle name="Good 7 5" xfId="1854" xr:uid="{00000000-0005-0000-0000-00000B070000}"/>
    <cellStyle name="Good 7 6" xfId="1855" xr:uid="{00000000-0005-0000-0000-00000C070000}"/>
    <cellStyle name="Good 8 2" xfId="1856" xr:uid="{00000000-0005-0000-0000-00000D070000}"/>
    <cellStyle name="Good 8 3" xfId="1857" xr:uid="{00000000-0005-0000-0000-00000E070000}"/>
    <cellStyle name="Good 8 4" xfId="1858" xr:uid="{00000000-0005-0000-0000-00000F070000}"/>
    <cellStyle name="Good 8 5" xfId="1859" xr:uid="{00000000-0005-0000-0000-000010070000}"/>
    <cellStyle name="Good 8 6" xfId="1860" xr:uid="{00000000-0005-0000-0000-000011070000}"/>
    <cellStyle name="Good 9 2" xfId="1861" xr:uid="{00000000-0005-0000-0000-000012070000}"/>
    <cellStyle name="Good 9 3" xfId="1862" xr:uid="{00000000-0005-0000-0000-000013070000}"/>
    <cellStyle name="Good 9 4" xfId="1863" xr:uid="{00000000-0005-0000-0000-000014070000}"/>
    <cellStyle name="Good 9 5" xfId="1864" xr:uid="{00000000-0005-0000-0000-000015070000}"/>
    <cellStyle name="Good 9 6" xfId="1865" xr:uid="{00000000-0005-0000-0000-000016070000}"/>
    <cellStyle name="Heading 1 10 2" xfId="1866" xr:uid="{00000000-0005-0000-0000-000017070000}"/>
    <cellStyle name="Heading 1 10 3" xfId="1867" xr:uid="{00000000-0005-0000-0000-000018070000}"/>
    <cellStyle name="Heading 1 10 4" xfId="1868" xr:uid="{00000000-0005-0000-0000-000019070000}"/>
    <cellStyle name="Heading 1 10 5" xfId="1869" xr:uid="{00000000-0005-0000-0000-00001A070000}"/>
    <cellStyle name="Heading 1 10 6" xfId="1870" xr:uid="{00000000-0005-0000-0000-00001B070000}"/>
    <cellStyle name="Heading 1 11 2" xfId="1871" xr:uid="{00000000-0005-0000-0000-00001C070000}"/>
    <cellStyle name="Heading 1 11 3" xfId="1872" xr:uid="{00000000-0005-0000-0000-00001D070000}"/>
    <cellStyle name="Heading 1 11 4" xfId="1873" xr:uid="{00000000-0005-0000-0000-00001E070000}"/>
    <cellStyle name="Heading 1 11 5" xfId="1874" xr:uid="{00000000-0005-0000-0000-00001F070000}"/>
    <cellStyle name="Heading 1 11 6" xfId="1875" xr:uid="{00000000-0005-0000-0000-000020070000}"/>
    <cellStyle name="Heading 1 2" xfId="164" xr:uid="{00000000-0005-0000-0000-000021070000}"/>
    <cellStyle name="Heading 1 2 2" xfId="1876" xr:uid="{00000000-0005-0000-0000-000022070000}"/>
    <cellStyle name="Heading 1 2 3" xfId="1877" xr:uid="{00000000-0005-0000-0000-000023070000}"/>
    <cellStyle name="Heading 1 2 3 2" xfId="4548" xr:uid="{B602ACF7-1E36-4FBB-8A58-B3D158D6BF02}"/>
    <cellStyle name="Heading 1 2 3 3" xfId="4364" xr:uid="{4E75F59A-0028-498A-A998-9D63F7BC44CD}"/>
    <cellStyle name="Heading 1 2 4" xfId="1878" xr:uid="{00000000-0005-0000-0000-000024070000}"/>
    <cellStyle name="Heading 1 2 4 2" xfId="4033" xr:uid="{A3C7C6C1-9B0E-45C0-B0E8-F0E13FB7567F}"/>
    <cellStyle name="Heading 1 2 4 3" xfId="4510" xr:uid="{E116B42A-751B-43F1-A399-A54685E547FF}"/>
    <cellStyle name="Heading 1 2 5" xfId="1879" xr:uid="{00000000-0005-0000-0000-000025070000}"/>
    <cellStyle name="Heading 1 2 5 2" xfId="4549" xr:uid="{ABC8EBDC-8F76-4195-95C4-1B0F6A06A965}"/>
    <cellStyle name="Heading 1 2 5 3" xfId="4433" xr:uid="{4DFB3D56-7809-4252-B67F-C9BA0DE7FBB1}"/>
    <cellStyle name="Heading 1 2 6" xfId="1880" xr:uid="{00000000-0005-0000-0000-000026070000}"/>
    <cellStyle name="Heading 1 2 6 2" xfId="4421" xr:uid="{52F2CE11-6B1E-4A6A-BB1B-52AC7A34AD42}"/>
    <cellStyle name="Heading 1 2 6 3" xfId="4175" xr:uid="{54A357D5-D02B-4C6C-893A-CADB7D9BEC56}"/>
    <cellStyle name="Heading 1 2 7" xfId="4174" xr:uid="{264C9560-95CB-4309-9B94-D08263054ECC}"/>
    <cellStyle name="Heading 1 2 8" xfId="4173" xr:uid="{45FF349B-3045-41A3-B6D6-85D4712B37DA}"/>
    <cellStyle name="Heading 1 3" xfId="165" xr:uid="{00000000-0005-0000-0000-000027070000}"/>
    <cellStyle name="Heading 1 3 2" xfId="1882" xr:uid="{00000000-0005-0000-0000-000028070000}"/>
    <cellStyle name="Heading 1 3 3" xfId="1883" xr:uid="{00000000-0005-0000-0000-000029070000}"/>
    <cellStyle name="Heading 1 3 4" xfId="1884" xr:uid="{00000000-0005-0000-0000-00002A070000}"/>
    <cellStyle name="Heading 1 3 5" xfId="1885" xr:uid="{00000000-0005-0000-0000-00002B070000}"/>
    <cellStyle name="Heading 1 3 6" xfId="1886" xr:uid="{00000000-0005-0000-0000-00002C070000}"/>
    <cellStyle name="Heading 1 3 7" xfId="1887" xr:uid="{00000000-0005-0000-0000-00002D070000}"/>
    <cellStyle name="Heading 1 3 7 2" xfId="4550" xr:uid="{22134283-D103-4A48-B3F1-5373224A7ABB}"/>
    <cellStyle name="Heading 1 3 7 3" xfId="4432" xr:uid="{5141FD57-7021-4558-9D3C-5FA1390D3B17}"/>
    <cellStyle name="Heading 1 3 8" xfId="1881" xr:uid="{00000000-0005-0000-0000-00002E070000}"/>
    <cellStyle name="Heading 1 3 9" xfId="3580" xr:uid="{8EC50C51-CB8F-45E7-A3E6-008BD1537C0F}"/>
    <cellStyle name="Heading 1 4" xfId="166" xr:uid="{00000000-0005-0000-0000-00002F070000}"/>
    <cellStyle name="Heading 1 4 2" xfId="1889" xr:uid="{00000000-0005-0000-0000-000030070000}"/>
    <cellStyle name="Heading 1 4 2 2" xfId="3998" xr:uid="{23B47CDA-A5CF-4719-84E8-51011822A90E}"/>
    <cellStyle name="Heading 1 4 2 3" xfId="4040" xr:uid="{567CB4A5-B5FE-418C-9086-B719902F8F68}"/>
    <cellStyle name="Heading 1 4 3" xfId="1890" xr:uid="{00000000-0005-0000-0000-000031070000}"/>
    <cellStyle name="Heading 1 4 4" xfId="1891" xr:uid="{00000000-0005-0000-0000-000032070000}"/>
    <cellStyle name="Heading 1 4 5" xfId="1892" xr:uid="{00000000-0005-0000-0000-000033070000}"/>
    <cellStyle name="Heading 1 4 6" xfId="1893" xr:uid="{00000000-0005-0000-0000-000034070000}"/>
    <cellStyle name="Heading 1 4 7" xfId="1894" xr:uid="{00000000-0005-0000-0000-000035070000}"/>
    <cellStyle name="Heading 1 4 8" xfId="1888" xr:uid="{00000000-0005-0000-0000-000036070000}"/>
    <cellStyle name="Heading 1 5" xfId="167" xr:uid="{00000000-0005-0000-0000-000037070000}"/>
    <cellStyle name="Heading 1 5 2" xfId="1895" xr:uid="{00000000-0005-0000-0000-000038070000}"/>
    <cellStyle name="Heading 1 5 3" xfId="1896" xr:uid="{00000000-0005-0000-0000-000039070000}"/>
    <cellStyle name="Heading 1 5 4" xfId="1897" xr:uid="{00000000-0005-0000-0000-00003A070000}"/>
    <cellStyle name="Heading 1 5 5" xfId="1898" xr:uid="{00000000-0005-0000-0000-00003B070000}"/>
    <cellStyle name="Heading 1 5 6" xfId="1899" xr:uid="{00000000-0005-0000-0000-00003C070000}"/>
    <cellStyle name="Heading 1 6" xfId="168" xr:uid="{00000000-0005-0000-0000-00003D070000}"/>
    <cellStyle name="Heading 1 6 2" xfId="1900" xr:uid="{00000000-0005-0000-0000-00003E070000}"/>
    <cellStyle name="Heading 1 6 3" xfId="1901" xr:uid="{00000000-0005-0000-0000-00003F070000}"/>
    <cellStyle name="Heading 1 6 4" xfId="1902" xr:uid="{00000000-0005-0000-0000-000040070000}"/>
    <cellStyle name="Heading 1 6 5" xfId="1903" xr:uid="{00000000-0005-0000-0000-000041070000}"/>
    <cellStyle name="Heading 1 6 6" xfId="1904" xr:uid="{00000000-0005-0000-0000-000042070000}"/>
    <cellStyle name="Heading 1 7" xfId="169" xr:uid="{00000000-0005-0000-0000-000043070000}"/>
    <cellStyle name="Heading 1 7 2" xfId="1905" xr:uid="{00000000-0005-0000-0000-000044070000}"/>
    <cellStyle name="Heading 1 7 3" xfId="1906" xr:uid="{00000000-0005-0000-0000-000045070000}"/>
    <cellStyle name="Heading 1 7 4" xfId="1907" xr:uid="{00000000-0005-0000-0000-000046070000}"/>
    <cellStyle name="Heading 1 7 5" xfId="1908" xr:uid="{00000000-0005-0000-0000-000047070000}"/>
    <cellStyle name="Heading 1 7 6" xfId="1909" xr:uid="{00000000-0005-0000-0000-000048070000}"/>
    <cellStyle name="Heading 1 8 2" xfId="1910" xr:uid="{00000000-0005-0000-0000-000049070000}"/>
    <cellStyle name="Heading 1 8 3" xfId="1911" xr:uid="{00000000-0005-0000-0000-00004A070000}"/>
    <cellStyle name="Heading 1 8 4" xfId="1912" xr:uid="{00000000-0005-0000-0000-00004B070000}"/>
    <cellStyle name="Heading 1 8 5" xfId="1913" xr:uid="{00000000-0005-0000-0000-00004C070000}"/>
    <cellStyle name="Heading 1 8 6" xfId="1914" xr:uid="{00000000-0005-0000-0000-00004D070000}"/>
    <cellStyle name="Heading 1 9 2" xfId="1915" xr:uid="{00000000-0005-0000-0000-00004E070000}"/>
    <cellStyle name="Heading 1 9 3" xfId="1916" xr:uid="{00000000-0005-0000-0000-00004F070000}"/>
    <cellStyle name="Heading 1 9 4" xfId="1917" xr:uid="{00000000-0005-0000-0000-000050070000}"/>
    <cellStyle name="Heading 1 9 5" xfId="1918" xr:uid="{00000000-0005-0000-0000-000051070000}"/>
    <cellStyle name="Heading 1 9 6" xfId="1919" xr:uid="{00000000-0005-0000-0000-000052070000}"/>
    <cellStyle name="Heading 2 10 2" xfId="1920" xr:uid="{00000000-0005-0000-0000-000053070000}"/>
    <cellStyle name="Heading 2 10 3" xfId="1921" xr:uid="{00000000-0005-0000-0000-000054070000}"/>
    <cellStyle name="Heading 2 10 4" xfId="1922" xr:uid="{00000000-0005-0000-0000-000055070000}"/>
    <cellStyle name="Heading 2 10 5" xfId="1923" xr:uid="{00000000-0005-0000-0000-000056070000}"/>
    <cellStyle name="Heading 2 10 6" xfId="1924" xr:uid="{00000000-0005-0000-0000-000057070000}"/>
    <cellStyle name="Heading 2 11 2" xfId="1925" xr:uid="{00000000-0005-0000-0000-000058070000}"/>
    <cellStyle name="Heading 2 11 3" xfId="1926" xr:uid="{00000000-0005-0000-0000-000059070000}"/>
    <cellStyle name="Heading 2 11 4" xfId="1927" xr:uid="{00000000-0005-0000-0000-00005A070000}"/>
    <cellStyle name="Heading 2 11 5" xfId="1928" xr:uid="{00000000-0005-0000-0000-00005B070000}"/>
    <cellStyle name="Heading 2 11 6" xfId="1929" xr:uid="{00000000-0005-0000-0000-00005C070000}"/>
    <cellStyle name="Heading 2 2" xfId="170" xr:uid="{00000000-0005-0000-0000-00005D070000}"/>
    <cellStyle name="Heading 2 2 2" xfId="1930" xr:uid="{00000000-0005-0000-0000-00005E070000}"/>
    <cellStyle name="Heading 2 2 3" xfId="1931" xr:uid="{00000000-0005-0000-0000-00005F070000}"/>
    <cellStyle name="Heading 2 2 3 2" xfId="4017" xr:uid="{F7CE12BD-E287-46B1-BD53-77421E529804}"/>
    <cellStyle name="Heading 2 2 3 3" xfId="4276" xr:uid="{5684C036-ED97-4C38-B19B-3052BD5B114C}"/>
    <cellStyle name="Heading 2 2 4" xfId="1932" xr:uid="{00000000-0005-0000-0000-000060070000}"/>
    <cellStyle name="Heading 2 2 4 2" xfId="4080" xr:uid="{6B1A1E40-F91D-4D00-8A7B-F203C9C7D0B7}"/>
    <cellStyle name="Heading 2 2 4 3" xfId="4507" xr:uid="{6ED15C92-A9EB-4DB3-A2A7-611529138F8A}"/>
    <cellStyle name="Heading 2 2 5" xfId="1933" xr:uid="{00000000-0005-0000-0000-000061070000}"/>
    <cellStyle name="Heading 2 2 5 2" xfId="4016" xr:uid="{C6C89516-8F8D-49B0-9BD8-33F5BDEFC547}"/>
    <cellStyle name="Heading 2 2 5 3" xfId="4171" xr:uid="{BA66294B-2651-409F-B211-93F1D4C70234}"/>
    <cellStyle name="Heading 2 2 6" xfId="1934" xr:uid="{00000000-0005-0000-0000-000062070000}"/>
    <cellStyle name="Heading 2 2 6 2" xfId="4079" xr:uid="{A5EF525E-FC30-4308-A503-F9199CAC431E}"/>
    <cellStyle name="Heading 2 2 6 3" xfId="4170" xr:uid="{050AA342-0B6B-49AD-8EF1-16F8A1DFE282}"/>
    <cellStyle name="Heading 2 2 7" xfId="4169" xr:uid="{2F003F15-031B-4C34-A37D-F9784D584ECB}"/>
    <cellStyle name="Heading 2 2 8" xfId="4168" xr:uid="{3F0ACB79-B063-4E40-AB5C-0C241F56ECD9}"/>
    <cellStyle name="Heading 2 3" xfId="171" xr:uid="{00000000-0005-0000-0000-000063070000}"/>
    <cellStyle name="Heading 2 3 2" xfId="1936" xr:uid="{00000000-0005-0000-0000-000064070000}"/>
    <cellStyle name="Heading 2 3 3" xfId="1937" xr:uid="{00000000-0005-0000-0000-000065070000}"/>
    <cellStyle name="Heading 2 3 4" xfId="1938" xr:uid="{00000000-0005-0000-0000-000066070000}"/>
    <cellStyle name="Heading 2 3 5" xfId="1939" xr:uid="{00000000-0005-0000-0000-000067070000}"/>
    <cellStyle name="Heading 2 3 6" xfId="1940" xr:uid="{00000000-0005-0000-0000-000068070000}"/>
    <cellStyle name="Heading 2 3 7" xfId="1941" xr:uid="{00000000-0005-0000-0000-000069070000}"/>
    <cellStyle name="Heading 2 3 7 2" xfId="4078" xr:uid="{16805D8B-4F3C-42F2-88AF-5949896074B6}"/>
    <cellStyle name="Heading 2 3 7 3" xfId="4167" xr:uid="{12A739C3-137C-495A-A271-2508F6532646}"/>
    <cellStyle name="Heading 2 3 8" xfId="1935" xr:uid="{00000000-0005-0000-0000-00006A070000}"/>
    <cellStyle name="Heading 2 3 9" xfId="3581" xr:uid="{DFEC40A6-3353-42B7-A7E9-7A383223E9ED}"/>
    <cellStyle name="Heading 2 4" xfId="172" xr:uid="{00000000-0005-0000-0000-00006B070000}"/>
    <cellStyle name="Heading 2 4 2" xfId="1943" xr:uid="{00000000-0005-0000-0000-00006C070000}"/>
    <cellStyle name="Heading 2 4 2 2" xfId="4077" xr:uid="{E7B8C34E-109B-48B7-9259-D9DD44639AD0}"/>
    <cellStyle name="Heading 2 4 2 3" xfId="4166" xr:uid="{4D0296D5-B0F7-4103-B21F-E1AF0DF8BAF5}"/>
    <cellStyle name="Heading 2 4 3" xfId="1944" xr:uid="{00000000-0005-0000-0000-00006D070000}"/>
    <cellStyle name="Heading 2 4 4" xfId="1945" xr:uid="{00000000-0005-0000-0000-00006E070000}"/>
    <cellStyle name="Heading 2 4 5" xfId="1946" xr:uid="{00000000-0005-0000-0000-00006F070000}"/>
    <cellStyle name="Heading 2 4 6" xfId="1947" xr:uid="{00000000-0005-0000-0000-000070070000}"/>
    <cellStyle name="Heading 2 4 7" xfId="1948" xr:uid="{00000000-0005-0000-0000-000071070000}"/>
    <cellStyle name="Heading 2 4 8" xfId="1942" xr:uid="{00000000-0005-0000-0000-000072070000}"/>
    <cellStyle name="Heading 2 5" xfId="173" xr:uid="{00000000-0005-0000-0000-000073070000}"/>
    <cellStyle name="Heading 2 5 2" xfId="1949" xr:uid="{00000000-0005-0000-0000-000074070000}"/>
    <cellStyle name="Heading 2 5 3" xfId="1950" xr:uid="{00000000-0005-0000-0000-000075070000}"/>
    <cellStyle name="Heading 2 5 4" xfId="1951" xr:uid="{00000000-0005-0000-0000-000076070000}"/>
    <cellStyle name="Heading 2 5 5" xfId="1952" xr:uid="{00000000-0005-0000-0000-000077070000}"/>
    <cellStyle name="Heading 2 5 6" xfId="1953" xr:uid="{00000000-0005-0000-0000-000078070000}"/>
    <cellStyle name="Heading 2 6" xfId="174" xr:uid="{00000000-0005-0000-0000-000079070000}"/>
    <cellStyle name="Heading 2 6 2" xfId="1954" xr:uid="{00000000-0005-0000-0000-00007A070000}"/>
    <cellStyle name="Heading 2 6 3" xfId="1955" xr:uid="{00000000-0005-0000-0000-00007B070000}"/>
    <cellStyle name="Heading 2 6 4" xfId="1956" xr:uid="{00000000-0005-0000-0000-00007C070000}"/>
    <cellStyle name="Heading 2 6 5" xfId="1957" xr:uid="{00000000-0005-0000-0000-00007D070000}"/>
    <cellStyle name="Heading 2 6 6" xfId="1958" xr:uid="{00000000-0005-0000-0000-00007E070000}"/>
    <cellStyle name="Heading 2 7" xfId="175" xr:uid="{00000000-0005-0000-0000-00007F070000}"/>
    <cellStyle name="Heading 2 7 2" xfId="1959" xr:uid="{00000000-0005-0000-0000-000080070000}"/>
    <cellStyle name="Heading 2 7 3" xfId="1960" xr:uid="{00000000-0005-0000-0000-000081070000}"/>
    <cellStyle name="Heading 2 7 4" xfId="1961" xr:uid="{00000000-0005-0000-0000-000082070000}"/>
    <cellStyle name="Heading 2 7 5" xfId="1962" xr:uid="{00000000-0005-0000-0000-000083070000}"/>
    <cellStyle name="Heading 2 7 6" xfId="1963" xr:uid="{00000000-0005-0000-0000-000084070000}"/>
    <cellStyle name="Heading 2 8 2" xfId="1964" xr:uid="{00000000-0005-0000-0000-000085070000}"/>
    <cellStyle name="Heading 2 8 3" xfId="1965" xr:uid="{00000000-0005-0000-0000-000086070000}"/>
    <cellStyle name="Heading 2 8 4" xfId="1966" xr:uid="{00000000-0005-0000-0000-000087070000}"/>
    <cellStyle name="Heading 2 8 5" xfId="1967" xr:uid="{00000000-0005-0000-0000-000088070000}"/>
    <cellStyle name="Heading 2 8 6" xfId="1968" xr:uid="{00000000-0005-0000-0000-000089070000}"/>
    <cellStyle name="Heading 2 9 2" xfId="1969" xr:uid="{00000000-0005-0000-0000-00008A070000}"/>
    <cellStyle name="Heading 2 9 3" xfId="1970" xr:uid="{00000000-0005-0000-0000-00008B070000}"/>
    <cellStyle name="Heading 2 9 4" xfId="1971" xr:uid="{00000000-0005-0000-0000-00008C070000}"/>
    <cellStyle name="Heading 2 9 5" xfId="1972" xr:uid="{00000000-0005-0000-0000-00008D070000}"/>
    <cellStyle name="Heading 2 9 6" xfId="1973" xr:uid="{00000000-0005-0000-0000-00008E070000}"/>
    <cellStyle name="Heading 3 10 2" xfId="1974" xr:uid="{00000000-0005-0000-0000-00008F070000}"/>
    <cellStyle name="Heading 3 10 3" xfId="1975" xr:uid="{00000000-0005-0000-0000-000090070000}"/>
    <cellStyle name="Heading 3 10 4" xfId="1976" xr:uid="{00000000-0005-0000-0000-000091070000}"/>
    <cellStyle name="Heading 3 10 5" xfId="1977" xr:uid="{00000000-0005-0000-0000-000092070000}"/>
    <cellStyle name="Heading 3 10 6" xfId="1978" xr:uid="{00000000-0005-0000-0000-000093070000}"/>
    <cellStyle name="Heading 3 11 2" xfId="1979" xr:uid="{00000000-0005-0000-0000-000094070000}"/>
    <cellStyle name="Heading 3 11 3" xfId="1980" xr:uid="{00000000-0005-0000-0000-000095070000}"/>
    <cellStyle name="Heading 3 11 4" xfId="1981" xr:uid="{00000000-0005-0000-0000-000096070000}"/>
    <cellStyle name="Heading 3 11 5" xfId="1982" xr:uid="{00000000-0005-0000-0000-000097070000}"/>
    <cellStyle name="Heading 3 11 6" xfId="1983" xr:uid="{00000000-0005-0000-0000-000098070000}"/>
    <cellStyle name="Heading 3 2" xfId="176" xr:uid="{00000000-0005-0000-0000-000099070000}"/>
    <cellStyle name="Heading 3 2 2" xfId="1984" xr:uid="{00000000-0005-0000-0000-00009A070000}"/>
    <cellStyle name="Heading 3 2 3" xfId="1985" xr:uid="{00000000-0005-0000-0000-00009B070000}"/>
    <cellStyle name="Heading 3 2 3 2" xfId="4076" xr:uid="{3FD288DD-BAA6-47D1-ACDA-AC5E417E0E68}"/>
    <cellStyle name="Heading 3 2 3 3" xfId="3970" xr:uid="{509FB400-79BB-4756-ACC4-121F6AB228EF}"/>
    <cellStyle name="Heading 3 2 4" xfId="1986" xr:uid="{00000000-0005-0000-0000-00009C070000}"/>
    <cellStyle name="Heading 3 2 4 2" xfId="4015" xr:uid="{5C357806-BD6A-4C89-88AA-C6BD5710AB7D}"/>
    <cellStyle name="Heading 3 2 4 3" xfId="4396" xr:uid="{8E89311F-F9B0-4977-A324-90AF5C1B870B}"/>
    <cellStyle name="Heading 3 2 5" xfId="1987" xr:uid="{00000000-0005-0000-0000-00009D070000}"/>
    <cellStyle name="Heading 3 2 5 2" xfId="4075" xr:uid="{042270AA-A08B-4FA9-BACF-8E3E8E4490B2}"/>
    <cellStyle name="Heading 3 2 5 3" xfId="4165" xr:uid="{1C57E25F-666C-4FE7-8906-2E82BF59F6FC}"/>
    <cellStyle name="Heading 3 2 6" xfId="1988" xr:uid="{00000000-0005-0000-0000-00009E070000}"/>
    <cellStyle name="Heading 3 2 6 2" xfId="4014" xr:uid="{463126A9-D326-4F99-A315-1E59BF3AEA8F}"/>
    <cellStyle name="Heading 3 2 6 3" xfId="4164" xr:uid="{99C588DC-8DD4-414D-9FBB-6D211130DB32}"/>
    <cellStyle name="Heading 3 2 7" xfId="4039" xr:uid="{5099A13E-CD43-4382-8F7C-462D2F70879A}"/>
    <cellStyle name="Heading 3 2 8" xfId="4162" xr:uid="{10F77E67-B22D-426F-8BC3-C5A151E08AAE}"/>
    <cellStyle name="Heading 3 3" xfId="177" xr:uid="{00000000-0005-0000-0000-00009F070000}"/>
    <cellStyle name="Heading 3 3 2" xfId="1990" xr:uid="{00000000-0005-0000-0000-0000A0070000}"/>
    <cellStyle name="Heading 3 3 3" xfId="1991" xr:uid="{00000000-0005-0000-0000-0000A1070000}"/>
    <cellStyle name="Heading 3 3 4" xfId="1992" xr:uid="{00000000-0005-0000-0000-0000A2070000}"/>
    <cellStyle name="Heading 3 3 5" xfId="1993" xr:uid="{00000000-0005-0000-0000-0000A3070000}"/>
    <cellStyle name="Heading 3 3 6" xfId="1994" xr:uid="{00000000-0005-0000-0000-0000A4070000}"/>
    <cellStyle name="Heading 3 3 7" xfId="1995" xr:uid="{00000000-0005-0000-0000-0000A5070000}"/>
    <cellStyle name="Heading 3 3 7 2" xfId="4013" xr:uid="{6A5CDAD0-133E-43A0-BA07-2B8344887832}"/>
    <cellStyle name="Heading 3 3 7 3" xfId="3951" xr:uid="{608075B4-2DC1-4596-8872-32D425CF6772}"/>
    <cellStyle name="Heading 3 3 8" xfId="1989" xr:uid="{00000000-0005-0000-0000-0000A6070000}"/>
    <cellStyle name="Heading 3 3 9" xfId="3582" xr:uid="{CD0797C5-20CA-4EF3-9558-A7A6CC07F8D1}"/>
    <cellStyle name="Heading 3 4" xfId="178" xr:uid="{00000000-0005-0000-0000-0000A7070000}"/>
    <cellStyle name="Heading 3 4 2" xfId="1997" xr:uid="{00000000-0005-0000-0000-0000A8070000}"/>
    <cellStyle name="Heading 3 4 2 2" xfId="4420" xr:uid="{A457F5B2-E41E-491A-9367-CF28C062D84D}"/>
    <cellStyle name="Heading 3 4 2 3" xfId="4524" xr:uid="{4C97DFC3-A75E-4C10-8360-2814E3061992}"/>
    <cellStyle name="Heading 3 4 3" xfId="1998" xr:uid="{00000000-0005-0000-0000-0000A9070000}"/>
    <cellStyle name="Heading 3 4 4" xfId="1999" xr:uid="{00000000-0005-0000-0000-0000AA070000}"/>
    <cellStyle name="Heading 3 4 5" xfId="2000" xr:uid="{00000000-0005-0000-0000-0000AB070000}"/>
    <cellStyle name="Heading 3 4 6" xfId="2001" xr:uid="{00000000-0005-0000-0000-0000AC070000}"/>
    <cellStyle name="Heading 3 4 7" xfId="2002" xr:uid="{00000000-0005-0000-0000-0000AD070000}"/>
    <cellStyle name="Heading 3 4 8" xfId="1996" xr:uid="{00000000-0005-0000-0000-0000AE070000}"/>
    <cellStyle name="Heading 3 5" xfId="179" xr:uid="{00000000-0005-0000-0000-0000AF070000}"/>
    <cellStyle name="Heading 3 5 2" xfId="2003" xr:uid="{00000000-0005-0000-0000-0000B0070000}"/>
    <cellStyle name="Heading 3 5 3" xfId="2004" xr:uid="{00000000-0005-0000-0000-0000B1070000}"/>
    <cellStyle name="Heading 3 5 4" xfId="2005" xr:uid="{00000000-0005-0000-0000-0000B2070000}"/>
    <cellStyle name="Heading 3 5 5" xfId="2006" xr:uid="{00000000-0005-0000-0000-0000B3070000}"/>
    <cellStyle name="Heading 3 5 6" xfId="2007" xr:uid="{00000000-0005-0000-0000-0000B4070000}"/>
    <cellStyle name="Heading 3 6" xfId="180" xr:uid="{00000000-0005-0000-0000-0000B5070000}"/>
    <cellStyle name="Heading 3 6 2" xfId="2008" xr:uid="{00000000-0005-0000-0000-0000B6070000}"/>
    <cellStyle name="Heading 3 6 3" xfId="2009" xr:uid="{00000000-0005-0000-0000-0000B7070000}"/>
    <cellStyle name="Heading 3 6 4" xfId="2010" xr:uid="{00000000-0005-0000-0000-0000B8070000}"/>
    <cellStyle name="Heading 3 6 5" xfId="2011" xr:uid="{00000000-0005-0000-0000-0000B9070000}"/>
    <cellStyle name="Heading 3 6 6" xfId="2012" xr:uid="{00000000-0005-0000-0000-0000BA070000}"/>
    <cellStyle name="Heading 3 7" xfId="181" xr:uid="{00000000-0005-0000-0000-0000BB070000}"/>
    <cellStyle name="Heading 3 7 2" xfId="2013" xr:uid="{00000000-0005-0000-0000-0000BC070000}"/>
    <cellStyle name="Heading 3 7 3" xfId="2014" xr:uid="{00000000-0005-0000-0000-0000BD070000}"/>
    <cellStyle name="Heading 3 7 4" xfId="2015" xr:uid="{00000000-0005-0000-0000-0000BE070000}"/>
    <cellStyle name="Heading 3 7 5" xfId="2016" xr:uid="{00000000-0005-0000-0000-0000BF070000}"/>
    <cellStyle name="Heading 3 7 6" xfId="2017" xr:uid="{00000000-0005-0000-0000-0000C0070000}"/>
    <cellStyle name="Heading 3 8 2" xfId="2018" xr:uid="{00000000-0005-0000-0000-0000C1070000}"/>
    <cellStyle name="Heading 3 8 3" xfId="2019" xr:uid="{00000000-0005-0000-0000-0000C2070000}"/>
    <cellStyle name="Heading 3 8 4" xfId="2020" xr:uid="{00000000-0005-0000-0000-0000C3070000}"/>
    <cellStyle name="Heading 3 8 5" xfId="2021" xr:uid="{00000000-0005-0000-0000-0000C4070000}"/>
    <cellStyle name="Heading 3 8 6" xfId="2022" xr:uid="{00000000-0005-0000-0000-0000C5070000}"/>
    <cellStyle name="Heading 3 9 2" xfId="2023" xr:uid="{00000000-0005-0000-0000-0000C6070000}"/>
    <cellStyle name="Heading 3 9 3" xfId="2024" xr:uid="{00000000-0005-0000-0000-0000C7070000}"/>
    <cellStyle name="Heading 3 9 4" xfId="2025" xr:uid="{00000000-0005-0000-0000-0000C8070000}"/>
    <cellStyle name="Heading 3 9 5" xfId="2026" xr:uid="{00000000-0005-0000-0000-0000C9070000}"/>
    <cellStyle name="Heading 3 9 6" xfId="2027" xr:uid="{00000000-0005-0000-0000-0000CA070000}"/>
    <cellStyle name="Heading 4 10 2" xfId="2028" xr:uid="{00000000-0005-0000-0000-0000CB070000}"/>
    <cellStyle name="Heading 4 10 3" xfId="2029" xr:uid="{00000000-0005-0000-0000-0000CC070000}"/>
    <cellStyle name="Heading 4 10 4" xfId="2030" xr:uid="{00000000-0005-0000-0000-0000CD070000}"/>
    <cellStyle name="Heading 4 10 5" xfId="2031" xr:uid="{00000000-0005-0000-0000-0000CE070000}"/>
    <cellStyle name="Heading 4 10 6" xfId="2032" xr:uid="{00000000-0005-0000-0000-0000CF070000}"/>
    <cellStyle name="Heading 4 11 2" xfId="2033" xr:uid="{00000000-0005-0000-0000-0000D0070000}"/>
    <cellStyle name="Heading 4 11 3" xfId="2034" xr:uid="{00000000-0005-0000-0000-0000D1070000}"/>
    <cellStyle name="Heading 4 11 4" xfId="2035" xr:uid="{00000000-0005-0000-0000-0000D2070000}"/>
    <cellStyle name="Heading 4 11 5" xfId="2036" xr:uid="{00000000-0005-0000-0000-0000D3070000}"/>
    <cellStyle name="Heading 4 11 6" xfId="2037" xr:uid="{00000000-0005-0000-0000-0000D4070000}"/>
    <cellStyle name="Heading 4 2" xfId="182" xr:uid="{00000000-0005-0000-0000-0000D5070000}"/>
    <cellStyle name="Heading 4 2 2" xfId="2038" xr:uid="{00000000-0005-0000-0000-0000D6070000}"/>
    <cellStyle name="Heading 4 2 3" xfId="2039" xr:uid="{00000000-0005-0000-0000-0000D7070000}"/>
    <cellStyle name="Heading 4 2 3 2" xfId="4074" xr:uid="{ADE834E1-7FEA-448C-B5C2-9EE27E928DF2}"/>
    <cellStyle name="Heading 4 2 3 3" xfId="4272" xr:uid="{23340FEA-E308-4CC0-BE25-21C6CB86DB50}"/>
    <cellStyle name="Heading 4 2 4" xfId="2040" xr:uid="{00000000-0005-0000-0000-0000D8070000}"/>
    <cellStyle name="Heading 4 2 4 2" xfId="4012" xr:uid="{81F217FE-BA02-4906-B0C5-7B0EC16C8604}"/>
    <cellStyle name="Heading 4 2 4 3" xfId="4395" xr:uid="{B6830056-E6E9-467E-8ECC-3F8345AD466A}"/>
    <cellStyle name="Heading 4 2 5" xfId="2041" xr:uid="{00000000-0005-0000-0000-0000D9070000}"/>
    <cellStyle name="Heading 4 2 5 2" xfId="4073" xr:uid="{737D814D-A427-40E0-8CD8-ADF26C60D7C2}"/>
    <cellStyle name="Heading 4 2 5 3" xfId="4163" xr:uid="{83DD292A-1B2D-4C5F-91B9-BC0E78949ADF}"/>
    <cellStyle name="Heading 4 2 6" xfId="2042" xr:uid="{00000000-0005-0000-0000-0000DA070000}"/>
    <cellStyle name="Heading 4 2 6 2" xfId="4011" xr:uid="{42DD6C91-8421-441E-94A0-D578C3CE114E}"/>
    <cellStyle name="Heading 4 2 6 3" xfId="4003" xr:uid="{4ABD0CA7-D4F9-40DE-93B5-9825EE5A6BC6}"/>
    <cellStyle name="Heading 4 2 7" xfId="4159" xr:uid="{3A65E66B-8102-4368-9913-DC59D21781A0}"/>
    <cellStyle name="Heading 4 2 8" xfId="4161" xr:uid="{4102F692-7BDD-4845-88E2-924780107FF7}"/>
    <cellStyle name="Heading 4 3" xfId="183" xr:uid="{00000000-0005-0000-0000-0000DB070000}"/>
    <cellStyle name="Heading 4 3 2" xfId="2044" xr:uid="{00000000-0005-0000-0000-0000DC070000}"/>
    <cellStyle name="Heading 4 3 3" xfId="2045" xr:uid="{00000000-0005-0000-0000-0000DD070000}"/>
    <cellStyle name="Heading 4 3 4" xfId="2046" xr:uid="{00000000-0005-0000-0000-0000DE070000}"/>
    <cellStyle name="Heading 4 3 5" xfId="2047" xr:uid="{00000000-0005-0000-0000-0000DF070000}"/>
    <cellStyle name="Heading 4 3 6" xfId="2048" xr:uid="{00000000-0005-0000-0000-0000E0070000}"/>
    <cellStyle name="Heading 4 3 7" xfId="2049" xr:uid="{00000000-0005-0000-0000-0000E1070000}"/>
    <cellStyle name="Heading 4 3 7 2" xfId="4072" xr:uid="{FB7CBC69-3877-4F45-A628-0C5C33A88A63}"/>
    <cellStyle name="Heading 4 3 7 3" xfId="4431" xr:uid="{4892D6B1-7748-4291-9147-560ECCF8FE7F}"/>
    <cellStyle name="Heading 4 3 8" xfId="2043" xr:uid="{00000000-0005-0000-0000-0000E2070000}"/>
    <cellStyle name="Heading 4 3 9" xfId="3583" xr:uid="{B20ACB2C-291D-4F52-8768-49B33A3F25E2}"/>
    <cellStyle name="Heading 4 4" xfId="184" xr:uid="{00000000-0005-0000-0000-0000E3070000}"/>
    <cellStyle name="Heading 4 4 2" xfId="2051" xr:uid="{00000000-0005-0000-0000-0000E4070000}"/>
    <cellStyle name="Heading 4 4 2 2" xfId="4071" xr:uid="{3D6A86C9-740B-4526-9F75-B95326767450}"/>
    <cellStyle name="Heading 4 4 2 3" xfId="4160" xr:uid="{BB147D32-2218-4224-AF3C-7107A9A3CE28}"/>
    <cellStyle name="Heading 4 4 3" xfId="2052" xr:uid="{00000000-0005-0000-0000-0000E5070000}"/>
    <cellStyle name="Heading 4 4 4" xfId="2053" xr:uid="{00000000-0005-0000-0000-0000E6070000}"/>
    <cellStyle name="Heading 4 4 5" xfId="2054" xr:uid="{00000000-0005-0000-0000-0000E7070000}"/>
    <cellStyle name="Heading 4 4 6" xfId="2055" xr:uid="{00000000-0005-0000-0000-0000E8070000}"/>
    <cellStyle name="Heading 4 4 7" xfId="2056" xr:uid="{00000000-0005-0000-0000-0000E9070000}"/>
    <cellStyle name="Heading 4 4 8" xfId="2050" xr:uid="{00000000-0005-0000-0000-0000EA070000}"/>
    <cellStyle name="Heading 4 5" xfId="185" xr:uid="{00000000-0005-0000-0000-0000EB070000}"/>
    <cellStyle name="Heading 4 5 2" xfId="2057" xr:uid="{00000000-0005-0000-0000-0000EC070000}"/>
    <cellStyle name="Heading 4 5 3" xfId="2058" xr:uid="{00000000-0005-0000-0000-0000ED070000}"/>
    <cellStyle name="Heading 4 5 4" xfId="2059" xr:uid="{00000000-0005-0000-0000-0000EE070000}"/>
    <cellStyle name="Heading 4 5 5" xfId="2060" xr:uid="{00000000-0005-0000-0000-0000EF070000}"/>
    <cellStyle name="Heading 4 5 6" xfId="2061" xr:uid="{00000000-0005-0000-0000-0000F0070000}"/>
    <cellStyle name="Heading 4 6" xfId="186" xr:uid="{00000000-0005-0000-0000-0000F1070000}"/>
    <cellStyle name="Heading 4 6 2" xfId="2062" xr:uid="{00000000-0005-0000-0000-0000F2070000}"/>
    <cellStyle name="Heading 4 6 3" xfId="2063" xr:uid="{00000000-0005-0000-0000-0000F3070000}"/>
    <cellStyle name="Heading 4 6 4" xfId="2064" xr:uid="{00000000-0005-0000-0000-0000F4070000}"/>
    <cellStyle name="Heading 4 6 5" xfId="2065" xr:uid="{00000000-0005-0000-0000-0000F5070000}"/>
    <cellStyle name="Heading 4 6 6" xfId="2066" xr:uid="{00000000-0005-0000-0000-0000F6070000}"/>
    <cellStyle name="Heading 4 7" xfId="187" xr:uid="{00000000-0005-0000-0000-0000F7070000}"/>
    <cellStyle name="Heading 4 7 2" xfId="2067" xr:uid="{00000000-0005-0000-0000-0000F8070000}"/>
    <cellStyle name="Heading 4 7 3" xfId="2068" xr:uid="{00000000-0005-0000-0000-0000F9070000}"/>
    <cellStyle name="Heading 4 7 4" xfId="2069" xr:uid="{00000000-0005-0000-0000-0000FA070000}"/>
    <cellStyle name="Heading 4 7 5" xfId="2070" xr:uid="{00000000-0005-0000-0000-0000FB070000}"/>
    <cellStyle name="Heading 4 7 6" xfId="2071" xr:uid="{00000000-0005-0000-0000-0000FC070000}"/>
    <cellStyle name="Heading 4 8 2" xfId="2072" xr:uid="{00000000-0005-0000-0000-0000FD070000}"/>
    <cellStyle name="Heading 4 8 3" xfId="2073" xr:uid="{00000000-0005-0000-0000-0000FE070000}"/>
    <cellStyle name="Heading 4 8 4" xfId="2074" xr:uid="{00000000-0005-0000-0000-0000FF070000}"/>
    <cellStyle name="Heading 4 8 5" xfId="2075" xr:uid="{00000000-0005-0000-0000-000000080000}"/>
    <cellStyle name="Heading 4 8 6" xfId="2076" xr:uid="{00000000-0005-0000-0000-000001080000}"/>
    <cellStyle name="Heading 4 9 2" xfId="2077" xr:uid="{00000000-0005-0000-0000-000002080000}"/>
    <cellStyle name="Heading 4 9 3" xfId="2078" xr:uid="{00000000-0005-0000-0000-000003080000}"/>
    <cellStyle name="Heading 4 9 4" xfId="2079" xr:uid="{00000000-0005-0000-0000-000004080000}"/>
    <cellStyle name="Heading 4 9 5" xfId="2080" xr:uid="{00000000-0005-0000-0000-000005080000}"/>
    <cellStyle name="Heading 4 9 6" xfId="2081" xr:uid="{00000000-0005-0000-0000-000006080000}"/>
    <cellStyle name="HEADING1" xfId="188" xr:uid="{00000000-0005-0000-0000-000007080000}"/>
    <cellStyle name="HEADING2" xfId="189" xr:uid="{00000000-0005-0000-0000-000008080000}"/>
    <cellStyle name="Hyperlink" xfId="2" builtinId="8"/>
    <cellStyle name="Hyperlink 10" xfId="4394" xr:uid="{7C910812-C8F6-4BD7-8B9F-EE68E1BC5B04}"/>
    <cellStyle name="Hyperlink 11" xfId="4274" xr:uid="{9268B699-279A-4145-9E10-97FF35D83D43}"/>
    <cellStyle name="Hyperlink 12" xfId="4509" xr:uid="{531029A1-1510-4892-8BA6-120874DB7E83}"/>
    <cellStyle name="Hyperlink 13" xfId="3969" xr:uid="{5B1817CA-2E6F-42B0-BE6A-4DA6DA9D2225}"/>
    <cellStyle name="Hyperlink 14" xfId="4393" xr:uid="{A85670C0-6B43-441B-A4AE-439631A6C104}"/>
    <cellStyle name="Hyperlink 15" xfId="4273" xr:uid="{FE05B438-8E58-468B-8920-A2D12793C7D5}"/>
    <cellStyle name="Hyperlink 16" xfId="4508" xr:uid="{D6C1F250-E6A5-4475-BE50-58EA4AC41682}"/>
    <cellStyle name="Hyperlink 2" xfId="15" xr:uid="{00000000-0005-0000-0000-000002000000}"/>
    <cellStyle name="Hyperlink 2 2" xfId="191" xr:uid="{00000000-0005-0000-0000-00000B080000}"/>
    <cellStyle name="Hyperlink 2 2 2" xfId="192" xr:uid="{00000000-0005-0000-0000-00000C080000}"/>
    <cellStyle name="Hyperlink 2 2 3" xfId="2082" xr:uid="{00000000-0005-0000-0000-00000D080000}"/>
    <cellStyle name="Hyperlink 2 2 3 2" xfId="2979" xr:uid="{00000000-0005-0000-0000-000067080000}"/>
    <cellStyle name="Hyperlink 2 2 3 2 2" xfId="5263" xr:uid="{6D11704E-EDED-40AF-B381-C2E2FD6480A1}"/>
    <cellStyle name="Hyperlink 2 2 3 3" xfId="3609" xr:uid="{7DE97EAF-A600-4E8D-95B9-B758B02D4390}"/>
    <cellStyle name="Hyperlink 2 2 4" xfId="2970" xr:uid="{00000000-0005-0000-0000-000068080000}"/>
    <cellStyle name="Hyperlink 2 2 4 2" xfId="4358" xr:uid="{3B32E08E-109D-4863-9F8A-C6ACAC52B13B}"/>
    <cellStyle name="Hyperlink 2 3" xfId="2083" xr:uid="{00000000-0005-0000-0000-00000E080000}"/>
    <cellStyle name="Hyperlink 2 4" xfId="2084" xr:uid="{00000000-0005-0000-0000-00000F080000}"/>
    <cellStyle name="Hyperlink 2 4 2" xfId="2980" xr:uid="{00000000-0005-0000-0000-00006B080000}"/>
    <cellStyle name="Hyperlink 2 4 2 2" xfId="4070" xr:uid="{77F3AB0B-40C6-49E5-906D-D4E715CA9D71}"/>
    <cellStyle name="Hyperlink 2 4 3" xfId="3610" xr:uid="{6B8690AF-C964-417B-B924-63D89B611A1D}"/>
    <cellStyle name="Hyperlink 2 5" xfId="190" xr:uid="{00000000-0005-0000-0000-000010080000}"/>
    <cellStyle name="Hyperlink 2 6" xfId="2862" xr:uid="{00000000-0005-0000-0000-000011080000}"/>
    <cellStyle name="Hyperlink 2 6 2" xfId="5287" xr:uid="{B6564442-F364-4EE1-BE1D-64C97CB6D368}"/>
    <cellStyle name="Hyperlink 2 6 3" xfId="4271" xr:uid="{701AB458-613C-4E49-96E9-5F17E76570CF}"/>
    <cellStyle name="Hyperlink 2 7" xfId="3891" xr:uid="{CF01F711-6C09-454D-8948-5A2DD5D6AA99}"/>
    <cellStyle name="Hyperlink 2 7 2" xfId="4392" xr:uid="{F1D3F992-DB9C-4975-8805-954FBB1CA1CE}"/>
    <cellStyle name="Hyperlink 2 8" xfId="4270" xr:uid="{F15AED53-7D3B-473B-89EE-78E0F225D488}"/>
    <cellStyle name="Hyperlink 2 9" xfId="3999" xr:uid="{0AAC10C5-745A-4C0F-99B1-A872C2546740}"/>
    <cellStyle name="Hyperlink 3" xfId="193" xr:uid="{00000000-0005-0000-0000-000012080000}"/>
    <cellStyle name="Hyperlink 3 2" xfId="194" xr:uid="{00000000-0005-0000-0000-000013080000}"/>
    <cellStyle name="Hyperlink 3 3" xfId="2085" xr:uid="{00000000-0005-0000-0000-000014080000}"/>
    <cellStyle name="Hyperlink 30" xfId="2086" xr:uid="{00000000-0005-0000-0000-000015080000}"/>
    <cellStyle name="In 000s (Convert to 000s)" xfId="195" xr:uid="{00000000-0005-0000-0000-000016080000}"/>
    <cellStyle name="In 000s (Convert to 000s) 2" xfId="5256" xr:uid="{3B028D81-A4F3-4D69-8CA2-C3A7B001653B}"/>
    <cellStyle name="In 000s (Convert to 000s) 3" xfId="3517" xr:uid="{EDD25652-D9EA-4D63-BB88-689ECBBF6362}"/>
    <cellStyle name="Input 10 2" xfId="2087" xr:uid="{00000000-0005-0000-0000-000017080000}"/>
    <cellStyle name="Input 10 2 2" xfId="2657" xr:uid="{00000000-0005-0000-0000-000018080000}"/>
    <cellStyle name="Input 10 2 2 2" xfId="3196" xr:uid="{00000000-0005-0000-0000-000075080000}"/>
    <cellStyle name="Input 10 2 3" xfId="4720" xr:uid="{E98B7527-F89B-4FD7-933F-182F9A865A33}"/>
    <cellStyle name="Input 10 2 4" xfId="4697" xr:uid="{CDC5B9B0-6C77-44B7-BA52-F537BBA76B44}"/>
    <cellStyle name="Input 10 3" xfId="2088" xr:uid="{00000000-0005-0000-0000-000019080000}"/>
    <cellStyle name="Input 10 3 2" xfId="2658" xr:uid="{00000000-0005-0000-0000-00001A080000}"/>
    <cellStyle name="Input 10 3 2 2" xfId="3195" xr:uid="{00000000-0005-0000-0000-000078080000}"/>
    <cellStyle name="Input 10 3 3" xfId="5156" xr:uid="{E80175F7-E58C-47EC-9FCB-58CB33ECB90D}"/>
    <cellStyle name="Input 10 3 4" xfId="4698" xr:uid="{053269C7-B5D7-40E2-A912-AC15B15BA626}"/>
    <cellStyle name="Input 10 4" xfId="2089" xr:uid="{00000000-0005-0000-0000-00001B080000}"/>
    <cellStyle name="Input 10 4 2" xfId="2659" xr:uid="{00000000-0005-0000-0000-00001C080000}"/>
    <cellStyle name="Input 10 4 2 2" xfId="3194" xr:uid="{00000000-0005-0000-0000-00007B080000}"/>
    <cellStyle name="Input 10 4 3" xfId="5155" xr:uid="{2409877C-CE4B-454D-942E-0750847E925E}"/>
    <cellStyle name="Input 10 4 4" xfId="4924" xr:uid="{A3E1B59E-1497-4F9C-94E9-E839E3E93AD6}"/>
    <cellStyle name="Input 10 5" xfId="2090" xr:uid="{00000000-0005-0000-0000-00001D080000}"/>
    <cellStyle name="Input 10 5 2" xfId="2660" xr:uid="{00000000-0005-0000-0000-00001E080000}"/>
    <cellStyle name="Input 10 5 2 2" xfId="3193" xr:uid="{00000000-0005-0000-0000-00007E080000}"/>
    <cellStyle name="Input 10 5 3" xfId="5154" xr:uid="{A5D1AAF4-5DCD-4AF6-99B2-DB118EF74E31}"/>
    <cellStyle name="Input 10 5 4" xfId="4972" xr:uid="{E1E19666-3365-4487-AE63-43D597B6D987}"/>
    <cellStyle name="Input 10 6" xfId="2091" xr:uid="{00000000-0005-0000-0000-00001F080000}"/>
    <cellStyle name="Input 10 6 2" xfId="2661" xr:uid="{00000000-0005-0000-0000-000020080000}"/>
    <cellStyle name="Input 10 6 2 2" xfId="3192" xr:uid="{00000000-0005-0000-0000-000081080000}"/>
    <cellStyle name="Input 10 6 3" xfId="5153" xr:uid="{2730E4E5-981A-4C5A-897F-F9E2DC6974D9}"/>
    <cellStyle name="Input 10 6 4" xfId="5130" xr:uid="{0166A37B-6D12-4EB9-BB3A-402A9E3BDDE3}"/>
    <cellStyle name="Input 11 2" xfId="2092" xr:uid="{00000000-0005-0000-0000-000021080000}"/>
    <cellStyle name="Input 11 2 2" xfId="2662" xr:uid="{00000000-0005-0000-0000-000022080000}"/>
    <cellStyle name="Input 11 2 2 2" xfId="3191" xr:uid="{00000000-0005-0000-0000-000084080000}"/>
    <cellStyle name="Input 11 2 3" xfId="5103" xr:uid="{1468649E-78CC-4225-A21D-A5CD98A895DB}"/>
    <cellStyle name="Input 11 2 4" xfId="4648" xr:uid="{C82ADC3E-1D98-46DC-8C12-F09FC0D83A2C}"/>
    <cellStyle name="Input 11 3" xfId="2093" xr:uid="{00000000-0005-0000-0000-000023080000}"/>
    <cellStyle name="Input 11 3 2" xfId="2663" xr:uid="{00000000-0005-0000-0000-000024080000}"/>
    <cellStyle name="Input 11 3 2 2" xfId="3190" xr:uid="{00000000-0005-0000-0000-000087080000}"/>
    <cellStyle name="Input 11 3 3" xfId="4721" xr:uid="{CD276576-5C1C-423D-AA80-50B29AB5ED5C}"/>
    <cellStyle name="Input 11 3 4" xfId="4722" xr:uid="{48D7BECA-00DF-466B-A0FC-2134941E7DC0}"/>
    <cellStyle name="Input 11 4" xfId="2094" xr:uid="{00000000-0005-0000-0000-000025080000}"/>
    <cellStyle name="Input 11 4 2" xfId="2664" xr:uid="{00000000-0005-0000-0000-000026080000}"/>
    <cellStyle name="Input 11 4 2 2" xfId="3189" xr:uid="{00000000-0005-0000-0000-00008A080000}"/>
    <cellStyle name="Input 11 4 3" xfId="5152" xr:uid="{139C720C-4BD3-4C8E-9B5E-782F71657D4F}"/>
    <cellStyle name="Input 11 4 4" xfId="4925" xr:uid="{5008621A-5D03-4A6B-9025-3C4E67B0D36A}"/>
    <cellStyle name="Input 11 5" xfId="2095" xr:uid="{00000000-0005-0000-0000-000027080000}"/>
    <cellStyle name="Input 11 5 2" xfId="2665" xr:uid="{00000000-0005-0000-0000-000028080000}"/>
    <cellStyle name="Input 11 5 2 2" xfId="3188" xr:uid="{00000000-0005-0000-0000-00008D080000}"/>
    <cellStyle name="Input 11 5 3" xfId="4825" xr:uid="{65E3BA64-B1FF-4353-8E70-BA358DAAE2CD}"/>
    <cellStyle name="Input 11 5 4" xfId="4926" xr:uid="{2A045112-C9A4-4D1E-BF1C-97A1564BFAFE}"/>
    <cellStyle name="Input 11 6" xfId="2096" xr:uid="{00000000-0005-0000-0000-000029080000}"/>
    <cellStyle name="Input 11 6 2" xfId="2666" xr:uid="{00000000-0005-0000-0000-00002A080000}"/>
    <cellStyle name="Input 11 6 2 2" xfId="3187" xr:uid="{00000000-0005-0000-0000-000090080000}"/>
    <cellStyle name="Input 11 6 3" xfId="4824" xr:uid="{F6271352-BBC4-4983-8C54-1B694808AB88}"/>
    <cellStyle name="Input 11 6 4" xfId="4973" xr:uid="{82857FC3-8683-41DD-B285-A08A1D836952}"/>
    <cellStyle name="Input 2" xfId="196" xr:uid="{00000000-0005-0000-0000-00002B080000}"/>
    <cellStyle name="Input 2 2" xfId="2097" xr:uid="{00000000-0005-0000-0000-00002C080000}"/>
    <cellStyle name="Input 2 2 2" xfId="2667" xr:uid="{00000000-0005-0000-0000-00002D080000}"/>
    <cellStyle name="Input 2 2 2 2" xfId="3186" xr:uid="{00000000-0005-0000-0000-000094080000}"/>
    <cellStyle name="Input 2 2 3" xfId="4823" xr:uid="{50E613D4-58F9-4349-90B7-C00875E08024}"/>
    <cellStyle name="Input 2 2 4" xfId="4655" xr:uid="{9089BC4A-F881-4774-ACB0-E5B9EF1036FF}"/>
    <cellStyle name="Input 2 3" xfId="2098" xr:uid="{00000000-0005-0000-0000-00002E080000}"/>
    <cellStyle name="Input 2 3 2" xfId="2668" xr:uid="{00000000-0005-0000-0000-00002F080000}"/>
    <cellStyle name="Input 2 3 2 2" xfId="3185" xr:uid="{00000000-0005-0000-0000-000097080000}"/>
    <cellStyle name="Input 2 3 3" xfId="4822" xr:uid="{F598470E-CEA5-46C7-BCB5-23CD3597595D}"/>
    <cellStyle name="Input 2 3 4" xfId="4696" xr:uid="{F4F1E859-6727-488E-990E-78DE66B598CF}"/>
    <cellStyle name="Input 2 3 5" xfId="4028" xr:uid="{DD76AA16-08CD-4CBB-8D90-A9E99EFC33EF}"/>
    <cellStyle name="Input 2 3 6" xfId="4456" xr:uid="{F349E7BA-4A70-4276-8A0C-CAB9ED326CFD}"/>
    <cellStyle name="Input 2 4" xfId="2099" xr:uid="{00000000-0005-0000-0000-000030080000}"/>
    <cellStyle name="Input 2 4 2" xfId="2669" xr:uid="{00000000-0005-0000-0000-000031080000}"/>
    <cellStyle name="Input 2 4 2 2" xfId="3184" xr:uid="{00000000-0005-0000-0000-00009A080000}"/>
    <cellStyle name="Input 2 4 3" xfId="5140" xr:uid="{6CE98612-8601-467D-AE58-9D659143D201}"/>
    <cellStyle name="Input 2 4 4" xfId="4928" xr:uid="{98C32BD8-1E50-4C6E-996A-586F4F5CEFEE}"/>
    <cellStyle name="Input 2 4 5" xfId="4010" xr:uid="{648DE854-7C3D-4A12-83C0-0B0E8852DFCB}"/>
    <cellStyle name="Input 2 4 6" xfId="4269" xr:uid="{50047FB1-E93B-41E1-BFD1-6B4A35216316}"/>
    <cellStyle name="Input 2 5" xfId="2100" xr:uid="{00000000-0005-0000-0000-000032080000}"/>
    <cellStyle name="Input 2 5 2" xfId="2670" xr:uid="{00000000-0005-0000-0000-000033080000}"/>
    <cellStyle name="Input 2 5 2 2" xfId="3183" xr:uid="{00000000-0005-0000-0000-00009D080000}"/>
    <cellStyle name="Input 2 5 3" xfId="5102" xr:uid="{F358B46B-0F33-48FC-BF07-5184206BCF03}"/>
    <cellStyle name="Input 2 5 4" xfId="4929" xr:uid="{97CA5EAD-A561-4DDB-823C-0AC74258A4B3}"/>
    <cellStyle name="Input 2 5 5" xfId="4419" xr:uid="{31AE7CB1-8CB8-4798-B91D-BC77260F8078}"/>
    <cellStyle name="Input 2 5 6" xfId="4038" xr:uid="{E0EFBDB5-671D-4679-BA16-4C2E49B24719}"/>
    <cellStyle name="Input 2 6" xfId="2101" xr:uid="{00000000-0005-0000-0000-000034080000}"/>
    <cellStyle name="Input 2 6 2" xfId="2671" xr:uid="{00000000-0005-0000-0000-000035080000}"/>
    <cellStyle name="Input 2 6 2 2" xfId="3182" xr:uid="{00000000-0005-0000-0000-0000A0080000}"/>
    <cellStyle name="Input 2 6 3" xfId="4820" xr:uid="{F157458E-AE46-487D-BFE4-784A57A8B025}"/>
    <cellStyle name="Input 2 6 4" xfId="4736" xr:uid="{70595820-A94E-47FA-B486-57F0DB2D0DA3}"/>
    <cellStyle name="Input 2 6 5" xfId="4069" xr:uid="{68C58D8B-1707-4409-9E0C-9D42F25DE0CB}"/>
    <cellStyle name="Input 2 6 6" xfId="4158" xr:uid="{A03198C3-FA28-4545-BCF6-FF036670CE13}"/>
    <cellStyle name="Input 2 7" xfId="2560" xr:uid="{00000000-0005-0000-0000-000036080000}"/>
    <cellStyle name="Input 2 7 2" xfId="3293" xr:uid="{00000000-0005-0000-0000-0000A2080000}"/>
    <cellStyle name="Input 2 8" xfId="4523" xr:uid="{C63D5A2F-EEEB-47AD-BA1E-B6E9558AF076}"/>
    <cellStyle name="Input 2 8 2" xfId="4727" xr:uid="{ED6ABE1E-7C03-420B-B79B-BF6376575A2C}"/>
    <cellStyle name="Input 2 9" xfId="5056" xr:uid="{0369BF13-AB8C-4211-BC82-FA54EB4C9CAD}"/>
    <cellStyle name="Input 3" xfId="197" xr:uid="{00000000-0005-0000-0000-000037080000}"/>
    <cellStyle name="Input 3 10" xfId="4726" xr:uid="{041453F1-B9D2-44EE-84C4-56E6BEE00F18}"/>
    <cellStyle name="Input 3 11" xfId="4968" xr:uid="{F2E50896-029D-4507-B348-DF8958A389B9}"/>
    <cellStyle name="Input 3 12" xfId="4546" xr:uid="{F56DDEF6-AC3B-42EE-A81D-D0D1969B3A82}"/>
    <cellStyle name="Input 3 2" xfId="2103" xr:uid="{00000000-0005-0000-0000-000038080000}"/>
    <cellStyle name="Input 3 2 2" xfId="2673" xr:uid="{00000000-0005-0000-0000-000039080000}"/>
    <cellStyle name="Input 3 2 2 2" xfId="3180" xr:uid="{00000000-0005-0000-0000-0000A6080000}"/>
    <cellStyle name="Input 3 2 3" xfId="4818" xr:uid="{658896D2-99DB-4EB6-BD8D-DADB415823CC}"/>
    <cellStyle name="Input 3 2 4" xfId="4931" xr:uid="{D9FF9477-494A-40FD-A7E5-49B30CC451E4}"/>
    <cellStyle name="Input 3 3" xfId="2104" xr:uid="{00000000-0005-0000-0000-00003A080000}"/>
    <cellStyle name="Input 3 3 2" xfId="2674" xr:uid="{00000000-0005-0000-0000-00003B080000}"/>
    <cellStyle name="Input 3 3 2 2" xfId="3179" xr:uid="{00000000-0005-0000-0000-0000A9080000}"/>
    <cellStyle name="Input 3 3 3" xfId="4817" xr:uid="{F6BFA831-A132-478C-A7B1-5CB65B3596BB}"/>
    <cellStyle name="Input 3 3 4" xfId="4656" xr:uid="{6C39F110-D8E5-4E16-8EE0-EB4E853707FE}"/>
    <cellStyle name="Input 3 4" xfId="2105" xr:uid="{00000000-0005-0000-0000-00003C080000}"/>
    <cellStyle name="Input 3 4 2" xfId="2675" xr:uid="{00000000-0005-0000-0000-00003D080000}"/>
    <cellStyle name="Input 3 4 2 2" xfId="3178" xr:uid="{00000000-0005-0000-0000-0000AC080000}"/>
    <cellStyle name="Input 3 4 3" xfId="4816" xr:uid="{890A73A4-5B50-448F-BDD1-01079B33666E}"/>
    <cellStyle name="Input 3 4 4" xfId="4927" xr:uid="{661C628F-28B2-4D7B-8227-2A55F98DBE98}"/>
    <cellStyle name="Input 3 5" xfId="2106" xr:uid="{00000000-0005-0000-0000-00003E080000}"/>
    <cellStyle name="Input 3 5 2" xfId="2676" xr:uid="{00000000-0005-0000-0000-00003F080000}"/>
    <cellStyle name="Input 3 5 2 2" xfId="3177" xr:uid="{00000000-0005-0000-0000-0000AF080000}"/>
    <cellStyle name="Input 3 5 3" xfId="5151" xr:uid="{4B3284F2-48C3-4F6B-B5A2-7D885D983E98}"/>
    <cellStyle name="Input 3 5 4" xfId="5050" xr:uid="{DEE6F0DB-A3F3-4FA8-B9F9-6A3B86A2D0A1}"/>
    <cellStyle name="Input 3 6" xfId="2107" xr:uid="{00000000-0005-0000-0000-000040080000}"/>
    <cellStyle name="Input 3 6 2" xfId="2677" xr:uid="{00000000-0005-0000-0000-000041080000}"/>
    <cellStyle name="Input 3 6 2 2" xfId="3176" xr:uid="{00000000-0005-0000-0000-0000B2080000}"/>
    <cellStyle name="Input 3 6 3" xfId="4821" xr:uid="{0695DD06-818E-4848-8F41-90DE59F2AD64}"/>
    <cellStyle name="Input 3 6 4" xfId="4932" xr:uid="{7870C9DE-2A10-4A55-B8A2-8B48B83E0129}"/>
    <cellStyle name="Input 3 7" xfId="2108" xr:uid="{00000000-0005-0000-0000-000042080000}"/>
    <cellStyle name="Input 3 7 2" xfId="2678" xr:uid="{00000000-0005-0000-0000-000043080000}"/>
    <cellStyle name="Input 3 7 2 2" xfId="3175" xr:uid="{00000000-0005-0000-0000-0000B5080000}"/>
    <cellStyle name="Input 3 7 3" xfId="5101" xr:uid="{23B023C3-46D1-4471-9DC1-8A649B58023E}"/>
    <cellStyle name="Input 3 7 4" xfId="4733" xr:uid="{56060E7B-ECA7-4C70-AA93-DEA369160EF4}"/>
    <cellStyle name="Input 3 7 5" xfId="4068" xr:uid="{32B66081-D4D7-4D47-9A66-11B438CD0FFB}"/>
    <cellStyle name="Input 3 7 6" xfId="4002" xr:uid="{922DED74-E1B8-471F-8061-385412D09B37}"/>
    <cellStyle name="Input 3 8" xfId="2102" xr:uid="{00000000-0005-0000-0000-000044080000}"/>
    <cellStyle name="Input 3 8 2" xfId="2672" xr:uid="{00000000-0005-0000-0000-000045080000}"/>
    <cellStyle name="Input 3 8 2 2" xfId="3181" xr:uid="{00000000-0005-0000-0000-0000B8080000}"/>
    <cellStyle name="Input 3 8 3" xfId="4819" xr:uid="{8F18B6AE-06C7-40E6-BD44-92AC0B05BFD6}"/>
    <cellStyle name="Input 3 8 4" xfId="4930" xr:uid="{7B4DBE79-8768-445E-93F7-0641C850EAC8}"/>
    <cellStyle name="Input 3 9" xfId="2561" xr:uid="{00000000-0005-0000-0000-000046080000}"/>
    <cellStyle name="Input 3 9 2" xfId="3292" xr:uid="{00000000-0005-0000-0000-0000BA080000}"/>
    <cellStyle name="Input 4" xfId="198" xr:uid="{00000000-0005-0000-0000-000047080000}"/>
    <cellStyle name="Input 4 10" xfId="5088" xr:uid="{EB63ED9A-A1FB-4306-A0BE-6CB8C686BC1B}"/>
    <cellStyle name="Input 4 11" xfId="4969" xr:uid="{0F63AEFB-6421-4B55-9C5B-DABC6C37ED7E}"/>
    <cellStyle name="Input 4 2" xfId="2110" xr:uid="{00000000-0005-0000-0000-000048080000}"/>
    <cellStyle name="Input 4 2 2" xfId="2680" xr:uid="{00000000-0005-0000-0000-000049080000}"/>
    <cellStyle name="Input 4 2 2 2" xfId="3173" xr:uid="{00000000-0005-0000-0000-0000BE080000}"/>
    <cellStyle name="Input 4 2 3" xfId="4813" xr:uid="{DED6B6AD-EAC2-4D06-9770-81E06E274662}"/>
    <cellStyle name="Input 4 2 4" xfId="4935" xr:uid="{46A079BD-5F14-4D08-B25C-37D6E1CE48E4}"/>
    <cellStyle name="Input 4 2 5" xfId="4067" xr:uid="{CFF4D4E5-F9F4-4CD2-B811-E730C42291EB}"/>
    <cellStyle name="Input 4 2 6" xfId="4157" xr:uid="{4C0EDC48-24EC-41BD-9C5A-B0790A04A802}"/>
    <cellStyle name="Input 4 3" xfId="2111" xr:uid="{00000000-0005-0000-0000-00004A080000}"/>
    <cellStyle name="Input 4 3 2" xfId="2681" xr:uid="{00000000-0005-0000-0000-00004B080000}"/>
    <cellStyle name="Input 4 3 2 2" xfId="3172" xr:uid="{00000000-0005-0000-0000-0000C1080000}"/>
    <cellStyle name="Input 4 3 3" xfId="4812" xr:uid="{53D986B6-D0E0-4F36-B514-40DC892CC998}"/>
    <cellStyle name="Input 4 3 4" xfId="4936" xr:uid="{B7C63931-4155-483B-B8F6-1FF1A76F836F}"/>
    <cellStyle name="Input 4 4" xfId="2112" xr:uid="{00000000-0005-0000-0000-00004C080000}"/>
    <cellStyle name="Input 4 4 2" xfId="2682" xr:uid="{00000000-0005-0000-0000-00004D080000}"/>
    <cellStyle name="Input 4 4 2 2" xfId="3171" xr:uid="{00000000-0005-0000-0000-0000C4080000}"/>
    <cellStyle name="Input 4 4 3" xfId="4811" xr:uid="{DFC4B7A9-B1DB-48E5-9FB5-837C99448EEE}"/>
    <cellStyle name="Input 4 4 4" xfId="4795" xr:uid="{6459DDCE-736C-4D1C-AC29-55E90AD3AF2C}"/>
    <cellStyle name="Input 4 5" xfId="2113" xr:uid="{00000000-0005-0000-0000-00004E080000}"/>
    <cellStyle name="Input 4 5 2" xfId="2683" xr:uid="{00000000-0005-0000-0000-00004F080000}"/>
    <cellStyle name="Input 4 5 2 2" xfId="3170" xr:uid="{00000000-0005-0000-0000-0000C7080000}"/>
    <cellStyle name="Input 4 5 3" xfId="5150" xr:uid="{8CCA3490-718A-4269-96CB-BD06DDDDE5EB}"/>
    <cellStyle name="Input 4 5 4" xfId="5064" xr:uid="{0E4F54E8-9E0C-4F49-BCEE-487277C964D9}"/>
    <cellStyle name="Input 4 6" xfId="2114" xr:uid="{00000000-0005-0000-0000-000050080000}"/>
    <cellStyle name="Input 4 6 2" xfId="2684" xr:uid="{00000000-0005-0000-0000-000051080000}"/>
    <cellStyle name="Input 4 6 2 2" xfId="3169" xr:uid="{00000000-0005-0000-0000-0000CA080000}"/>
    <cellStyle name="Input 4 6 3" xfId="4809" xr:uid="{03A9F1ED-FC27-45C1-B446-F1FF8BB76827}"/>
    <cellStyle name="Input 4 6 4" xfId="5195" xr:uid="{4F86A2CD-6082-4E7B-9EB7-8D76FF203393}"/>
    <cellStyle name="Input 4 7" xfId="2115" xr:uid="{00000000-0005-0000-0000-000052080000}"/>
    <cellStyle name="Input 4 7 2" xfId="2685" xr:uid="{00000000-0005-0000-0000-000053080000}"/>
    <cellStyle name="Input 4 7 2 2" xfId="3168" xr:uid="{00000000-0005-0000-0000-0000CD080000}"/>
    <cellStyle name="Input 4 7 3" xfId="4719" xr:uid="{8ACFACE7-9BE8-4A0F-97DF-62060A590CB1}"/>
    <cellStyle name="Input 4 7 4" xfId="4796" xr:uid="{62FD0A6E-4876-4E8D-ABF2-100C60189E27}"/>
    <cellStyle name="Input 4 8" xfId="2109" xr:uid="{00000000-0005-0000-0000-000054080000}"/>
    <cellStyle name="Input 4 8 2" xfId="2679" xr:uid="{00000000-0005-0000-0000-000055080000}"/>
    <cellStyle name="Input 4 8 2 2" xfId="3174" xr:uid="{00000000-0005-0000-0000-0000D0080000}"/>
    <cellStyle name="Input 4 8 3" xfId="4814" xr:uid="{903F30D1-3E3C-4036-8538-BADD39E61207}"/>
    <cellStyle name="Input 4 8 4" xfId="4934" xr:uid="{867CA3E2-922E-45F0-8B3C-F4287829ED29}"/>
    <cellStyle name="Input 4 9" xfId="2562" xr:uid="{00000000-0005-0000-0000-000056080000}"/>
    <cellStyle name="Input 4 9 2" xfId="3291" xr:uid="{00000000-0005-0000-0000-0000D2080000}"/>
    <cellStyle name="Input 5" xfId="199" xr:uid="{00000000-0005-0000-0000-000057080000}"/>
    <cellStyle name="Input 5 2" xfId="2116" xr:uid="{00000000-0005-0000-0000-000058080000}"/>
    <cellStyle name="Input 5 2 2" xfId="2686" xr:uid="{00000000-0005-0000-0000-000059080000}"/>
    <cellStyle name="Input 5 2 2 2" xfId="3167" xr:uid="{00000000-0005-0000-0000-0000D6080000}"/>
    <cellStyle name="Input 5 2 3" xfId="4718" xr:uid="{1E102E74-2F54-431F-8855-FA98B0C29255}"/>
    <cellStyle name="Input 5 2 4" xfId="5148" xr:uid="{312BB343-762F-4CCD-A47D-19D7FAD4C344}"/>
    <cellStyle name="Input 5 3" xfId="2117" xr:uid="{00000000-0005-0000-0000-00005A080000}"/>
    <cellStyle name="Input 5 3 2" xfId="2687" xr:uid="{00000000-0005-0000-0000-00005B080000}"/>
    <cellStyle name="Input 5 3 2 2" xfId="3166" xr:uid="{00000000-0005-0000-0000-0000D9080000}"/>
    <cellStyle name="Input 5 3 3" xfId="4638" xr:uid="{A104F7C2-0FD2-4B04-A967-A4E9D39C6A73}"/>
    <cellStyle name="Input 5 3 4" xfId="4803" xr:uid="{8B515F20-5AC2-457A-9E6A-B5D926C90C0C}"/>
    <cellStyle name="Input 5 4" xfId="2118" xr:uid="{00000000-0005-0000-0000-00005C080000}"/>
    <cellStyle name="Input 5 4 2" xfId="2688" xr:uid="{00000000-0005-0000-0000-00005D080000}"/>
    <cellStyle name="Input 5 4 2 2" xfId="3165" xr:uid="{00000000-0005-0000-0000-0000DC080000}"/>
    <cellStyle name="Input 5 4 3" xfId="5070" xr:uid="{697EB200-65D1-4788-A1CF-9A7FE16D877D}"/>
    <cellStyle name="Input 5 4 4" xfId="4613" xr:uid="{FF6574AB-A667-494E-BAD9-0C5B4E3E3054}"/>
    <cellStyle name="Input 5 5" xfId="2119" xr:uid="{00000000-0005-0000-0000-00005E080000}"/>
    <cellStyle name="Input 5 5 2" xfId="2689" xr:uid="{00000000-0005-0000-0000-00005F080000}"/>
    <cellStyle name="Input 5 5 2 2" xfId="3164" xr:uid="{00000000-0005-0000-0000-0000DF080000}"/>
    <cellStyle name="Input 5 5 3" xfId="5069" xr:uid="{00D3A611-BE37-42C3-A28E-C7F998FFC545}"/>
    <cellStyle name="Input 5 5 4" xfId="4612" xr:uid="{8AAB6276-3D86-4295-95A2-A3BDAA3B212A}"/>
    <cellStyle name="Input 5 6" xfId="2120" xr:uid="{00000000-0005-0000-0000-000060080000}"/>
    <cellStyle name="Input 5 6 2" xfId="2690" xr:uid="{00000000-0005-0000-0000-000061080000}"/>
    <cellStyle name="Input 5 6 2 2" xfId="3163" xr:uid="{00000000-0005-0000-0000-0000E2080000}"/>
    <cellStyle name="Input 5 6 3" xfId="5068" xr:uid="{0DA4F3FB-F27A-455B-984B-EEFDDA46E367}"/>
    <cellStyle name="Input 5 6 4" xfId="4753" xr:uid="{900FAB3F-7E3C-4C93-97DB-F8DF68B80971}"/>
    <cellStyle name="Input 5 7" xfId="2563" xr:uid="{00000000-0005-0000-0000-000062080000}"/>
    <cellStyle name="Input 5 7 2" xfId="3290" xr:uid="{00000000-0005-0000-0000-0000E4080000}"/>
    <cellStyle name="Input 5 8" xfId="4725" xr:uid="{939F417D-F655-4D6E-AF38-0485743FB800}"/>
    <cellStyle name="Input 5 9" xfId="4970" xr:uid="{4D9517FE-4A77-48AA-9D18-70A296367E45}"/>
    <cellStyle name="Input 6" xfId="200" xr:uid="{00000000-0005-0000-0000-000063080000}"/>
    <cellStyle name="Input 6 2" xfId="2121" xr:uid="{00000000-0005-0000-0000-000064080000}"/>
    <cellStyle name="Input 6 2 2" xfId="2691" xr:uid="{00000000-0005-0000-0000-000065080000}"/>
    <cellStyle name="Input 6 2 2 2" xfId="3162" xr:uid="{00000000-0005-0000-0000-0000E8080000}"/>
    <cellStyle name="Input 6 2 3" xfId="4815" xr:uid="{E0AE273D-65AE-4B00-82C8-9F6EC05AD5E2}"/>
    <cellStyle name="Input 6 2 4" xfId="4797" xr:uid="{DF18F8AC-2644-4011-A829-40F7A30281FD}"/>
    <cellStyle name="Input 6 3" xfId="2122" xr:uid="{00000000-0005-0000-0000-000066080000}"/>
    <cellStyle name="Input 6 3 2" xfId="2692" xr:uid="{00000000-0005-0000-0000-000067080000}"/>
    <cellStyle name="Input 6 3 2 2" xfId="3161" xr:uid="{00000000-0005-0000-0000-0000EB080000}"/>
    <cellStyle name="Input 6 3 3" xfId="5100" xr:uid="{678184B4-019A-4530-8DCE-F6F9E208697E}"/>
    <cellStyle name="Input 6 3 4" xfId="4650" xr:uid="{AE72F959-A576-4AC6-B1EF-86CF1303B73A}"/>
    <cellStyle name="Input 6 4" xfId="2123" xr:uid="{00000000-0005-0000-0000-000068080000}"/>
    <cellStyle name="Input 6 4 2" xfId="2693" xr:uid="{00000000-0005-0000-0000-000069080000}"/>
    <cellStyle name="Input 6 4 2 2" xfId="3160" xr:uid="{00000000-0005-0000-0000-0000EE080000}"/>
    <cellStyle name="Input 6 4 3" xfId="4808" xr:uid="{09EE6A32-C0C8-43E5-8562-3492599DA407}"/>
    <cellStyle name="Input 6 4 4" xfId="4938" xr:uid="{8C6AD906-D817-472D-B40C-6AF0F31AEA4B}"/>
    <cellStyle name="Input 6 5" xfId="2124" xr:uid="{00000000-0005-0000-0000-00006A080000}"/>
    <cellStyle name="Input 6 5 2" xfId="2694" xr:uid="{00000000-0005-0000-0000-00006B080000}"/>
    <cellStyle name="Input 6 5 2 2" xfId="3159" xr:uid="{00000000-0005-0000-0000-0000F1080000}"/>
    <cellStyle name="Input 6 5 3" xfId="5067" xr:uid="{27E2FB71-46A4-4395-85FF-4ED1340102C4}"/>
    <cellStyle name="Input 6 5 4" xfId="4939" xr:uid="{B52ECBDF-D018-48A4-90F2-4D0784BA34FB}"/>
    <cellStyle name="Input 6 6" xfId="2125" xr:uid="{00000000-0005-0000-0000-00006C080000}"/>
    <cellStyle name="Input 6 6 2" xfId="2695" xr:uid="{00000000-0005-0000-0000-00006D080000}"/>
    <cellStyle name="Input 6 6 2 2" xfId="3158" xr:uid="{00000000-0005-0000-0000-0000F4080000}"/>
    <cellStyle name="Input 6 6 3" xfId="5066" xr:uid="{AFF89A9B-B973-4A8D-AF61-46AF719688F2}"/>
    <cellStyle name="Input 6 6 4" xfId="4828" xr:uid="{A3D7114C-BE8E-4014-8ABC-A568706AB608}"/>
    <cellStyle name="Input 6 7" xfId="2564" xr:uid="{00000000-0005-0000-0000-00006E080000}"/>
    <cellStyle name="Input 6 7 2" xfId="3289" xr:uid="{00000000-0005-0000-0000-0000F6080000}"/>
    <cellStyle name="Input 6 8" xfId="4978" xr:uid="{B0F0611F-F5CC-4C7D-9A87-E49CAC9B291C}"/>
    <cellStyle name="Input 6 9" xfId="5164" xr:uid="{C5D4916E-E92F-432E-89DB-0B512BEFF2A4}"/>
    <cellStyle name="Input 7" xfId="201" xr:uid="{00000000-0005-0000-0000-00006F080000}"/>
    <cellStyle name="Input 7 2" xfId="2126" xr:uid="{00000000-0005-0000-0000-000070080000}"/>
    <cellStyle name="Input 7 2 2" xfId="2696" xr:uid="{00000000-0005-0000-0000-000071080000}"/>
    <cellStyle name="Input 7 2 2 2" xfId="3157" xr:uid="{00000000-0005-0000-0000-0000FA080000}"/>
    <cellStyle name="Input 7 2 3" xfId="4807" xr:uid="{8DCD3B11-1C2B-4B99-9DBB-C32BE493CF9A}"/>
    <cellStyle name="Input 7 2 4" xfId="4933" xr:uid="{974BD61D-5948-430C-9706-E0C68028F8ED}"/>
    <cellStyle name="Input 7 3" xfId="2127" xr:uid="{00000000-0005-0000-0000-000072080000}"/>
    <cellStyle name="Input 7 3 2" xfId="2697" xr:uid="{00000000-0005-0000-0000-000073080000}"/>
    <cellStyle name="Input 7 3 2 2" xfId="3156" xr:uid="{00000000-0005-0000-0000-0000FD080000}"/>
    <cellStyle name="Input 7 3 3" xfId="4806" xr:uid="{65B2B6D2-AE1A-4AA6-8424-D8535ECA44F2}"/>
    <cellStyle name="Input 7 3 4" xfId="4734" xr:uid="{F5CCC477-C220-408D-89AA-15CA2DA52F54}"/>
    <cellStyle name="Input 7 4" xfId="2128" xr:uid="{00000000-0005-0000-0000-000074080000}"/>
    <cellStyle name="Input 7 4 2" xfId="2698" xr:uid="{00000000-0005-0000-0000-000075080000}"/>
    <cellStyle name="Input 7 4 2 2" xfId="3155" xr:uid="{00000000-0005-0000-0000-000000090000}"/>
    <cellStyle name="Input 7 4 3" xfId="4633" xr:uid="{491C963F-F34B-4F8D-8AB6-5021107C49FF}"/>
    <cellStyle name="Input 7 4 4" xfId="4941" xr:uid="{FA06A247-C6DE-484A-B0D0-B2A2CE3407E3}"/>
    <cellStyle name="Input 7 5" xfId="2129" xr:uid="{00000000-0005-0000-0000-000076080000}"/>
    <cellStyle name="Input 7 5 2" xfId="2699" xr:uid="{00000000-0005-0000-0000-000077080000}"/>
    <cellStyle name="Input 7 5 2 2" xfId="3154" xr:uid="{00000000-0005-0000-0000-000003090000}"/>
    <cellStyle name="Input 7 5 3" xfId="4805" xr:uid="{F6C399FD-A7D3-4042-8407-27BD1414C80F}"/>
    <cellStyle name="Input 7 5 4" xfId="5054" xr:uid="{4F79A6F7-30CC-4F31-9151-935C8196C387}"/>
    <cellStyle name="Input 7 6" xfId="2130" xr:uid="{00000000-0005-0000-0000-000078080000}"/>
    <cellStyle name="Input 7 6 2" xfId="2700" xr:uid="{00000000-0005-0000-0000-000079080000}"/>
    <cellStyle name="Input 7 6 2 2" xfId="3153" xr:uid="{00000000-0005-0000-0000-000006090000}"/>
    <cellStyle name="Input 7 6 3" xfId="4804" xr:uid="{94F61D33-D34D-40CE-B541-12FB7AEA6EA1}"/>
    <cellStyle name="Input 7 6 4" xfId="4942" xr:uid="{9CF2DD26-107B-44CF-B724-03D32055C6E5}"/>
    <cellStyle name="Input 7 7" xfId="2565" xr:uid="{00000000-0005-0000-0000-00007A080000}"/>
    <cellStyle name="Input 7 7 2" xfId="3288" xr:uid="{00000000-0005-0000-0000-000008090000}"/>
    <cellStyle name="Input 7 8" xfId="4623" xr:uid="{1FCDC91B-A441-42D8-ACC7-B7DF844843A7}"/>
    <cellStyle name="Input 7 9" xfId="4875" xr:uid="{F8BC9EF2-B6B9-4C54-9277-1362D1961874}"/>
    <cellStyle name="Input 8 2" xfId="2131" xr:uid="{00000000-0005-0000-0000-00007B080000}"/>
    <cellStyle name="Input 8 2 2" xfId="2701" xr:uid="{00000000-0005-0000-0000-00007C080000}"/>
    <cellStyle name="Input 8 2 2 2" xfId="3152" xr:uid="{00000000-0005-0000-0000-00000B090000}"/>
    <cellStyle name="Input 8 2 3" xfId="5099" xr:uid="{4866BD8C-CDBE-4900-A498-DE8E787E8866}"/>
    <cellStyle name="Input 8 2 4" xfId="4943" xr:uid="{C015955F-8FB6-487C-AA61-018E4493A2DC}"/>
    <cellStyle name="Input 8 3" xfId="2132" xr:uid="{00000000-0005-0000-0000-00007D080000}"/>
    <cellStyle name="Input 8 3 2" xfId="2702" xr:uid="{00000000-0005-0000-0000-00007E080000}"/>
    <cellStyle name="Input 8 3 2 2" xfId="3151" xr:uid="{00000000-0005-0000-0000-00000E090000}"/>
    <cellStyle name="Input 8 3 3" xfId="4810" xr:uid="{D7E1CB48-3EF5-4808-B1B5-BEE48D0672D8}"/>
    <cellStyle name="Input 8 3 4" xfId="4937" xr:uid="{C6DF9B50-83CA-4D1A-A747-0A1856602462}"/>
    <cellStyle name="Input 8 4" xfId="2133" xr:uid="{00000000-0005-0000-0000-00007F080000}"/>
    <cellStyle name="Input 8 4 2" xfId="2703" xr:uid="{00000000-0005-0000-0000-000080080000}"/>
    <cellStyle name="Input 8 4 2 2" xfId="3150" xr:uid="{00000000-0005-0000-0000-000011090000}"/>
    <cellStyle name="Input 8 4 3" xfId="5149" xr:uid="{B902B417-6DB5-4C3A-B202-E1FCF524BF72}"/>
    <cellStyle name="Input 8 4 4" xfId="4614" xr:uid="{F849DCBA-C647-4574-990F-6EC977BEE348}"/>
    <cellStyle name="Input 8 5" xfId="2134" xr:uid="{00000000-0005-0000-0000-000081080000}"/>
    <cellStyle name="Input 8 5 2" xfId="2704" xr:uid="{00000000-0005-0000-0000-000082080000}"/>
    <cellStyle name="Input 8 5 2 2" xfId="3149" xr:uid="{00000000-0005-0000-0000-000014090000}"/>
    <cellStyle name="Input 8 5 3" xfId="4802" xr:uid="{7F0C6EEB-66CD-43AA-9F2D-86CA083915F1}"/>
    <cellStyle name="Input 8 5 4" xfId="4657" xr:uid="{0844F8E0-80D3-45EA-8930-2CF9D938BE90}"/>
    <cellStyle name="Input 8 6" xfId="2135" xr:uid="{00000000-0005-0000-0000-000083080000}"/>
    <cellStyle name="Input 8 6 2" xfId="2705" xr:uid="{00000000-0005-0000-0000-000084080000}"/>
    <cellStyle name="Input 8 6 2 2" xfId="3148" xr:uid="{00000000-0005-0000-0000-000017090000}"/>
    <cellStyle name="Input 8 6 3" xfId="4801" xr:uid="{47055850-5BAA-4C66-A481-5B3D8AEFEA24}"/>
    <cellStyle name="Input 8 6 4" xfId="4728" xr:uid="{94C3BB1A-4FBD-4CBD-A99A-83850F4EA3F6}"/>
    <cellStyle name="Input 9 2" xfId="2136" xr:uid="{00000000-0005-0000-0000-000085080000}"/>
    <cellStyle name="Input 9 2 2" xfId="2706" xr:uid="{00000000-0005-0000-0000-000086080000}"/>
    <cellStyle name="Input 9 2 2 2" xfId="3147" xr:uid="{00000000-0005-0000-0000-00001A090000}"/>
    <cellStyle name="Input 9 2 3" xfId="4800" xr:uid="{20A64CA3-E91A-47F8-8956-02BA30451EC9}"/>
    <cellStyle name="Input 9 2 4" xfId="5157" xr:uid="{BBFBCB00-F9EA-4048-8F79-C62A9B0EB962}"/>
    <cellStyle name="Input 9 3" xfId="2137" xr:uid="{00000000-0005-0000-0000-000087080000}"/>
    <cellStyle name="Input 9 3 2" xfId="2707" xr:uid="{00000000-0005-0000-0000-000088080000}"/>
    <cellStyle name="Input 9 3 2 2" xfId="3146" xr:uid="{00000000-0005-0000-0000-00001D090000}"/>
    <cellStyle name="Input 9 3 3" xfId="5098" xr:uid="{C1F71F45-69F0-4FA5-A585-44927751AC01}"/>
    <cellStyle name="Input 9 3 4" xfId="4940" xr:uid="{9D85DC56-F9CE-4B82-B424-135AB0205792}"/>
    <cellStyle name="Input 9 4" xfId="2138" xr:uid="{00000000-0005-0000-0000-000089080000}"/>
    <cellStyle name="Input 9 4 2" xfId="2708" xr:uid="{00000000-0005-0000-0000-00008A080000}"/>
    <cellStyle name="Input 9 4 2 2" xfId="3145" xr:uid="{00000000-0005-0000-0000-000020090000}"/>
    <cellStyle name="Input 9 4 3" xfId="4799" xr:uid="{443FA9D7-B26F-43A3-9D00-3F70F49A20BD}"/>
    <cellStyle name="Input 9 4 4" xfId="4735" xr:uid="{D7D4526B-B43D-474C-BFD2-4E935EC749CD}"/>
    <cellStyle name="Input 9 5" xfId="2139" xr:uid="{00000000-0005-0000-0000-00008B080000}"/>
    <cellStyle name="Input 9 5 2" xfId="2709" xr:uid="{00000000-0005-0000-0000-00008C080000}"/>
    <cellStyle name="Input 9 5 2 2" xfId="3144" xr:uid="{00000000-0005-0000-0000-000023090000}"/>
    <cellStyle name="Input 9 5 3" xfId="5065" xr:uid="{9A02DFAC-1837-405B-BCF0-D84DBBF4A191}"/>
    <cellStyle name="Input 9 5 4" xfId="4658" xr:uid="{FB311C22-FF49-4E43-BB9A-97FA4F202A8C}"/>
    <cellStyle name="Input 9 6" xfId="2140" xr:uid="{00000000-0005-0000-0000-00008D080000}"/>
    <cellStyle name="Input 9 6 2" xfId="2710" xr:uid="{00000000-0005-0000-0000-00008E080000}"/>
    <cellStyle name="Input 9 6 2 2" xfId="3143" xr:uid="{00000000-0005-0000-0000-000026090000}"/>
    <cellStyle name="Input 9 6 3" xfId="4798" xr:uid="{24B1FECD-46EF-456B-82C3-7E2F323D8ABD}"/>
    <cellStyle name="Input 9 6 4" xfId="5181" xr:uid="{47CFF040-4A4E-4DD0-8547-7E20D842CAE2}"/>
    <cellStyle name="Linked Cell 10 2" xfId="2141" xr:uid="{00000000-0005-0000-0000-00008F080000}"/>
    <cellStyle name="Linked Cell 10 3" xfId="2142" xr:uid="{00000000-0005-0000-0000-000090080000}"/>
    <cellStyle name="Linked Cell 10 4" xfId="2143" xr:uid="{00000000-0005-0000-0000-000091080000}"/>
    <cellStyle name="Linked Cell 10 5" xfId="2144" xr:uid="{00000000-0005-0000-0000-000092080000}"/>
    <cellStyle name="Linked Cell 10 6" xfId="2145" xr:uid="{00000000-0005-0000-0000-000093080000}"/>
    <cellStyle name="Linked Cell 11 2" xfId="2146" xr:uid="{00000000-0005-0000-0000-000094080000}"/>
    <cellStyle name="Linked Cell 11 3" xfId="2147" xr:uid="{00000000-0005-0000-0000-000095080000}"/>
    <cellStyle name="Linked Cell 11 4" xfId="2148" xr:uid="{00000000-0005-0000-0000-000096080000}"/>
    <cellStyle name="Linked Cell 11 5" xfId="2149" xr:uid="{00000000-0005-0000-0000-000097080000}"/>
    <cellStyle name="Linked Cell 11 6" xfId="2150" xr:uid="{00000000-0005-0000-0000-000098080000}"/>
    <cellStyle name="Linked Cell 2" xfId="202" xr:uid="{00000000-0005-0000-0000-000099080000}"/>
    <cellStyle name="Linked Cell 2 2" xfId="2151" xr:uid="{00000000-0005-0000-0000-00009A080000}"/>
    <cellStyle name="Linked Cell 2 3" xfId="2152" xr:uid="{00000000-0005-0000-0000-00009B080000}"/>
    <cellStyle name="Linked Cell 2 3 2" xfId="4066" xr:uid="{2FBDC63F-85C1-4C3F-A999-B2211E7F8135}"/>
    <cellStyle name="Linked Cell 2 3 3" xfId="4268" xr:uid="{7293207D-8401-4C40-8353-7712B4B32443}"/>
    <cellStyle name="Linked Cell 2 4" xfId="2153" xr:uid="{00000000-0005-0000-0000-00009C080000}"/>
    <cellStyle name="Linked Cell 2 4 2" xfId="4029" xr:uid="{B2CE833F-E283-4031-A2E9-FA3AB2AD8E2C}"/>
    <cellStyle name="Linked Cell 2 4 3" xfId="4506" xr:uid="{4FA61D85-9685-4FA4-928C-C24AAF842F57}"/>
    <cellStyle name="Linked Cell 2 5" xfId="2154" xr:uid="{00000000-0005-0000-0000-00009D080000}"/>
    <cellStyle name="Linked Cell 2 5 2" xfId="3950" xr:uid="{2795253C-94CA-440E-9B8D-A48AA12846A5}"/>
    <cellStyle name="Linked Cell 2 5 3" xfId="4487" xr:uid="{CC4202A0-2FCF-4ED8-A361-4E5EB36BE297}"/>
    <cellStyle name="Linked Cell 2 6" xfId="2155" xr:uid="{00000000-0005-0000-0000-00009E080000}"/>
    <cellStyle name="Linked Cell 2 6 2" xfId="3996" xr:uid="{C8CDDE81-52F2-4120-B4B8-CAB4948CCD41}"/>
    <cellStyle name="Linked Cell 2 6 3" xfId="4156" xr:uid="{31BBCB09-FDD0-4F28-AAA1-BA23147D95A4}"/>
    <cellStyle name="Linked Cell 2 7" xfId="4486" xr:uid="{6292078D-DD8C-410C-9329-82373CF1CD3D}"/>
    <cellStyle name="Linked Cell 2 8" xfId="4155" xr:uid="{63969647-A7C0-40BF-A89C-1995CAE6A2D5}"/>
    <cellStyle name="Linked Cell 3" xfId="203" xr:uid="{00000000-0005-0000-0000-00009F080000}"/>
    <cellStyle name="Linked Cell 3 2" xfId="2157" xr:uid="{00000000-0005-0000-0000-0000A0080000}"/>
    <cellStyle name="Linked Cell 3 3" xfId="2158" xr:uid="{00000000-0005-0000-0000-0000A1080000}"/>
    <cellStyle name="Linked Cell 3 4" xfId="2159" xr:uid="{00000000-0005-0000-0000-0000A2080000}"/>
    <cellStyle name="Linked Cell 3 5" xfId="2160" xr:uid="{00000000-0005-0000-0000-0000A3080000}"/>
    <cellStyle name="Linked Cell 3 6" xfId="2161" xr:uid="{00000000-0005-0000-0000-0000A4080000}"/>
    <cellStyle name="Linked Cell 3 7" xfId="2162" xr:uid="{00000000-0005-0000-0000-0000A5080000}"/>
    <cellStyle name="Linked Cell 3 7 2" xfId="4030" xr:uid="{6B6EF868-4428-42A7-900D-276F3AAD9A12}"/>
    <cellStyle name="Linked Cell 3 7 3" xfId="4485" xr:uid="{A99CA010-13AF-4F4B-8C95-7599ECA644B8}"/>
    <cellStyle name="Linked Cell 3 8" xfId="2156" xr:uid="{00000000-0005-0000-0000-0000A6080000}"/>
    <cellStyle name="Linked Cell 3 9" xfId="3584" xr:uid="{10481195-BB1F-46E9-80F6-4C77914DFF93}"/>
    <cellStyle name="Linked Cell 4" xfId="204" xr:uid="{00000000-0005-0000-0000-0000A7080000}"/>
    <cellStyle name="Linked Cell 4 2" xfId="2164" xr:uid="{00000000-0005-0000-0000-0000A8080000}"/>
    <cellStyle name="Linked Cell 4 2 2" xfId="4065" xr:uid="{9819AAF3-D5F7-403E-86D2-3D28756CB002}"/>
    <cellStyle name="Linked Cell 4 2 3" xfId="4037" xr:uid="{0A34E42B-828E-4FD3-9157-65C1D67D166F}"/>
    <cellStyle name="Linked Cell 4 3" xfId="2165" xr:uid="{00000000-0005-0000-0000-0000A9080000}"/>
    <cellStyle name="Linked Cell 4 4" xfId="2166" xr:uid="{00000000-0005-0000-0000-0000AA080000}"/>
    <cellStyle name="Linked Cell 4 5" xfId="2167" xr:uid="{00000000-0005-0000-0000-0000AB080000}"/>
    <cellStyle name="Linked Cell 4 6" xfId="2168" xr:uid="{00000000-0005-0000-0000-0000AC080000}"/>
    <cellStyle name="Linked Cell 4 7" xfId="2169" xr:uid="{00000000-0005-0000-0000-0000AD080000}"/>
    <cellStyle name="Linked Cell 4 8" xfId="2163" xr:uid="{00000000-0005-0000-0000-0000AE080000}"/>
    <cellStyle name="Linked Cell 5" xfId="205" xr:uid="{00000000-0005-0000-0000-0000AF080000}"/>
    <cellStyle name="Linked Cell 5 2" xfId="2170" xr:uid="{00000000-0005-0000-0000-0000B0080000}"/>
    <cellStyle name="Linked Cell 5 3" xfId="2171" xr:uid="{00000000-0005-0000-0000-0000B1080000}"/>
    <cellStyle name="Linked Cell 5 4" xfId="2172" xr:uid="{00000000-0005-0000-0000-0000B2080000}"/>
    <cellStyle name="Linked Cell 5 5" xfId="2173" xr:uid="{00000000-0005-0000-0000-0000B3080000}"/>
    <cellStyle name="Linked Cell 5 6" xfId="2174" xr:uid="{00000000-0005-0000-0000-0000B4080000}"/>
    <cellStyle name="Linked Cell 6" xfId="206" xr:uid="{00000000-0005-0000-0000-0000B5080000}"/>
    <cellStyle name="Linked Cell 6 2" xfId="2175" xr:uid="{00000000-0005-0000-0000-0000B6080000}"/>
    <cellStyle name="Linked Cell 6 3" xfId="2176" xr:uid="{00000000-0005-0000-0000-0000B7080000}"/>
    <cellStyle name="Linked Cell 6 4" xfId="2177" xr:uid="{00000000-0005-0000-0000-0000B8080000}"/>
    <cellStyle name="Linked Cell 6 5" xfId="2178" xr:uid="{00000000-0005-0000-0000-0000B9080000}"/>
    <cellStyle name="Linked Cell 6 6" xfId="2179" xr:uid="{00000000-0005-0000-0000-0000BA080000}"/>
    <cellStyle name="Linked Cell 7" xfId="207" xr:uid="{00000000-0005-0000-0000-0000BB080000}"/>
    <cellStyle name="Linked Cell 7 2" xfId="2180" xr:uid="{00000000-0005-0000-0000-0000BC080000}"/>
    <cellStyle name="Linked Cell 7 3" xfId="2181" xr:uid="{00000000-0005-0000-0000-0000BD080000}"/>
    <cellStyle name="Linked Cell 7 4" xfId="2182" xr:uid="{00000000-0005-0000-0000-0000BE080000}"/>
    <cellStyle name="Linked Cell 7 5" xfId="2183" xr:uid="{00000000-0005-0000-0000-0000BF080000}"/>
    <cellStyle name="Linked Cell 7 6" xfId="2184" xr:uid="{00000000-0005-0000-0000-0000C0080000}"/>
    <cellStyle name="Linked Cell 8 2" xfId="2185" xr:uid="{00000000-0005-0000-0000-0000C1080000}"/>
    <cellStyle name="Linked Cell 8 3" xfId="2186" xr:uid="{00000000-0005-0000-0000-0000C2080000}"/>
    <cellStyle name="Linked Cell 8 4" xfId="2187" xr:uid="{00000000-0005-0000-0000-0000C3080000}"/>
    <cellStyle name="Linked Cell 8 5" xfId="2188" xr:uid="{00000000-0005-0000-0000-0000C4080000}"/>
    <cellStyle name="Linked Cell 8 6" xfId="2189" xr:uid="{00000000-0005-0000-0000-0000C5080000}"/>
    <cellStyle name="Linked Cell 9 2" xfId="2190" xr:uid="{00000000-0005-0000-0000-0000C6080000}"/>
    <cellStyle name="Linked Cell 9 3" xfId="2191" xr:uid="{00000000-0005-0000-0000-0000C7080000}"/>
    <cellStyle name="Linked Cell 9 4" xfId="2192" xr:uid="{00000000-0005-0000-0000-0000C8080000}"/>
    <cellStyle name="Linked Cell 9 5" xfId="2193" xr:uid="{00000000-0005-0000-0000-0000C9080000}"/>
    <cellStyle name="Linked Cell 9 6" xfId="2194" xr:uid="{00000000-0005-0000-0000-0000CA080000}"/>
    <cellStyle name="Neutral 10 2" xfId="2195" xr:uid="{00000000-0005-0000-0000-0000CB080000}"/>
    <cellStyle name="Neutral 10 3" xfId="2196" xr:uid="{00000000-0005-0000-0000-0000CC080000}"/>
    <cellStyle name="Neutral 10 4" xfId="2197" xr:uid="{00000000-0005-0000-0000-0000CD080000}"/>
    <cellStyle name="Neutral 10 5" xfId="2198" xr:uid="{00000000-0005-0000-0000-0000CE080000}"/>
    <cellStyle name="Neutral 10 6" xfId="2199" xr:uid="{00000000-0005-0000-0000-0000CF080000}"/>
    <cellStyle name="Neutral 11 2" xfId="2200" xr:uid="{00000000-0005-0000-0000-0000D0080000}"/>
    <cellStyle name="Neutral 11 3" xfId="2201" xr:uid="{00000000-0005-0000-0000-0000D1080000}"/>
    <cellStyle name="Neutral 11 4" xfId="2202" xr:uid="{00000000-0005-0000-0000-0000D2080000}"/>
    <cellStyle name="Neutral 11 5" xfId="2203" xr:uid="{00000000-0005-0000-0000-0000D3080000}"/>
    <cellStyle name="Neutral 11 6" xfId="2204" xr:uid="{00000000-0005-0000-0000-0000D4080000}"/>
    <cellStyle name="Neutral 2" xfId="208" xr:uid="{00000000-0005-0000-0000-0000D5080000}"/>
    <cellStyle name="Neutral 2 2" xfId="2205" xr:uid="{00000000-0005-0000-0000-0000D6080000}"/>
    <cellStyle name="Neutral 2 3" xfId="2206" xr:uid="{00000000-0005-0000-0000-0000D7080000}"/>
    <cellStyle name="Neutral 2 3 2" xfId="4552" xr:uid="{979DF53F-4764-4FC0-AE71-65DD8D9CA088}"/>
    <cellStyle name="Neutral 2 3 3" xfId="4267" xr:uid="{65D6FA33-A48F-4160-8D43-B9EA5F2F843C}"/>
    <cellStyle name="Neutral 2 4" xfId="2207" xr:uid="{00000000-0005-0000-0000-0000D8080000}"/>
    <cellStyle name="Neutral 2 4 2" xfId="4553" xr:uid="{F1A43F97-3888-4FBB-B45F-60C49978C2C8}"/>
    <cellStyle name="Neutral 2 4 3" xfId="4391" xr:uid="{18BEFD05-5DB0-4933-BAE4-C701D0D0EA90}"/>
    <cellStyle name="Neutral 2 5" xfId="2208" xr:uid="{00000000-0005-0000-0000-0000D9080000}"/>
    <cellStyle name="Neutral 2 5 2" xfId="4554" xr:uid="{CEB3F07A-C588-4234-99CD-627DFC0C0EC1}"/>
    <cellStyle name="Neutral 2 5 3" xfId="4001" xr:uid="{5D769DCF-E4D3-43A9-9991-2363FDF70E03}"/>
    <cellStyle name="Neutral 2 6" xfId="2209" xr:uid="{00000000-0005-0000-0000-0000DA080000}"/>
    <cellStyle name="Neutral 2 6 2" xfId="4555" xr:uid="{4C4192D3-AC95-45C0-84A3-59438D662EAD}"/>
    <cellStyle name="Neutral 2 6 3" xfId="4036" xr:uid="{4867F264-9A9C-42CE-9A33-3961256D690B}"/>
    <cellStyle name="Neutral 2 7" xfId="4000" xr:uid="{E91A82C5-B22F-4AEB-88A0-1A5A3D72FA6E}"/>
    <cellStyle name="Neutral 2 8" xfId="4520" xr:uid="{A17EF903-C566-47CC-984F-26D94107EE1B}"/>
    <cellStyle name="Neutral 3" xfId="209" xr:uid="{00000000-0005-0000-0000-0000DB080000}"/>
    <cellStyle name="Neutral 3 2" xfId="2211" xr:uid="{00000000-0005-0000-0000-0000DC080000}"/>
    <cellStyle name="Neutral 3 3" xfId="2212" xr:uid="{00000000-0005-0000-0000-0000DD080000}"/>
    <cellStyle name="Neutral 3 4" xfId="2213" xr:uid="{00000000-0005-0000-0000-0000DE080000}"/>
    <cellStyle name="Neutral 3 5" xfId="2214" xr:uid="{00000000-0005-0000-0000-0000DF080000}"/>
    <cellStyle name="Neutral 3 6" xfId="2215" xr:uid="{00000000-0005-0000-0000-0000E0080000}"/>
    <cellStyle name="Neutral 3 7" xfId="2216" xr:uid="{00000000-0005-0000-0000-0000E1080000}"/>
    <cellStyle name="Neutral 3 7 2" xfId="4556" xr:uid="{C93337F8-CE9A-44CF-9072-8C0CA8F9B297}"/>
    <cellStyle name="Neutral 3 7 3" xfId="4035" xr:uid="{3DA893AB-DACD-4C1F-80A9-362D7E637E3A}"/>
    <cellStyle name="Neutral 3 8" xfId="2210" xr:uid="{00000000-0005-0000-0000-0000E2080000}"/>
    <cellStyle name="Neutral 3 9" xfId="3585" xr:uid="{5E92BA96-6A45-4CE8-A735-575A54546643}"/>
    <cellStyle name="Neutral 4" xfId="210" xr:uid="{00000000-0005-0000-0000-0000E3080000}"/>
    <cellStyle name="Neutral 4 2" xfId="2218" xr:uid="{00000000-0005-0000-0000-0000E4080000}"/>
    <cellStyle name="Neutral 4 2 2" xfId="4557" xr:uid="{C5B30192-DE36-4019-854D-D443887A4408}"/>
    <cellStyle name="Neutral 4 2 3" xfId="4154" xr:uid="{CF7C4BBC-185A-4AE5-8F41-6EE4DC3E01E4}"/>
    <cellStyle name="Neutral 4 3" xfId="2219" xr:uid="{00000000-0005-0000-0000-0000E5080000}"/>
    <cellStyle name="Neutral 4 4" xfId="2220" xr:uid="{00000000-0005-0000-0000-0000E6080000}"/>
    <cellStyle name="Neutral 4 5" xfId="2221" xr:uid="{00000000-0005-0000-0000-0000E7080000}"/>
    <cellStyle name="Neutral 4 6" xfId="2222" xr:uid="{00000000-0005-0000-0000-0000E8080000}"/>
    <cellStyle name="Neutral 4 7" xfId="2223" xr:uid="{00000000-0005-0000-0000-0000E9080000}"/>
    <cellStyle name="Neutral 4 8" xfId="2217" xr:uid="{00000000-0005-0000-0000-0000EA080000}"/>
    <cellStyle name="Neutral 5" xfId="211" xr:uid="{00000000-0005-0000-0000-0000EB080000}"/>
    <cellStyle name="Neutral 5 2" xfId="2224" xr:uid="{00000000-0005-0000-0000-0000EC080000}"/>
    <cellStyle name="Neutral 5 3" xfId="2225" xr:uid="{00000000-0005-0000-0000-0000ED080000}"/>
    <cellStyle name="Neutral 5 4" xfId="2226" xr:uid="{00000000-0005-0000-0000-0000EE080000}"/>
    <cellStyle name="Neutral 5 5" xfId="2227" xr:uid="{00000000-0005-0000-0000-0000EF080000}"/>
    <cellStyle name="Neutral 5 6" xfId="2228" xr:uid="{00000000-0005-0000-0000-0000F0080000}"/>
    <cellStyle name="Neutral 6" xfId="212" xr:uid="{00000000-0005-0000-0000-0000F1080000}"/>
    <cellStyle name="Neutral 6 2" xfId="2229" xr:uid="{00000000-0005-0000-0000-0000F2080000}"/>
    <cellStyle name="Neutral 6 3" xfId="2230" xr:uid="{00000000-0005-0000-0000-0000F3080000}"/>
    <cellStyle name="Neutral 6 4" xfId="2231" xr:uid="{00000000-0005-0000-0000-0000F4080000}"/>
    <cellStyle name="Neutral 6 5" xfId="2232" xr:uid="{00000000-0005-0000-0000-0000F5080000}"/>
    <cellStyle name="Neutral 6 6" xfId="2233" xr:uid="{00000000-0005-0000-0000-0000F6080000}"/>
    <cellStyle name="Neutral 7" xfId="213" xr:uid="{00000000-0005-0000-0000-0000F7080000}"/>
    <cellStyle name="Neutral 7 2" xfId="2234" xr:uid="{00000000-0005-0000-0000-0000F8080000}"/>
    <cellStyle name="Neutral 7 3" xfId="2235" xr:uid="{00000000-0005-0000-0000-0000F9080000}"/>
    <cellStyle name="Neutral 7 4" xfId="2236" xr:uid="{00000000-0005-0000-0000-0000FA080000}"/>
    <cellStyle name="Neutral 7 5" xfId="2237" xr:uid="{00000000-0005-0000-0000-0000FB080000}"/>
    <cellStyle name="Neutral 7 6" xfId="2238" xr:uid="{00000000-0005-0000-0000-0000FC080000}"/>
    <cellStyle name="Neutral 8 2" xfId="2239" xr:uid="{00000000-0005-0000-0000-0000FD080000}"/>
    <cellStyle name="Neutral 8 3" xfId="2240" xr:uid="{00000000-0005-0000-0000-0000FE080000}"/>
    <cellStyle name="Neutral 8 4" xfId="2241" xr:uid="{00000000-0005-0000-0000-0000FF080000}"/>
    <cellStyle name="Neutral 8 5" xfId="2242" xr:uid="{00000000-0005-0000-0000-000000090000}"/>
    <cellStyle name="Neutral 8 6" xfId="2243" xr:uid="{00000000-0005-0000-0000-000001090000}"/>
    <cellStyle name="Neutral 9 2" xfId="2244" xr:uid="{00000000-0005-0000-0000-000002090000}"/>
    <cellStyle name="Neutral 9 3" xfId="2245" xr:uid="{00000000-0005-0000-0000-000003090000}"/>
    <cellStyle name="Neutral 9 4" xfId="2246" xr:uid="{00000000-0005-0000-0000-000004090000}"/>
    <cellStyle name="Neutral 9 5" xfId="2247" xr:uid="{00000000-0005-0000-0000-000005090000}"/>
    <cellStyle name="Neutral 9 6" xfId="2248" xr:uid="{00000000-0005-0000-0000-000006090000}"/>
    <cellStyle name="No Border" xfId="214" xr:uid="{00000000-0005-0000-0000-000007090000}"/>
    <cellStyle name="Normal" xfId="0" builtinId="0"/>
    <cellStyle name="Normal 10" xfId="4390" xr:uid="{64B5C53A-65E8-4855-B324-E058FE04F52B}"/>
    <cellStyle name="Normal 10 2" xfId="2249" xr:uid="{00000000-0005-0000-0000-000009090000}"/>
    <cellStyle name="Normal 10 2 2" xfId="3656" xr:uid="{4853DAA0-E7A9-49D8-AECC-8E553CB21840}"/>
    <cellStyle name="Normal 11" xfId="4505" xr:uid="{3E66AD00-FF36-462B-9AEA-82F8E1FE8538}"/>
    <cellStyle name="Normal 11 2" xfId="2250" xr:uid="{00000000-0005-0000-0000-00000A090000}"/>
    <cellStyle name="Normal 11 2 2" xfId="3765" xr:uid="{42A7F6DF-9B0D-40F1-8C79-02793F63DBA1}"/>
    <cellStyle name="Normal 12" xfId="4498" xr:uid="{B624BBDE-7EA2-4B0A-8C0B-956C81EDC5B3}"/>
    <cellStyle name="Normal 12 2" xfId="4332" xr:uid="{D8DCE555-5CE9-4C2A-925E-8CE1299AE3AA}"/>
    <cellStyle name="Normal 13" xfId="4351" xr:uid="{090AAAB9-5AE6-48A0-A3E6-B3A23756B892}"/>
    <cellStyle name="Normal 13 2" xfId="3990" xr:uid="{8F3DE17F-1325-49F9-A151-61C426BD388A}"/>
    <cellStyle name="Normal 14" xfId="4497" xr:uid="{B74BDFE0-CA65-44B3-B8DC-E85C04540DFF}"/>
    <cellStyle name="Normal 14 2" xfId="4331" xr:uid="{4EA2C431-3153-4F4D-B9D0-774D49B6B09D}"/>
    <cellStyle name="Normal 15" xfId="5380" xr:uid="{422D90BC-7E24-4177-A81A-5ACBDDAFB9D7}"/>
    <cellStyle name="Normal 15 2" xfId="6132" xr:uid="{0C0DE71B-78BE-47FB-8197-09F7250C5D46}"/>
    <cellStyle name="Normal 16" xfId="5429" xr:uid="{3CE0FBCC-BAF4-4BCB-86B1-5A65D7603F0C}"/>
    <cellStyle name="Normal 17" xfId="5428" xr:uid="{5BBE8EC1-A4A4-4D9C-8301-B7BC5E54BA95}"/>
    <cellStyle name="Normal 2" xfId="3" xr:uid="{00000000-0005-0000-0000-000004000000}"/>
    <cellStyle name="Normal 2 10" xfId="4266" xr:uid="{9FCC781B-8C3E-4800-B3F2-6C585E7F92B8}"/>
    <cellStyle name="Normal 2 12" xfId="4496" xr:uid="{EF7E3782-C0F7-4588-8C4B-1CFABF6CFECA}"/>
    <cellStyle name="Normal 2 2" xfId="215" xr:uid="{00000000-0005-0000-0000-00000C090000}"/>
    <cellStyle name="Normal 2 2 2" xfId="2252" xr:uid="{00000000-0005-0000-0000-00000D090000}"/>
    <cellStyle name="Normal 2 2 2 2" xfId="2981" xr:uid="{00000000-0005-0000-0000-0000A6090000}"/>
    <cellStyle name="Normal 2 2 2 2 2" xfId="3767" xr:uid="{9E88AA94-98DD-44D2-860D-400C1DF86DF6}"/>
    <cellStyle name="Normal 2 2 2 3" xfId="3611" xr:uid="{B50E55E9-2D8D-4D7F-8EBA-CDD1C65A0D40}"/>
    <cellStyle name="Normal 2 2 3" xfId="2251" xr:uid="{00000000-0005-0000-0000-00000E090000}"/>
    <cellStyle name="Normal 2 2 3 2" xfId="3766" xr:uid="{AEAB2B25-AF97-408E-989F-E5FA5A89390C}"/>
    <cellStyle name="Normal 2 2 4" xfId="2971" xr:uid="{00000000-0005-0000-0000-0000A8090000}"/>
    <cellStyle name="Normal 2 2 4 2" xfId="3674" xr:uid="{41752435-09CF-48FA-83D2-3CA5951D3A20}"/>
    <cellStyle name="Normal 2 2 6" xfId="5290" xr:uid="{CFE794B5-F62A-4C27-9859-B32FB4A01612}"/>
    <cellStyle name="Normal 2 2 6 2" xfId="6043" xr:uid="{CD249CD1-1708-4297-933A-7AFA33D38280}"/>
    <cellStyle name="Normal 2 2 7" xfId="5296" xr:uid="{81F6A7F9-9088-4E79-A317-1027ED815DB9}"/>
    <cellStyle name="Normal 2 2 7 2" xfId="6048" xr:uid="{3AAC567C-56DB-43F5-9DA1-07D6C7BCD037}"/>
    <cellStyle name="Normal 2 3" xfId="2253" xr:uid="{00000000-0005-0000-0000-00000F090000}"/>
    <cellStyle name="Normal 2 3 2" xfId="3612" xr:uid="{4730B4BD-85EA-4EBA-95AD-25320034C9AF}"/>
    <cellStyle name="Normal 2 3 2 2" xfId="3768" xr:uid="{653DB971-899D-4611-9125-896609B75F77}"/>
    <cellStyle name="Normal 2 3 3" xfId="3678" xr:uid="{E0B805D3-12AC-4C1C-8A0E-885DA9F03A54}"/>
    <cellStyle name="Normal 2 3 3 2" xfId="3821" xr:uid="{76AD1905-8661-4945-972B-C4AAD5C9CF76}"/>
    <cellStyle name="Normal 2 3 3 2 2" xfId="5786" xr:uid="{B652F9FA-5CF3-465A-A721-84F103710834}"/>
    <cellStyle name="Normal 2 3 3 3" xfId="3870" xr:uid="{46926273-44F9-4BF9-A520-56C314EA0A89}"/>
    <cellStyle name="Normal 2 3 3 3 2" xfId="5835" xr:uid="{15DD5235-F46B-4B56-97FD-B2AEBAD05F6F}"/>
    <cellStyle name="Normal 2 3 3 4" xfId="4504" xr:uid="{2B4C9356-5277-4D44-9E38-BFAA4761AEB8}"/>
    <cellStyle name="Normal 2 3 3 5" xfId="5740" xr:uid="{7174DE92-6576-4722-B419-97575D9CB9A2}"/>
    <cellStyle name="Normal 2 3 4" xfId="3798" xr:uid="{123F5077-729A-4604-BDF3-6E8BD7C0DC68}"/>
    <cellStyle name="Normal 2 3 4 2" xfId="5763" xr:uid="{E2F82ED8-753A-449E-AFD0-E4E0BAD7AB51}"/>
    <cellStyle name="Normal 2 3 5" xfId="3847" xr:uid="{8A019C11-D742-48CC-BA3A-D884C38EC62E}"/>
    <cellStyle name="Normal 2 3 5 2" xfId="5812" xr:uid="{9A195061-41F6-4BD3-9DBF-2E277A29ADA9}"/>
    <cellStyle name="Normal 2 3 6" xfId="3569" xr:uid="{FBF1F85B-B67A-47D0-997D-C3D59F497D3A}"/>
    <cellStyle name="Normal 2 3 6 2" xfId="5717" xr:uid="{B157BFCD-6D71-4510-8942-0EDE51F71FD5}"/>
    <cellStyle name="Normal 2 4" xfId="2254" xr:uid="{00000000-0005-0000-0000-000010090000}"/>
    <cellStyle name="Normal 2 4 2" xfId="3769" xr:uid="{21222B1B-10B8-430C-9B87-631DD7DF5E89}"/>
    <cellStyle name="Normal 2 4 3" xfId="5292" xr:uid="{CF9771A7-9AC3-4AE0-8772-5C7142826F63}"/>
    <cellStyle name="Normal 2 4 3 2" xfId="6045" xr:uid="{669BA2CD-6ED3-47EA-A89B-C07A5DC2B8FF}"/>
    <cellStyle name="Normal 2 48" xfId="5294" xr:uid="{F29492CB-ABAC-41EF-BB8C-4BBD351CD220}"/>
    <cellStyle name="Normal 2 48 2" xfId="6046" xr:uid="{82EB1BC9-1E4D-425E-8631-7AC983F08D11}"/>
    <cellStyle name="Normal 2 5" xfId="2255" xr:uid="{00000000-0005-0000-0000-000011090000}"/>
    <cellStyle name="Normal 2 5 2" xfId="3770" xr:uid="{57EDA064-3E38-4203-BA49-F0625449F7E5}"/>
    <cellStyle name="Normal 2 6" xfId="2256" xr:uid="{00000000-0005-0000-0000-000012090000}"/>
    <cellStyle name="Normal 2 6 2" xfId="3771" xr:uid="{E7933076-ED41-4BA7-AE53-FD43F5996231}"/>
    <cellStyle name="Normal 2 7" xfId="3657" xr:uid="{F0E3034C-3105-417C-BBD2-CF938A46ED32}"/>
    <cellStyle name="Normal 2 7 2" xfId="4389" xr:uid="{1BBDCED8-43AD-4F00-BC69-E2B6B7A47862}"/>
    <cellStyle name="Normal 2 7 2 2" xfId="5925" xr:uid="{E04B32CD-9CBD-4801-ABA3-DCDCE7559864}"/>
    <cellStyle name="Normal 2 8" xfId="3838" xr:uid="{61397A1C-F9E9-44E6-8BE0-BC335A412909}"/>
    <cellStyle name="Normal 2 8 2" xfId="3887" xr:uid="{A8320ABA-E808-4F45-9DC0-09254567B1BB}"/>
    <cellStyle name="Normal 2 8 2 2" xfId="5852" xr:uid="{94CC9126-C520-4CF4-9EA1-161BA1EC6641}"/>
    <cellStyle name="Normal 2 8 3" xfId="5288" xr:uid="{341B14FB-E54D-4CA3-9ADF-21B761014A39}"/>
    <cellStyle name="Normal 2 8 3 2" xfId="6041" xr:uid="{6D3F1508-9D2A-4DFC-9071-E89C1A45EF2D}"/>
    <cellStyle name="Normal 2 8 4" xfId="5803" xr:uid="{AA54E438-58AD-4640-BCEA-1ED7E0504719}"/>
    <cellStyle name="Normal 20" xfId="4265" xr:uid="{DB1C948E-669F-4BE8-8092-8AADCF781D3A}"/>
    <cellStyle name="Normal 21" xfId="4054" xr:uid="{30196A33-8722-4617-B8B2-1CCB97511AA1}"/>
    <cellStyle name="Normal 3" xfId="4" xr:uid="{00000000-0005-0000-0000-000005000000}"/>
    <cellStyle name="Normal 3 10" xfId="2843" xr:uid="{00000000-0005-0000-0000-000014090000}"/>
    <cellStyle name="Normal 3 10 2" xfId="2890" xr:uid="{00000000-0005-0000-0000-000014090000}"/>
    <cellStyle name="Normal 3 10 2 2" xfId="2991" xr:uid="{00000000-0005-0000-0000-0000AF090000}"/>
    <cellStyle name="Normal 3 10 2 2 2" xfId="5591" xr:uid="{C6BADEE1-7ADE-45A9-95C4-95802A007F96}"/>
    <cellStyle name="Normal 3 10 2 3" xfId="4525" xr:uid="{302419A7-7BF7-4ABF-834C-3777BBDF44A8}"/>
    <cellStyle name="Normal 3 10 2 3 2" xfId="5936" xr:uid="{000D3FF4-3594-4D28-9E7D-741179E96422}"/>
    <cellStyle name="Normal 3 10 2 4" xfId="5506" xr:uid="{E3F273CB-23F6-428E-8899-75B2623E79E0}"/>
    <cellStyle name="Normal 3 10 3" xfId="3435" xr:uid="{00000000-0005-0000-0000-0000B0090000}"/>
    <cellStyle name="Normal 3 10 3 2" xfId="5321" xr:uid="{50474793-83C4-438E-93ED-8881F477D133}"/>
    <cellStyle name="Normal 3 10 3 2 2" xfId="6073" xr:uid="{D894CFC1-D715-4A03-B283-36FB0F9B08D8}"/>
    <cellStyle name="Normal 3 10 3 3" xfId="5631" xr:uid="{EEFB1DEA-58C0-4EC1-9B51-FEFCB8FC68A3}"/>
    <cellStyle name="Normal 3 10 4" xfId="2935" xr:uid="{00000000-0005-0000-0000-0000AE090000}"/>
    <cellStyle name="Normal 3 10 4 2" xfId="5362" xr:uid="{207451FF-2ADE-40C2-82A8-16B25B8A7C9A}"/>
    <cellStyle name="Normal 3 10 4 2 2" xfId="6114" xr:uid="{1DF10166-888E-4F4E-9DDF-EB7145695448}"/>
    <cellStyle name="Normal 3 10 4 3" xfId="5551" xr:uid="{A54E7B5D-04F1-4902-8D10-691A2E8E4131}"/>
    <cellStyle name="Normal 3 10 5" xfId="5406" xr:uid="{0AA66F36-D19E-4E4C-B44F-F3E1154D0772}"/>
    <cellStyle name="Normal 3 10 5 2" xfId="6158" xr:uid="{708CD543-EBB0-4614-B878-68072D522BBD}"/>
    <cellStyle name="Normal 3 10 6" xfId="3915" xr:uid="{EF7BC98F-5B8B-489D-935E-47655419AAF9}"/>
    <cellStyle name="Normal 3 10 6 2" xfId="5879" xr:uid="{F82543DA-BB1E-40B6-BE95-9F3302842E6E}"/>
    <cellStyle name="Normal 3 10 7" xfId="3533" xr:uid="{CE45A211-5A4E-46F2-81D7-C3B5097A2763}"/>
    <cellStyle name="Normal 3 10 7 2" xfId="5690" xr:uid="{18692D02-3BB6-427D-9F54-B44C89992D2B}"/>
    <cellStyle name="Normal 3 10 8" xfId="5461" xr:uid="{9E23E29F-07D6-4D1F-8233-6B7BDE116E8C}"/>
    <cellStyle name="Normal 3 11" xfId="2863" xr:uid="{00000000-0005-0000-0000-000015090000}"/>
    <cellStyle name="Normal 3 11 2" xfId="2909" xr:uid="{00000000-0005-0000-0000-000015090000}"/>
    <cellStyle name="Normal 3 11 2 2" xfId="3010" xr:uid="{00000000-0005-0000-0000-0000B2090000}"/>
    <cellStyle name="Normal 3 11 2 2 2" xfId="5610" xr:uid="{21F2A6B6-7E22-4699-ADBF-8A5B5E23E08A}"/>
    <cellStyle name="Normal 3 11 2 3" xfId="4545" xr:uid="{E0372B83-3C6D-464D-A57D-A524BC499B22}"/>
    <cellStyle name="Normal 3 11 2 3 2" xfId="5955" xr:uid="{A8B214AD-EE5F-4734-A1AD-123E1456AC0C}"/>
    <cellStyle name="Normal 3 11 2 4" xfId="5525" xr:uid="{37CF4AFC-955B-4285-AE5E-0226546258C6}"/>
    <cellStyle name="Normal 3 11 3" xfId="3454" xr:uid="{00000000-0005-0000-0000-0000B3090000}"/>
    <cellStyle name="Normal 3 11 3 2" xfId="5339" xr:uid="{8F544460-D504-45D4-9FCE-7FD9DD08103E}"/>
    <cellStyle name="Normal 3 11 3 2 2" xfId="6091" xr:uid="{CB853A78-E4DE-41FF-A841-7AD823FC129C}"/>
    <cellStyle name="Normal 3 11 3 3" xfId="5650" xr:uid="{FBA6EF86-ED6C-40E2-8145-6A49B13AE667}"/>
    <cellStyle name="Normal 3 11 4" xfId="2954" xr:uid="{00000000-0005-0000-0000-0000B1090000}"/>
    <cellStyle name="Normal 3 11 4 2" xfId="5379" xr:uid="{681F78B3-726B-4226-9F05-27FB681C7891}"/>
    <cellStyle name="Normal 3 11 4 2 2" xfId="6131" xr:uid="{7BDDA512-D575-4F87-A535-5C7F59915FB7}"/>
    <cellStyle name="Normal 3 11 4 3" xfId="5570" xr:uid="{6C4C76A7-D143-48EB-B1FF-CABA4A3A711E}"/>
    <cellStyle name="Normal 3 11 5" xfId="5425" xr:uid="{3111BC93-217E-4FE7-A083-7466650C768F}"/>
    <cellStyle name="Normal 3 11 5 2" xfId="6177" xr:uid="{22C0D16A-EB64-4445-A1A3-1948538C2CD4}"/>
    <cellStyle name="Normal 3 11 6" xfId="3934" xr:uid="{0DB8317F-3DF4-4F2B-8BF3-55DAA280B92D}"/>
    <cellStyle name="Normal 3 11 6 2" xfId="5898" xr:uid="{F56D5A72-A149-43F3-AE9F-A07A587FBD28}"/>
    <cellStyle name="Normal 3 11 7" xfId="3552" xr:uid="{75F99D7A-CEE7-4E0E-BE80-76A21F8CBF2D}"/>
    <cellStyle name="Normal 3 11 7 2" xfId="5709" xr:uid="{BB9F6F02-EAC4-46B6-8308-00A913944388}"/>
    <cellStyle name="Normal 3 11 8" xfId="5480" xr:uid="{931FAD92-A4B1-44E7-86F6-A66582AAF0DC}"/>
    <cellStyle name="Normal 3 12" xfId="24" xr:uid="{00000000-0005-0000-0000-000016090000}"/>
    <cellStyle name="Normal 3 12 2" xfId="2870" xr:uid="{00000000-0005-0000-0000-000016090000}"/>
    <cellStyle name="Normal 3 12 2 2" xfId="3941" xr:uid="{5C866B16-6A1A-44CC-8CDB-6EA97698ED19}"/>
    <cellStyle name="Normal 3 12 2 2 2" xfId="5904" xr:uid="{EEE44C4D-B65C-4296-AA11-ECDBD62CD897}"/>
    <cellStyle name="Normal 3 12 2 3" xfId="5486" xr:uid="{023E1D22-F9C1-4500-A221-96A0A7FF062F}"/>
    <cellStyle name="Normal 3 12 3" xfId="2915" xr:uid="{00000000-0005-0000-0000-0000B4090000}"/>
    <cellStyle name="Normal 3 12 3 2" xfId="5302" xr:uid="{689CB2B2-A398-44C4-A3BC-F85F0613057A}"/>
    <cellStyle name="Normal 3 12 3 2 2" xfId="6054" xr:uid="{2AB86E8D-810C-4006-804A-3D2EEE6EB9F9}"/>
    <cellStyle name="Normal 3 12 3 3" xfId="5531" xr:uid="{0FE7FE6D-5AAF-4CBB-B53B-C3035D0D600C}"/>
    <cellStyle name="Normal 3 12 4" xfId="5344" xr:uid="{BE148E99-CA98-4AAF-B5E8-1C3F276C3804}"/>
    <cellStyle name="Normal 3 12 4 2" xfId="6096" xr:uid="{B486192A-97A2-4780-82CE-27484351C8FA}"/>
    <cellStyle name="Normal 3 12 5" xfId="5386" xr:uid="{0A31724B-A755-4CD5-A775-5BC25B45DB46}"/>
    <cellStyle name="Normal 3 12 5 2" xfId="6138" xr:uid="{9F66DA59-32D3-4B8C-A65F-29FF28C42036}"/>
    <cellStyle name="Normal 3 12 6" xfId="3895" xr:uid="{B95A62DA-502E-4576-9C9B-9FB1FCBB9F2A}"/>
    <cellStyle name="Normal 3 12 6 2" xfId="5859" xr:uid="{FC3D2F5B-88B9-4668-BAE5-4BF5A54430EB}"/>
    <cellStyle name="Normal 3 12 7" xfId="3495" xr:uid="{CE178AE6-D96C-4AA8-96FC-D5A8911DD621}"/>
    <cellStyle name="Normal 3 12 7 2" xfId="5670" xr:uid="{F2771C40-F840-42E1-AAEB-1F965E92761E}"/>
    <cellStyle name="Normal 3 12 8" xfId="5441" xr:uid="{617EA303-D173-419C-B547-2A2BCE704D44}"/>
    <cellStyle name="Normal 3 13" xfId="19" xr:uid="{00000000-0005-0000-0000-000013090000}"/>
    <cellStyle name="Normal 3 13 2" xfId="2955" xr:uid="{00000000-0005-0000-0000-0000B5090000}"/>
    <cellStyle name="Normal 3 13 2 2" xfId="5216" xr:uid="{9EB1919A-F59A-4C68-BC6C-C8C824B8FA19}"/>
    <cellStyle name="Normal 3 13 2 2 2" xfId="5991" xr:uid="{1D2FAAF0-C7EC-4792-970F-2E29257BD10B}"/>
    <cellStyle name="Normal 3 13 2 3" xfId="5571" xr:uid="{AAE3E9E1-0297-4E5D-B233-1D9072C746B4}"/>
    <cellStyle name="Normal 3 13 3" xfId="3889" xr:uid="{648F204F-98D4-428F-87F9-2BCA8A38B294}"/>
    <cellStyle name="Normal 3 13 3 2" xfId="5854" xr:uid="{CEF724EC-60E3-4392-BD07-A0080A2178FE}"/>
    <cellStyle name="Normal 3 13 4" xfId="5436" xr:uid="{A07525E1-1CC4-41DE-B7D5-502FB99A451D}"/>
    <cellStyle name="Normal 3 14" xfId="2865" xr:uid="{00000000-0005-0000-0000-000013090000}"/>
    <cellStyle name="Normal 3 14 2" xfId="3011" xr:uid="{00000000-0005-0000-0000-0000B6090000}"/>
    <cellStyle name="Normal 3 14 2 2" xfId="5611" xr:uid="{83474A27-4308-4D97-8AC2-F71BD74D8DB4}"/>
    <cellStyle name="Normal 3 14 3" xfId="3936" xr:uid="{D05F07A4-2214-4092-861E-621677D92742}"/>
    <cellStyle name="Normal 3 14 3 2" xfId="5899" xr:uid="{522FF396-56A7-43AE-855D-9D2525543B18}"/>
    <cellStyle name="Normal 3 14 4" xfId="5481" xr:uid="{118CA766-17C7-413C-A36D-5D13FF7DEAF5}"/>
    <cellStyle name="Normal 3 15" xfId="3475" xr:uid="{00000000-0005-0000-0000-0000B7090000}"/>
    <cellStyle name="Normal 3 15 2" xfId="5233" xr:uid="{DEED2B7D-62AF-4106-AC36-61ABE37E0234}"/>
    <cellStyle name="Normal 3 15 2 2" xfId="6007" xr:uid="{4414DBAA-FF21-4BE7-96C0-3FC1B1965482}"/>
    <cellStyle name="Normal 3 15 3" xfId="5653" xr:uid="{43FB9A0A-D224-443F-BF22-11EC81F6426F}"/>
    <cellStyle name="Normal 3 16" xfId="3476" xr:uid="{00000000-0005-0000-0000-000003000000}"/>
    <cellStyle name="Normal 3 16 2" xfId="5298" xr:uid="{6A4C8CF9-213B-4B78-8C4D-F9B63BD0AB51}"/>
    <cellStyle name="Normal 3 16 2 2" xfId="6050" xr:uid="{C1CB5D4C-87FA-4696-A22F-777AD18E0627}"/>
    <cellStyle name="Normal 3 16 3" xfId="5654" xr:uid="{37B63E50-FC37-4028-9AA1-3F31CFBBDB70}"/>
    <cellStyle name="Normal 3 17" xfId="2910" xr:uid="{00000000-0005-0000-0000-0000AD090000}"/>
    <cellStyle name="Normal 3 17 2" xfId="5340" xr:uid="{AB18CC48-8F08-4BF9-9EAC-CE80E3240FB1}"/>
    <cellStyle name="Normal 3 17 2 2" xfId="6092" xr:uid="{25A8E0CB-4D7D-4942-B52D-549810DB236A}"/>
    <cellStyle name="Normal 3 17 3" xfId="5526" xr:uid="{F30CEE3B-9279-48D8-8C48-81389C69FD78}"/>
    <cellStyle name="Normal 3 18" xfId="3483" xr:uid="{92BC2521-C45A-4A36-A1E1-6D1EDD14C99A}"/>
    <cellStyle name="Normal 3 18 2" xfId="5381" xr:uid="{D697B767-98B5-4103-AEDB-B483BD8B6B57}"/>
    <cellStyle name="Normal 3 18 2 2" xfId="6133" xr:uid="{17BC7A7B-FBCB-4D4D-8699-04D16CBF9616}"/>
    <cellStyle name="Normal 3 18 3" xfId="5660" xr:uid="{0CA34AAC-A505-42CD-BB54-CDF84F3638E8}"/>
    <cellStyle name="Normal 3 19" xfId="3490" xr:uid="{5B3717D6-7CEB-459C-93B4-DCC58DC27609}"/>
    <cellStyle name="Normal 3 19 2" xfId="5665" xr:uid="{25756901-FC60-40E2-9B35-C6E8F15F1F09}"/>
    <cellStyle name="Normal 3 2" xfId="14" xr:uid="{00000000-0005-0000-0000-000006000000}"/>
    <cellStyle name="Normal 3 2 10" xfId="3477" xr:uid="{00000000-0005-0000-0000-000004000000}"/>
    <cellStyle name="Normal 3 2 10 2" xfId="4144" xr:uid="{E2A41F9D-CA7E-4068-AABD-1517319F736A}"/>
    <cellStyle name="Normal 3 2 10 2 2" xfId="5915" xr:uid="{3A08F15C-640E-481F-81A0-D1BF5DF85A5B}"/>
    <cellStyle name="Normal 3 2 10 3" xfId="5655" xr:uid="{75C428A9-1D06-4D82-8F5E-C00A6D3C07F3}"/>
    <cellStyle name="Normal 3 2 11" xfId="2911" xr:uid="{00000000-0005-0000-0000-0000B8090000}"/>
    <cellStyle name="Normal 3 2 11 2" xfId="5234" xr:uid="{56C29F0D-607D-49BC-AFE4-470B7801BBE8}"/>
    <cellStyle name="Normal 3 2 11 2 2" xfId="6008" xr:uid="{114E1251-FB6C-43E9-9B0E-13BD35953183}"/>
    <cellStyle name="Normal 3 2 11 3" xfId="5527" xr:uid="{497C6A6B-2266-440C-9CFD-5F4C9702C77E}"/>
    <cellStyle name="Normal 3 2 12" xfId="3486" xr:uid="{77FA50CA-B73C-4EBF-934F-7DDF3BE6B75C}"/>
    <cellStyle name="Normal 3 2 12 2" xfId="5299" xr:uid="{C87E0308-782C-4B8B-91C7-35E7353EA267}"/>
    <cellStyle name="Normal 3 2 12 2 2" xfId="6051" xr:uid="{77160DA9-2F4E-4169-B9F8-25FCE646F7AF}"/>
    <cellStyle name="Normal 3 2 12 3" xfId="5662" xr:uid="{76B1DAC4-EACF-4A47-8D15-26439C4486F4}"/>
    <cellStyle name="Normal 3 2 13" xfId="5341" xr:uid="{F1831413-F2BD-4A90-A957-58C029244A9D}"/>
    <cellStyle name="Normal 3 2 13 2" xfId="6093" xr:uid="{BBD9A73A-37FE-463B-ABFE-591B6524A25B}"/>
    <cellStyle name="Normal 3 2 14" xfId="5382" xr:uid="{43776F86-39A3-4C18-8418-07390C4048B4}"/>
    <cellStyle name="Normal 3 2 14 2" xfId="6134" xr:uid="{5FA6C391-086D-4619-9C17-B14015A80074}"/>
    <cellStyle name="Normal 3 2 15" xfId="3566" xr:uid="{20DA6AE1-9746-4FA1-B37A-068CD5564FC2}"/>
    <cellStyle name="Normal 3 2 15 2" xfId="5715" xr:uid="{B8C7BD68-4D44-4D63-872F-240C49E95095}"/>
    <cellStyle name="Normal 3 2 16" xfId="3491" xr:uid="{8C2502DC-520D-45B0-80F7-BEE9FEDDEF71}"/>
    <cellStyle name="Normal 3 2 16 2" xfId="5666" xr:uid="{2C1EDDCF-E073-45E8-87B8-BC78DF2B45A7}"/>
    <cellStyle name="Normal 3 2 17" xfId="5432" xr:uid="{C70916AF-3F54-47D4-9C61-CBF476FF63C0}"/>
    <cellStyle name="Normal 3 2 2" xfId="18" xr:uid="{00000000-0005-0000-0000-000007000000}"/>
    <cellStyle name="Normal 3 2 2 2" xfId="216" xr:uid="{00000000-0005-0000-0000-000019090000}"/>
    <cellStyle name="Normal 3 2 2 3" xfId="23" xr:uid="{00000000-0005-0000-0000-000018090000}"/>
    <cellStyle name="Normal 3 2 2 3 2" xfId="3480" xr:uid="{00000000-0005-0000-0000-000005000000}"/>
    <cellStyle name="Normal 3 2 2 3 2 2" xfId="5237" xr:uid="{B6B9F503-0B24-47E0-9614-A3519F8CD928}"/>
    <cellStyle name="Normal 3 2 2 3 2 2 2" xfId="6011" xr:uid="{96315F54-03EB-40B9-851D-90AAFEC52075}"/>
    <cellStyle name="Normal 3 2 2 3 2 3" xfId="5658" xr:uid="{09C8FE38-AA32-4C36-A0AA-C45DD737A322}"/>
    <cellStyle name="Normal 3 2 2 3 3" xfId="3894" xr:uid="{7EC61175-6408-4E96-A9C9-9B2D42EB2140}"/>
    <cellStyle name="Normal 3 2 2 3 3 2" xfId="5858" xr:uid="{E6E38BEC-AA64-4E0A-9D1B-95D524F010F8}"/>
    <cellStyle name="Normal 3 2 2 3 4" xfId="5440" xr:uid="{BB2FF5C7-278D-4167-9BF0-CBD672A93DEB}"/>
    <cellStyle name="Normal 3 2 2 4" xfId="2869" xr:uid="{00000000-0005-0000-0000-000018090000}"/>
    <cellStyle name="Normal 3 2 2 4 2" xfId="3940" xr:uid="{5BAA59D7-B1BE-428C-841E-908C7FC8CA4A}"/>
    <cellStyle name="Normal 3 2 2 4 2 2" xfId="5903" xr:uid="{43191DF3-F96A-4AAC-A31A-0C707692AF77}"/>
    <cellStyle name="Normal 3 2 2 4 3" xfId="5485" xr:uid="{A8779FF0-A789-4D6B-B262-E4F52E273629}"/>
    <cellStyle name="Normal 3 2 2 5" xfId="2914" xr:uid="{00000000-0005-0000-0000-0000B9090000}"/>
    <cellStyle name="Normal 3 2 2 5 2" xfId="5343" xr:uid="{7C5EEA8D-9FA9-458C-B415-222FB4C4AF6E}"/>
    <cellStyle name="Normal 3 2 2 5 2 2" xfId="6095" xr:uid="{FB1D9415-08B3-4EF5-BE44-DC2F8C53911F}"/>
    <cellStyle name="Normal 3 2 2 5 3" xfId="5530" xr:uid="{BF1CE220-C275-481E-AD13-8B59B03011E3}"/>
    <cellStyle name="Normal 3 2 2 6" xfId="5385" xr:uid="{CCCA8CF6-4305-4DCD-993F-9C9EAD33B39B}"/>
    <cellStyle name="Normal 3 2 2 6 2" xfId="6137" xr:uid="{78647FCB-FE20-4920-AB16-D183F6744C38}"/>
    <cellStyle name="Normal 3 2 2 7" xfId="3494" xr:uid="{20E3F466-C0ED-4116-81EF-5E50EB4017D5}"/>
    <cellStyle name="Normal 3 2 2 7 2" xfId="5669" xr:uid="{DBFEC37D-0EE7-4192-A607-B6967F06879F}"/>
    <cellStyle name="Normal 3 2 2 8" xfId="5435" xr:uid="{050B0662-4525-4BCF-86FF-D52F7DB06A3A}"/>
    <cellStyle name="Normal 3 2 3" xfId="2529" xr:uid="{00000000-0005-0000-0000-00001A090000}"/>
    <cellStyle name="Normal 3 2 3 10" xfId="5399" xr:uid="{D4AB32E7-9AEA-4E49-83AF-DCCEAD6FC900}"/>
    <cellStyle name="Normal 3 2 3 10 2" xfId="6151" xr:uid="{CBCD6C05-EF86-4AE3-AB62-A73174846F81}"/>
    <cellStyle name="Normal 3 2 3 11" xfId="3616" xr:uid="{5E7A616E-5FF3-4FAB-AFD4-3EBF19059DB8}"/>
    <cellStyle name="Normal 3 2 3 11 2" xfId="5726" xr:uid="{16686B54-313A-4B22-A38D-269307F3F5E3}"/>
    <cellStyle name="Normal 3 2 3 12" xfId="3525" xr:uid="{CD180F9C-0A48-4018-8899-9B9025045CAA}"/>
    <cellStyle name="Normal 3 2 3 12 2" xfId="5683" xr:uid="{91A2C971-27C1-45D4-BCB2-99A9B613A05C}"/>
    <cellStyle name="Normal 3 2 3 13" xfId="5454" xr:uid="{13EC5BD4-E337-4230-A300-734720419430}"/>
    <cellStyle name="Normal 3 2 3 2" xfId="2853" xr:uid="{00000000-0005-0000-0000-00001B090000}"/>
    <cellStyle name="Normal 3 2 3 2 2" xfId="2900" xr:uid="{00000000-0005-0000-0000-00001B090000}"/>
    <cellStyle name="Normal 3 2 3 2 2 2" xfId="3001" xr:uid="{00000000-0005-0000-0000-0000BD090000}"/>
    <cellStyle name="Normal 3 2 3 2 2 2 2" xfId="5279" xr:uid="{75136503-79F5-4962-8285-2B68E0D356DE}"/>
    <cellStyle name="Normal 3 2 3 2 2 2 2 2" xfId="6033" xr:uid="{C4C21D8C-9088-4A3D-8DC4-0723DB9ED724}"/>
    <cellStyle name="Normal 3 2 3 2 2 2 3" xfId="5601" xr:uid="{23C811B5-309A-48CD-AB21-31F46612912A}"/>
    <cellStyle name="Normal 3 2 3 2 2 3" xfId="3830" xr:uid="{AEA55936-66FB-4035-8219-296DB3FFD260}"/>
    <cellStyle name="Normal 3 2 3 2 2 3 2" xfId="5795" xr:uid="{3FE14E9A-0F3F-4A0E-8252-3FB60078647E}"/>
    <cellStyle name="Normal 3 2 3 2 2 4" xfId="5516" xr:uid="{6252B7E0-C926-4630-8F89-4617D09F050B}"/>
    <cellStyle name="Normal 3 2 3 2 3" xfId="3445" xr:uid="{00000000-0005-0000-0000-0000BE090000}"/>
    <cellStyle name="Normal 3 2 3 2 3 2" xfId="5330" xr:uid="{58279695-7E3E-40EE-BBF3-30BEC95DA55C}"/>
    <cellStyle name="Normal 3 2 3 2 3 2 2" xfId="6082" xr:uid="{B5116E04-D9CA-4B00-9A77-DF1330D757F9}"/>
    <cellStyle name="Normal 3 2 3 2 3 3" xfId="3879" xr:uid="{3630F4D8-5CBD-40D3-96BE-7EB1671163E6}"/>
    <cellStyle name="Normal 3 2 3 2 3 3 2" xfId="5844" xr:uid="{5E28CEF3-A055-4E02-BA18-0EF514914252}"/>
    <cellStyle name="Normal 3 2 3 2 3 4" xfId="5641" xr:uid="{D6CFC4AC-D3C7-44C4-86E5-BF9C9B24DD9F}"/>
    <cellStyle name="Normal 3 2 3 2 4" xfId="2945" xr:uid="{00000000-0005-0000-0000-0000BC090000}"/>
    <cellStyle name="Normal 3 2 3 2 4 2" xfId="5370" xr:uid="{6B9C7C87-FEBB-46F1-9E39-B925F39002BF}"/>
    <cellStyle name="Normal 3 2 3 2 4 2 2" xfId="6122" xr:uid="{F8D66738-060E-44C8-94E3-CAD1C5640017}"/>
    <cellStyle name="Normal 3 2 3 2 4 3" xfId="3925" xr:uid="{83A28971-BD1F-4F5F-BA7F-D11AF4A26756}"/>
    <cellStyle name="Normal 3 2 3 2 4 3 2" xfId="5889" xr:uid="{7B5AD343-153A-48F4-886D-7D08B07618E0}"/>
    <cellStyle name="Normal 3 2 3 2 4 4" xfId="5561" xr:uid="{5659207E-CC2F-499E-8015-46D7322DCBE3}"/>
    <cellStyle name="Normal 3 2 3 2 5" xfId="4535" xr:uid="{62A53F81-4576-46B1-BE1B-5824149F7737}"/>
    <cellStyle name="Normal 3 2 3 2 5 2" xfId="5946" xr:uid="{7DC83E9B-F20F-456E-9FD9-891360C98EDB}"/>
    <cellStyle name="Normal 3 2 3 2 6" xfId="5416" xr:uid="{63356101-9070-48BA-B4F3-CFA391C35A7C}"/>
    <cellStyle name="Normal 3 2 3 2 6 2" xfId="6168" xr:uid="{7A2C0B9F-818A-4130-9631-CD3A15EC939F}"/>
    <cellStyle name="Normal 3 2 3 2 7" xfId="3779" xr:uid="{5B321946-B002-4F0F-AF40-20EC08AAD900}"/>
    <cellStyle name="Normal 3 2 3 2 7 2" xfId="5749" xr:uid="{D765705F-5E34-49AA-93F7-451F6E5A0252}"/>
    <cellStyle name="Normal 3 2 3 2 8" xfId="3543" xr:uid="{4A2BA21E-9A0C-4DE9-93D0-D8B46DD347B6}"/>
    <cellStyle name="Normal 3 2 3 2 8 2" xfId="5700" xr:uid="{10EEEF71-E1B1-4769-9294-052F6A99EF94}"/>
    <cellStyle name="Normal 3 2 3 2 9" xfId="5471" xr:uid="{D4F7203D-E83D-49D2-B517-6BB717B0202B}"/>
    <cellStyle name="Normal 3 2 3 3" xfId="2883" xr:uid="{00000000-0005-0000-0000-00001A090000}"/>
    <cellStyle name="Normal 3 2 3 3 2" xfId="2984" xr:uid="{00000000-0005-0000-0000-0000BF090000}"/>
    <cellStyle name="Normal 3 2 3 3 2 2" xfId="4589" xr:uid="{91BE31DE-97AA-421D-B709-935CFD5BF7F4}"/>
    <cellStyle name="Normal 3 2 3 3 2 2 2" xfId="5966" xr:uid="{5BE1EF7C-14C0-4E7B-8329-4707E1501318}"/>
    <cellStyle name="Normal 3 2 3 3 2 3" xfId="5584" xr:uid="{A8F1B6BD-E4E1-41B6-83E8-A086EF2769E4}"/>
    <cellStyle name="Normal 3 2 3 3 3" xfId="3807" xr:uid="{023E89C3-01E2-4CC1-B59F-67E98625B584}"/>
    <cellStyle name="Normal 3 2 3 3 3 2" xfId="5772" xr:uid="{9A44D7A7-D914-485D-AFF3-57268FA2F787}"/>
    <cellStyle name="Normal 3 2 3 3 4" xfId="5499" xr:uid="{30DEF8CA-EBFD-46F5-B941-053142615BE0}"/>
    <cellStyle name="Normal 3 2 3 4" xfId="3427" xr:uid="{00000000-0005-0000-0000-0000C0090000}"/>
    <cellStyle name="Normal 3 2 3 4 2" xfId="5172" xr:uid="{3400BA68-2E63-457A-9CC9-B084D512A6BB}"/>
    <cellStyle name="Normal 3 2 3 4 2 2" xfId="5984" xr:uid="{DAAE3C28-ACE6-4E8D-BF52-AF50C2F19147}"/>
    <cellStyle name="Normal 3 2 3 4 3" xfId="3856" xr:uid="{0EEB853D-0DEB-479D-9D89-C9C9400E40C3}"/>
    <cellStyle name="Normal 3 2 3 4 3 2" xfId="5821" xr:uid="{0BD74B78-BD53-494C-A400-892005E65BD3}"/>
    <cellStyle name="Normal 3 2 3 4 4" xfId="5624" xr:uid="{40B3CDF4-7D6A-4A45-AD3B-EA03EB8CC997}"/>
    <cellStyle name="Normal 3 2 3 5" xfId="2928" xr:uid="{00000000-0005-0000-0000-0000BB090000}"/>
    <cellStyle name="Normal 3 2 3 5 2" xfId="5226" xr:uid="{065B5C79-04D1-4890-9D30-78BA240EA88D}"/>
    <cellStyle name="Normal 3 2 3 5 2 2" xfId="6000" xr:uid="{F1F68F99-941A-4343-891E-BFA21AA17990}"/>
    <cellStyle name="Normal 3 2 3 5 3" xfId="3908" xr:uid="{27A7F973-3082-479F-937F-7AC059337A1E}"/>
    <cellStyle name="Normal 3 2 3 5 3 2" xfId="5872" xr:uid="{0F89651E-4598-4650-9BB7-F0AEA8EB442C}"/>
    <cellStyle name="Normal 3 2 3 5 4" xfId="5544" xr:uid="{BFCBC15D-149D-481A-AEB5-658B3B1139D4}"/>
    <cellStyle name="Normal 3 2 3 6" xfId="4439" xr:uid="{1D3C3AE7-DD6F-4550-8FFF-1701475C88EC}"/>
    <cellStyle name="Normal 3 2 3 6 2" xfId="5928" xr:uid="{DD33AF71-DB6B-4FC7-9D01-75D8C6860C6F}"/>
    <cellStyle name="Normal 3 2 3 7" xfId="5266" xr:uid="{EB3DF2FA-66D3-481A-B841-8E8F87F49B9B}"/>
    <cellStyle name="Normal 3 2 3 7 2" xfId="6021" xr:uid="{2CB99CE3-9CC5-4433-A24F-BF7FF222892D}"/>
    <cellStyle name="Normal 3 2 3 8" xfId="5314" xr:uid="{82A84633-A4C2-48FD-A52E-33DE7188A8F9}"/>
    <cellStyle name="Normal 3 2 3 8 2" xfId="6066" xr:uid="{C6251427-4550-4310-BFF4-B096958DB367}"/>
    <cellStyle name="Normal 3 2 3 9" xfId="5355" xr:uid="{1CDEB6D5-1A76-4274-A827-7785AE9A57F3}"/>
    <cellStyle name="Normal 3 2 3 9 2" xfId="6107" xr:uid="{9E84BD26-DAB3-48F2-9AFB-B5075135743E}"/>
    <cellStyle name="Normal 3 2 4" xfId="35" xr:uid="{00000000-0005-0000-0000-00001C090000}"/>
    <cellStyle name="Normal 3 2 4 10" xfId="3574" xr:uid="{BED90381-9E51-440D-91D6-80F0577C1624}"/>
    <cellStyle name="Normal 3 2 4 10 2" xfId="5720" xr:uid="{5F3C233E-A00A-41D3-9867-55A60C68BC97}"/>
    <cellStyle name="Normal 3 2 4 11" xfId="3504" xr:uid="{29758BE4-EB8B-4079-AB31-5A22F52829F4}"/>
    <cellStyle name="Normal 3 2 4 11 2" xfId="5677" xr:uid="{357DAED1-18D6-4B06-9416-46A9F19721D9}"/>
    <cellStyle name="Normal 3 2 4 12" xfId="5448" xr:uid="{3CA0558D-EE16-4882-9A70-BF8BCD86257B}"/>
    <cellStyle name="Normal 3 2 4 2" xfId="2847" xr:uid="{00000000-0005-0000-0000-00001D090000}"/>
    <cellStyle name="Normal 3 2 4 2 2" xfId="2894" xr:uid="{00000000-0005-0000-0000-00001D090000}"/>
    <cellStyle name="Normal 3 2 4 2 2 2" xfId="2995" xr:uid="{00000000-0005-0000-0000-0000C3090000}"/>
    <cellStyle name="Normal 3 2 4 2 2 2 2" xfId="5274" xr:uid="{9328239E-19FB-436B-A461-09FDF6C3F392}"/>
    <cellStyle name="Normal 3 2 4 2 2 2 2 2" xfId="6028" xr:uid="{1124B376-AEDB-4F99-8B4D-BEE01729C368}"/>
    <cellStyle name="Normal 3 2 4 2 2 2 3" xfId="5595" xr:uid="{C14347CC-2B3F-4D2F-A9C6-8BD94D5F9294}"/>
    <cellStyle name="Normal 3 2 4 2 2 3" xfId="3824" xr:uid="{82B18CF9-0AF0-43FC-80B8-C8386A465F31}"/>
    <cellStyle name="Normal 3 2 4 2 2 3 2" xfId="5789" xr:uid="{BD17481E-C14F-4A8C-AC05-CDC01B43B564}"/>
    <cellStyle name="Normal 3 2 4 2 2 4" xfId="5510" xr:uid="{4EFD6F11-438C-4AC6-B358-EFAD26FBAD1F}"/>
    <cellStyle name="Normal 3 2 4 2 3" xfId="3439" xr:uid="{00000000-0005-0000-0000-0000C4090000}"/>
    <cellStyle name="Normal 3 2 4 2 3 2" xfId="5324" xr:uid="{98168BB2-1FB7-4667-B1F1-5AC6614A84E1}"/>
    <cellStyle name="Normal 3 2 4 2 3 2 2" xfId="6076" xr:uid="{C12A7A30-5D19-4639-A6F0-FCA595478391}"/>
    <cellStyle name="Normal 3 2 4 2 3 3" xfId="3873" xr:uid="{292557E7-07A8-476F-8D83-73D08FAF7820}"/>
    <cellStyle name="Normal 3 2 4 2 3 3 2" xfId="5838" xr:uid="{7FB813B0-97A9-4271-8316-5A0177C785DC}"/>
    <cellStyle name="Normal 3 2 4 2 3 4" xfId="5635" xr:uid="{37B59F2D-8FCC-4B76-A486-DD3B87D904D9}"/>
    <cellStyle name="Normal 3 2 4 2 4" xfId="2939" xr:uid="{00000000-0005-0000-0000-0000C2090000}"/>
    <cellStyle name="Normal 3 2 4 2 4 2" xfId="5366" xr:uid="{69200D28-3536-4716-916C-81630B31AD43}"/>
    <cellStyle name="Normal 3 2 4 2 4 2 2" xfId="6118" xr:uid="{FB5A9BE7-D4E7-4A5D-8B70-60905EF38175}"/>
    <cellStyle name="Normal 3 2 4 2 4 3" xfId="3919" xr:uid="{348046B6-5AE9-442E-A769-2C32802E5219}"/>
    <cellStyle name="Normal 3 2 4 2 4 3 2" xfId="5883" xr:uid="{EBCF3680-1FF0-419F-A194-95C575A7B061}"/>
    <cellStyle name="Normal 3 2 4 2 4 4" xfId="5555" xr:uid="{F89CE5AA-C701-4279-BF28-8EE6B7257871}"/>
    <cellStyle name="Normal 3 2 4 2 5" xfId="4529" xr:uid="{D8949FF3-E2F6-4505-A437-6AAEB41CD12C}"/>
    <cellStyle name="Normal 3 2 4 2 5 2" xfId="5940" xr:uid="{723FA70E-6C94-4879-B4BB-654396DA766D}"/>
    <cellStyle name="Normal 3 2 4 2 6" xfId="5410" xr:uid="{4BC5298B-4138-4E05-BE54-6D3E08535ECF}"/>
    <cellStyle name="Normal 3 2 4 2 6 2" xfId="6162" xr:uid="{96774D1B-41FA-4643-9D35-6B5FB7279910}"/>
    <cellStyle name="Normal 3 2 4 2 7" xfId="3683" xr:uid="{9BB81A78-DD90-40F8-9F18-06F5750ADFA7}"/>
    <cellStyle name="Normal 3 2 4 2 7 2" xfId="5743" xr:uid="{65DAB549-F7A9-4FDB-8EAA-DCF3B50AE038}"/>
    <cellStyle name="Normal 3 2 4 2 8" xfId="3537" xr:uid="{ECFC633E-846B-45B8-8152-CE1CE2F0C6A0}"/>
    <cellStyle name="Normal 3 2 4 2 8 2" xfId="5694" xr:uid="{A0B94DC6-446C-4D6A-8C31-5ADC1D2EB9F6}"/>
    <cellStyle name="Normal 3 2 4 2 9" xfId="5465" xr:uid="{716B8D65-E4C0-456D-AE29-AB7394707A40}"/>
    <cellStyle name="Normal 3 2 4 3" xfId="2877" xr:uid="{00000000-0005-0000-0000-00001C090000}"/>
    <cellStyle name="Normal 3 2 4 3 2" xfId="2962" xr:uid="{00000000-0005-0000-0000-0000C5090000}"/>
    <cellStyle name="Normal 3 2 4 3 2 2" xfId="4580" xr:uid="{9842E96C-6666-4EC6-9DCD-20ECE9438C72}"/>
    <cellStyle name="Normal 3 2 4 3 2 2 2" xfId="5960" xr:uid="{47CE51BE-474E-4F0F-B3F3-A3AED73B0567}"/>
    <cellStyle name="Normal 3 2 4 3 2 3" xfId="5578" xr:uid="{7DC3574A-7D37-4C71-BDF9-326AD94D6EB0}"/>
    <cellStyle name="Normal 3 2 4 3 3" xfId="3801" xr:uid="{4D5CC07E-2F3F-4A84-8CE1-04DD3240DEAF}"/>
    <cellStyle name="Normal 3 2 4 3 3 2" xfId="5766" xr:uid="{A2D31A81-E809-4B61-86EC-3DE2C6A46B6C}"/>
    <cellStyle name="Normal 3 2 4 3 4" xfId="5493" xr:uid="{FE49B593-56B7-438E-AE55-1ECF36104865}"/>
    <cellStyle name="Normal 3 2 4 4" xfId="3022" xr:uid="{00000000-0005-0000-0000-0000C6090000}"/>
    <cellStyle name="Normal 3 2 4 4 2" xfId="4603" xr:uid="{F3770837-7AC4-410A-AD32-D04FE9DE6F3D}"/>
    <cellStyle name="Normal 3 2 4 4 2 2" xfId="5979" xr:uid="{26128195-902F-418F-8935-E671F91AEDDB}"/>
    <cellStyle name="Normal 3 2 4 4 3" xfId="3850" xr:uid="{1268B072-D8EC-4795-91C4-818699670957}"/>
    <cellStyle name="Normal 3 2 4 4 3 2" xfId="5815" xr:uid="{EB005052-FD64-484B-8FD1-7ED3976BB3B1}"/>
    <cellStyle name="Normal 3 2 4 4 4" xfId="5618" xr:uid="{000CDE1F-060E-4520-A2A1-29E7A0FDC649}"/>
    <cellStyle name="Normal 3 2 4 5" xfId="2922" xr:uid="{00000000-0005-0000-0000-0000C1090000}"/>
    <cellStyle name="Normal 3 2 4 5 2" xfId="5219" xr:uid="{8BB14944-8C45-44E5-B80C-63B194C9E11A}"/>
    <cellStyle name="Normal 3 2 4 5 2 2" xfId="5994" xr:uid="{10FD6135-3ABC-4FB1-B60F-479EC040901E}"/>
    <cellStyle name="Normal 3 2 4 5 3" xfId="3902" xr:uid="{2FF3BC80-FB35-4F5F-8B78-EBAE41E2C1A7}"/>
    <cellStyle name="Normal 3 2 4 5 3 2" xfId="5866" xr:uid="{A53B15B3-45B8-4FD3-BF65-43A39A552D9D}"/>
    <cellStyle name="Normal 3 2 4 5 4" xfId="5538" xr:uid="{A7535F0A-D894-47F5-A4BC-CF821362CB61}"/>
    <cellStyle name="Normal 3 2 4 6" xfId="3949" xr:uid="{81F21556-21BA-44F1-95E5-F9C20E73E207}"/>
    <cellStyle name="Normal 3 2 4 6 2" xfId="5912" xr:uid="{E11FA355-9BFB-412F-AD87-12104A3BB447}"/>
    <cellStyle name="Normal 3 2 4 7" xfId="5308" xr:uid="{ED852C13-FBE5-41B0-AE05-DE04B713C1E6}"/>
    <cellStyle name="Normal 3 2 4 7 2" xfId="6060" xr:uid="{11E30B97-7873-47F4-9ACC-ED79CA9AB53F}"/>
    <cellStyle name="Normal 3 2 4 8" xfId="5350" xr:uid="{D6B3AAD8-EC71-4992-8ACF-2BA7FEADA0C3}"/>
    <cellStyle name="Normal 3 2 4 8 2" xfId="6102" xr:uid="{93E49910-D943-4DE9-8C75-7BFF36FC207E}"/>
    <cellStyle name="Normal 3 2 4 9" xfId="5393" xr:uid="{AF63DF01-EB05-44D8-AE98-A752540C5ECB}"/>
    <cellStyle name="Normal 3 2 4 9 2" xfId="6145" xr:uid="{B6192E36-6C2C-4A89-8018-D290777F42E5}"/>
    <cellStyle name="Normal 3 2 5" xfId="28" xr:uid="{00000000-0005-0000-0000-00001E090000}"/>
    <cellStyle name="Normal 3 2 5 2" xfId="2874" xr:uid="{00000000-0005-0000-0000-00001E090000}"/>
    <cellStyle name="Normal 3 2 5 2 2" xfId="2959" xr:uid="{00000000-0005-0000-0000-0000C8090000}"/>
    <cellStyle name="Normal 3 2 5 2 2 2" xfId="4577" xr:uid="{79C6645D-62C7-4E50-898E-370AF14C0F1A}"/>
    <cellStyle name="Normal 3 2 5 2 2 2 2" xfId="5957" xr:uid="{BF44DC71-A503-4061-B356-7650F5D61B37}"/>
    <cellStyle name="Normal 3 2 5 2 2 3" xfId="5575" xr:uid="{588F2AA5-F0BA-4147-9623-0098777C58B2}"/>
    <cellStyle name="Normal 3 2 5 2 3" xfId="3819" xr:uid="{1A40988A-80BB-475A-8724-987FBC372DF7}"/>
    <cellStyle name="Normal 3 2 5 2 3 2" xfId="5784" xr:uid="{50554C29-6353-47FF-AC3E-0CB02564BD74}"/>
    <cellStyle name="Normal 3 2 5 2 4" xfId="5490" xr:uid="{EE36A64D-0951-4552-8CD1-EF7119D149C2}"/>
    <cellStyle name="Normal 3 2 5 3" xfId="3015" xr:uid="{00000000-0005-0000-0000-0000C9090000}"/>
    <cellStyle name="Normal 3 2 5 3 2" xfId="5241" xr:uid="{3C7A52A7-947E-47EA-88EF-61D48799EA81}"/>
    <cellStyle name="Normal 3 2 5 3 2 2" xfId="6015" xr:uid="{95853289-6369-42AA-8E27-5C2262A97794}"/>
    <cellStyle name="Normal 3 2 5 3 3" xfId="3868" xr:uid="{D5DE1675-FC24-4A82-B391-79349A18A711}"/>
    <cellStyle name="Normal 3 2 5 3 3 2" xfId="5833" xr:uid="{DB4EF21D-467F-4165-A419-37729DE1AE4C}"/>
    <cellStyle name="Normal 3 2 5 3 4" xfId="5615" xr:uid="{EB70BE7B-3F12-4CBB-84BE-334D11196C8D}"/>
    <cellStyle name="Normal 3 2 5 4" xfId="2919" xr:uid="{00000000-0005-0000-0000-0000C7090000}"/>
    <cellStyle name="Normal 3 2 5 4 2" xfId="5305" xr:uid="{F754AFA6-5E1F-41E4-B185-6B48345F4C28}"/>
    <cellStyle name="Normal 3 2 5 4 2 2" xfId="6057" xr:uid="{BCCBFC10-7C8A-46EE-937D-CFF5873BAA58}"/>
    <cellStyle name="Normal 3 2 5 4 3" xfId="3899" xr:uid="{63808B54-57ED-44D9-9235-50038921F561}"/>
    <cellStyle name="Normal 3 2 5 4 3 2" xfId="5863" xr:uid="{F5666B01-980F-4B52-A024-4C523FD675A7}"/>
    <cellStyle name="Normal 3 2 5 4 4" xfId="5535" xr:uid="{2BEBFB98-DA9C-4BF5-8110-0B516BF85952}"/>
    <cellStyle name="Normal 3 2 5 5" xfId="3945" xr:uid="{68EC6545-0ECB-4258-9A72-A82BED0405DE}"/>
    <cellStyle name="Normal 3 2 5 5 2" xfId="5908" xr:uid="{71FADF0A-CFF3-4D87-BC44-52435028740F}"/>
    <cellStyle name="Normal 3 2 5 6" xfId="5390" xr:uid="{9D1CA9B4-F9AE-4AD5-9B81-90ED9868D125}"/>
    <cellStyle name="Normal 3 2 5 6 2" xfId="6142" xr:uid="{C39AFA31-AA41-46CB-A942-CC934B72496F}"/>
    <cellStyle name="Normal 3 2 5 7" xfId="3675" xr:uid="{CFF56FE3-36ED-4B93-8615-E9A25F4F4544}"/>
    <cellStyle name="Normal 3 2 5 7 2" xfId="5738" xr:uid="{73A8AB38-A1C0-404D-A65F-100611064EDC}"/>
    <cellStyle name="Normal 3 2 5 8" xfId="3499" xr:uid="{9CF3D60B-59FA-404B-9E2F-00C22C581390}"/>
    <cellStyle name="Normal 3 2 5 8 2" xfId="5674" xr:uid="{5923F69B-40C6-4FF2-9771-ACC61D3056D8}"/>
    <cellStyle name="Normal 3 2 5 9" xfId="5445" xr:uid="{390D046F-582B-4142-B63D-CC94032FE95C}"/>
    <cellStyle name="Normal 3 2 6" xfId="2844" xr:uid="{00000000-0005-0000-0000-00001F090000}"/>
    <cellStyle name="Normal 3 2 6 2" xfId="2891" xr:uid="{00000000-0005-0000-0000-00001F090000}"/>
    <cellStyle name="Normal 3 2 6 2 2" xfId="2992" xr:uid="{00000000-0005-0000-0000-0000CB090000}"/>
    <cellStyle name="Normal 3 2 6 2 2 2" xfId="5272" xr:uid="{775A7E81-FD36-4100-B627-CD4000E65E8D}"/>
    <cellStyle name="Normal 3 2 6 2 2 2 2" xfId="6026" xr:uid="{A768A065-1428-4912-9C28-4869D83ED807}"/>
    <cellStyle name="Normal 3 2 6 2 2 3" xfId="5592" xr:uid="{520C4B78-A06A-40A2-BA26-EFAB13153485}"/>
    <cellStyle name="Normal 3 2 6 2 3" xfId="3916" xr:uid="{C22BDF3B-6D30-46EA-8CFF-85AD358FB419}"/>
    <cellStyle name="Normal 3 2 6 2 3 2" xfId="5880" xr:uid="{EA4320DF-6C26-40AF-88E1-B9514CA3796A}"/>
    <cellStyle name="Normal 3 2 6 2 4" xfId="5507" xr:uid="{BA49E1D9-6068-41B0-8732-422DED01340E}"/>
    <cellStyle name="Normal 3 2 6 3" xfId="3436" xr:uid="{00000000-0005-0000-0000-0000CC090000}"/>
    <cellStyle name="Normal 3 2 6 3 2" xfId="4526" xr:uid="{74AEB2EB-E1AB-4C7D-9480-29BB03BF5EFA}"/>
    <cellStyle name="Normal 3 2 6 3 2 2" xfId="5937" xr:uid="{044CCCCE-04A6-4C11-A839-879AE1DBAA8E}"/>
    <cellStyle name="Normal 3 2 6 3 3" xfId="5632" xr:uid="{F978488F-96BB-4149-98C9-BF12D118BDF8}"/>
    <cellStyle name="Normal 3 2 6 4" xfId="2936" xr:uid="{00000000-0005-0000-0000-0000CA090000}"/>
    <cellStyle name="Normal 3 2 6 4 2" xfId="5363" xr:uid="{1EB8BE3B-FEE4-4EDB-A663-6D9B17F05136}"/>
    <cellStyle name="Normal 3 2 6 4 2 2" xfId="6115" xr:uid="{E07E24FE-B241-40C3-A242-23C59C31FB14}"/>
    <cellStyle name="Normal 3 2 6 4 3" xfId="5552" xr:uid="{EBC3DB01-2AAB-4E69-9733-414B7B1FCE31}"/>
    <cellStyle name="Normal 3 2 6 5" xfId="5407" xr:uid="{B00270B3-23C4-49EB-A758-613A20BC1463}"/>
    <cellStyle name="Normal 3 2 6 5 2" xfId="6159" xr:uid="{BB292E20-68C7-40BE-9720-027F48777A6F}"/>
    <cellStyle name="Normal 3 2 6 6" xfId="3796" xr:uid="{944A49EC-86A2-418B-870D-C6A6E91DDA3A}"/>
    <cellStyle name="Normal 3 2 6 6 2" xfId="5761" xr:uid="{C72B260A-79E9-47C2-968E-3F2F616D3E77}"/>
    <cellStyle name="Normal 3 2 6 7" xfId="3534" xr:uid="{48E640EB-4310-4CA8-B15C-59F1B1D5E305}"/>
    <cellStyle name="Normal 3 2 6 7 2" xfId="5691" xr:uid="{52A38A16-DCA6-476D-B071-5D3F3DC6446D}"/>
    <cellStyle name="Normal 3 2 6 8" xfId="5462" xr:uid="{E1F83D7E-B5A8-4D43-927F-52344DB8C628}"/>
    <cellStyle name="Normal 3 2 7" xfId="25" xr:uid="{00000000-0005-0000-0000-000020090000}"/>
    <cellStyle name="Normal 3 2 7 2" xfId="2871" xr:uid="{00000000-0005-0000-0000-000020090000}"/>
    <cellStyle name="Normal 3 2 7 2 2" xfId="5238" xr:uid="{B84769E2-3E61-40E9-A740-E58F378EC577}"/>
    <cellStyle name="Normal 3 2 7 2 2 2" xfId="6012" xr:uid="{F99952F9-8597-40D2-A321-184393C76EA5}"/>
    <cellStyle name="Normal 3 2 7 2 3" xfId="3896" xr:uid="{C18C8167-0DB7-47BD-BFCC-678FFC068D19}"/>
    <cellStyle name="Normal 3 2 7 2 3 2" xfId="5860" xr:uid="{20A6ABD9-C534-482C-8AF3-E2229D89D553}"/>
    <cellStyle name="Normal 3 2 7 2 4" xfId="5487" xr:uid="{AE0F345E-19BC-4D9B-AA71-D2379F3F5C1F}"/>
    <cellStyle name="Normal 3 2 7 3" xfId="2916" xr:uid="{00000000-0005-0000-0000-0000CD090000}"/>
    <cellStyle name="Normal 3 2 7 3 2" xfId="3942" xr:uid="{9494F4DC-F83A-47E5-ACD4-54C05EC705B8}"/>
    <cellStyle name="Normal 3 2 7 3 2 2" xfId="5905" xr:uid="{9D42EAA6-F68F-4218-BC51-0651F75D1A6C}"/>
    <cellStyle name="Normal 3 2 7 3 3" xfId="5532" xr:uid="{788D6AF3-565C-4777-96E3-80F5CEE40B11}"/>
    <cellStyle name="Normal 3 2 7 4" xfId="5345" xr:uid="{D8C28C62-FA69-42D6-89B4-881820FB3914}"/>
    <cellStyle name="Normal 3 2 7 4 2" xfId="6097" xr:uid="{DA283B21-BCEC-440C-936B-C247F01C818F}"/>
    <cellStyle name="Normal 3 2 7 5" xfId="5387" xr:uid="{7C0E9A2F-7560-4AE8-BC25-A977F1547A68}"/>
    <cellStyle name="Normal 3 2 7 5 2" xfId="6139" xr:uid="{724A4737-C53F-4754-B241-0E750C9B1E00}"/>
    <cellStyle name="Normal 3 2 7 6" xfId="3845" xr:uid="{75ABE790-03AC-4BC7-9225-3192AEBF56AE}"/>
    <cellStyle name="Normal 3 2 7 6 2" xfId="5810" xr:uid="{43D9399E-5DDD-42F9-BD19-106EC31054CA}"/>
    <cellStyle name="Normal 3 2 7 7" xfId="3496" xr:uid="{C2EB9DC4-755D-4308-B4BF-096A8E000446}"/>
    <cellStyle name="Normal 3 2 7 7 2" xfId="5671" xr:uid="{45579BAF-6AB5-46A4-849A-EA3EE6E2A5FF}"/>
    <cellStyle name="Normal 3 2 7 8" xfId="5442" xr:uid="{7CBE5057-198A-4DC6-90AD-5C84FDA60454}"/>
    <cellStyle name="Normal 3 2 8" xfId="20" xr:uid="{00000000-0005-0000-0000-000017090000}"/>
    <cellStyle name="Normal 3 2 8 2" xfId="2956" xr:uid="{00000000-0005-0000-0000-0000CE090000}"/>
    <cellStyle name="Normal 3 2 8 2 2" xfId="4601" xr:uid="{6B7056E2-AB6C-4638-8C52-AD35386CBA7E}"/>
    <cellStyle name="Normal 3 2 8 2 2 2" xfId="5977" xr:uid="{F2467AC1-A950-4BB2-A5AF-F443A1B73CA4}"/>
    <cellStyle name="Normal 3 2 8 2 3" xfId="5572" xr:uid="{B4F5302B-A66C-4621-8884-87EED6C382B3}"/>
    <cellStyle name="Normal 3 2 8 3" xfId="3890" xr:uid="{62B057B6-1095-48C8-8D2A-E4B1356A8221}"/>
    <cellStyle name="Normal 3 2 8 3 2" xfId="5855" xr:uid="{3EA44AA3-754C-425F-AA12-F23665DD370A}"/>
    <cellStyle name="Normal 3 2 8 4" xfId="5437" xr:uid="{44C3D011-E1A6-4149-95B0-4E2C1DF24DF1}"/>
    <cellStyle name="Normal 3 2 9" xfId="2866" xr:uid="{00000000-0005-0000-0000-000017090000}"/>
    <cellStyle name="Normal 3 2 9 2" xfId="3012" xr:uid="{00000000-0005-0000-0000-0000CF090000}"/>
    <cellStyle name="Normal 3 2 9 2 2" xfId="5612" xr:uid="{D2245A1B-41E3-4E91-88B9-4D1DD34FD158}"/>
    <cellStyle name="Normal 3 2 9 3" xfId="3937" xr:uid="{307DD3EC-C4ED-4CAD-B423-68D15331F5FF}"/>
    <cellStyle name="Normal 3 2 9 3 2" xfId="5900" xr:uid="{447B9238-FDE5-4D2F-B30E-E35B7314B712}"/>
    <cellStyle name="Normal 3 2 9 4" xfId="5482" xr:uid="{B66A2AF4-A90A-43E9-89EB-5C65FE557B92}"/>
    <cellStyle name="Normal 3 20" xfId="5431" xr:uid="{CA0F4355-7976-46C9-9EE4-E44C0722E51E}"/>
    <cellStyle name="Normal 3 3" xfId="217" xr:uid="{00000000-0005-0000-0000-000021090000}"/>
    <cellStyle name="Normal 3 3 2" xfId="218" xr:uid="{00000000-0005-0000-0000-000022090000}"/>
    <cellStyle name="Normal 3 3 2 2" xfId="2530" xr:uid="{00000000-0005-0000-0000-000023090000}"/>
    <cellStyle name="Normal 3 3 2 2 2" xfId="3780" xr:uid="{7A4BDD71-2884-49B2-923D-48F39FF61716}"/>
    <cellStyle name="Normal 3 3 2 3" xfId="2972" xr:uid="{00000000-0005-0000-0000-0000D3090000}"/>
    <cellStyle name="Normal 3 3 2 3 2" xfId="3701" xr:uid="{3BF228D3-97DB-4285-BEF0-1316C4922C5C}"/>
    <cellStyle name="Normal 3 3 3" xfId="2257" xr:uid="{00000000-0005-0000-0000-000024090000}"/>
    <cellStyle name="Normal 3 3 3 2" xfId="3772" xr:uid="{B2313056-2399-4A5A-BA9E-9728FF06900D}"/>
    <cellStyle name="Normal 3 3 4" xfId="3488" xr:uid="{2BBB85A3-028F-4E6F-8632-81192F1BF34C}"/>
    <cellStyle name="Normal 3 3 4 2" xfId="3700" xr:uid="{51A1F5AB-DD88-4392-B493-9C9A565388A4}"/>
    <cellStyle name="Normal 3 3 4 3" xfId="5664" xr:uid="{C83B18C7-8AA3-47FB-AC57-442D4480433B}"/>
    <cellStyle name="Normal 3 3 5" xfId="4264" xr:uid="{C0857C58-4C9D-4315-90C2-A161681E1185}"/>
    <cellStyle name="Normal 3 3 5 2" xfId="5919" xr:uid="{8AEE998E-5B3F-4759-98D1-D4055599FAFB}"/>
    <cellStyle name="Normal 3 4" xfId="2258" xr:uid="{00000000-0005-0000-0000-000025090000}"/>
    <cellStyle name="Normal 3 4 10" xfId="5397" xr:uid="{648EE6C0-553B-4AF2-8BDD-26D5F1C2D51C}"/>
    <cellStyle name="Normal 3 4 10 2" xfId="6149" xr:uid="{1F580314-C105-4CB1-99E0-11B12E1ACB4D}"/>
    <cellStyle name="Normal 3 4 11" xfId="3613" xr:uid="{18C30A7B-60A8-4B81-A506-64F4EB2D1CFA}"/>
    <cellStyle name="Normal 3 4 11 2" xfId="5724" xr:uid="{AEDE7289-02C0-4331-A62A-4B3051701DBD}"/>
    <cellStyle name="Normal 3 4 12" xfId="3523" xr:uid="{B56CBB2E-A06B-4623-9103-2A82D05218BA}"/>
    <cellStyle name="Normal 3 4 12 2" xfId="5681" xr:uid="{D8915CC1-8A5A-40B7-A001-93DA365E302D}"/>
    <cellStyle name="Normal 3 4 13" xfId="5452" xr:uid="{219EAA8C-7A5D-4967-8E89-95AA4D3A0613}"/>
    <cellStyle name="Normal 3 4 2" xfId="2851" xr:uid="{00000000-0005-0000-0000-000026090000}"/>
    <cellStyle name="Normal 3 4 2 2" xfId="2898" xr:uid="{00000000-0005-0000-0000-000026090000}"/>
    <cellStyle name="Normal 3 4 2 2 2" xfId="2999" xr:uid="{00000000-0005-0000-0000-0000D7090000}"/>
    <cellStyle name="Normal 3 4 2 2 2 2" xfId="5277" xr:uid="{27A36A97-6299-4372-B441-3BD0CDD44966}"/>
    <cellStyle name="Normal 3 4 2 2 2 2 2" xfId="6031" xr:uid="{F0C0590C-2AA0-4D03-82F3-FB4054682289}"/>
    <cellStyle name="Normal 3 4 2 2 2 3" xfId="5599" xr:uid="{A4618DD3-113E-42A6-8179-F26809BCDA1D}"/>
    <cellStyle name="Normal 3 4 2 2 3" xfId="3828" xr:uid="{7FA963A8-79D8-4CE0-B19B-5C7A4F1A85A4}"/>
    <cellStyle name="Normal 3 4 2 2 3 2" xfId="5793" xr:uid="{D97DC670-1306-447A-9134-A2B74514B300}"/>
    <cellStyle name="Normal 3 4 2 2 4" xfId="5514" xr:uid="{86A98586-5C7A-42DA-8431-83ECDE61E5AA}"/>
    <cellStyle name="Normal 3 4 2 3" xfId="3443" xr:uid="{00000000-0005-0000-0000-0000D8090000}"/>
    <cellStyle name="Normal 3 4 2 3 2" xfId="5328" xr:uid="{9F485F47-DF34-48A4-A0B9-65D4EF202563}"/>
    <cellStyle name="Normal 3 4 2 3 2 2" xfId="6080" xr:uid="{8C6E517F-BEFE-4499-B674-DD44FC3E8C36}"/>
    <cellStyle name="Normal 3 4 2 3 3" xfId="3877" xr:uid="{92880B3F-1194-471E-9A96-0526B3183F2A}"/>
    <cellStyle name="Normal 3 4 2 3 3 2" xfId="5842" xr:uid="{664D5B84-41CE-4606-B8AE-D0EF9D185682}"/>
    <cellStyle name="Normal 3 4 2 3 4" xfId="5639" xr:uid="{13F37001-051F-4866-8FFB-A39EC5024BEA}"/>
    <cellStyle name="Normal 3 4 2 4" xfId="2943" xr:uid="{00000000-0005-0000-0000-0000D6090000}"/>
    <cellStyle name="Normal 3 4 2 4 2" xfId="5369" xr:uid="{FFF351C3-4C1E-4419-A627-BCE86221E407}"/>
    <cellStyle name="Normal 3 4 2 4 2 2" xfId="6121" xr:uid="{CD84427B-515A-46D4-8A42-2136381815DF}"/>
    <cellStyle name="Normal 3 4 2 4 3" xfId="3923" xr:uid="{E8DEAA7E-EB4C-4EEC-B478-CE86602AC200}"/>
    <cellStyle name="Normal 3 4 2 4 3 2" xfId="5887" xr:uid="{9A49182C-42DE-4F14-B103-220C73EFD31A}"/>
    <cellStyle name="Normal 3 4 2 4 4" xfId="5559" xr:uid="{A68D546A-A945-4F5E-95D5-B8DE2D0DEB0F}"/>
    <cellStyle name="Normal 3 4 2 5" xfId="4533" xr:uid="{12819C6D-A825-4DA2-B2B5-09862CA373C8}"/>
    <cellStyle name="Normal 3 4 2 5 2" xfId="5944" xr:uid="{5B825655-EAD2-4ECA-897A-A3CA46BE8CE4}"/>
    <cellStyle name="Normal 3 4 2 6" xfId="5414" xr:uid="{C27768E8-3E06-4141-9300-7D0B470BE17F}"/>
    <cellStyle name="Normal 3 4 2 6 2" xfId="6166" xr:uid="{262ADCBE-A177-41E7-9462-22D309664228}"/>
    <cellStyle name="Normal 3 4 2 7" xfId="3773" xr:uid="{6F162410-AD70-4873-AFDB-AB5BD2A82AE4}"/>
    <cellStyle name="Normal 3 4 2 7 2" xfId="5747" xr:uid="{4BFE4A1A-D23E-4501-8EC8-811D686BAFE7}"/>
    <cellStyle name="Normal 3 4 2 8" xfId="3541" xr:uid="{13F0A01B-07A2-407A-982D-7F0E461CACC4}"/>
    <cellStyle name="Normal 3 4 2 8 2" xfId="5698" xr:uid="{13E457BD-0D29-4760-9553-ABBEC3F828E0}"/>
    <cellStyle name="Normal 3 4 2 9" xfId="5469" xr:uid="{FAA7AA50-A4F9-4DD0-B1E4-8156097AE9A8}"/>
    <cellStyle name="Normal 3 4 3" xfId="2881" xr:uid="{00000000-0005-0000-0000-000025090000}"/>
    <cellStyle name="Normal 3 4 3 2" xfId="2982" xr:uid="{00000000-0005-0000-0000-0000D9090000}"/>
    <cellStyle name="Normal 3 4 3 2 2" xfId="4584" xr:uid="{C573A230-3D94-4D0F-A60B-21C5C1530BBF}"/>
    <cellStyle name="Normal 3 4 3 2 2 2" xfId="5964" xr:uid="{C2378A80-569B-4A03-BB61-2E82CE85C7ED}"/>
    <cellStyle name="Normal 3 4 3 2 3" xfId="5582" xr:uid="{F7CA82A9-079D-43F8-AF4C-0C7A988A1D34}"/>
    <cellStyle name="Normal 3 4 3 3" xfId="3805" xr:uid="{BC509A02-7E75-45FB-9578-802BB0249E05}"/>
    <cellStyle name="Normal 3 4 3 3 2" xfId="5770" xr:uid="{F91212D4-3A46-41DB-8B8E-E44A37A835B8}"/>
    <cellStyle name="Normal 3 4 3 4" xfId="5497" xr:uid="{EBAB5071-D686-4C40-B066-3424767D2003}"/>
    <cellStyle name="Normal 3 4 4" xfId="3419" xr:uid="{00000000-0005-0000-0000-0000DA090000}"/>
    <cellStyle name="Normal 3 4 4 2" xfId="5117" xr:uid="{C0967EB0-4FC1-42EE-82CD-266AD9B0EDB7}"/>
    <cellStyle name="Normal 3 4 4 2 2" xfId="5982" xr:uid="{34CED2A5-D639-4575-93FC-22C2F84B3CF0}"/>
    <cellStyle name="Normal 3 4 4 3" xfId="3854" xr:uid="{8F947C13-712B-4A6B-8BFD-97D025BFC353}"/>
    <cellStyle name="Normal 3 4 4 3 2" xfId="5819" xr:uid="{36B4265B-B13E-4595-8869-627A71E6CF87}"/>
    <cellStyle name="Normal 3 4 4 4" xfId="5622" xr:uid="{B1D09B84-851A-4971-8C74-D1E76FB67F92}"/>
    <cellStyle name="Normal 3 4 5" xfId="2926" xr:uid="{00000000-0005-0000-0000-0000D5090000}"/>
    <cellStyle name="Normal 3 4 5 2" xfId="5224" xr:uid="{4E1C65F2-6C2F-4F9F-8AE0-0EC2C2FBB7B6}"/>
    <cellStyle name="Normal 3 4 5 2 2" xfId="5998" xr:uid="{485F9FB6-AA23-4D00-B1BF-2CEBB2D60E05}"/>
    <cellStyle name="Normal 3 4 5 3" xfId="3906" xr:uid="{C2189149-9E28-4F0E-945C-C9D03332DF74}"/>
    <cellStyle name="Normal 3 4 5 3 2" xfId="5870" xr:uid="{2A8A88F9-16E9-4AFB-BFC2-3C9160562684}"/>
    <cellStyle name="Normal 3 4 5 4" xfId="5542" xr:uid="{D17E7A94-28E0-4F10-8224-E641C1F19402}"/>
    <cellStyle name="Normal 3 4 6" xfId="4387" xr:uid="{84B33903-DFBD-4630-A2E4-A1014301AF26}"/>
    <cellStyle name="Normal 3 4 6 2" xfId="5923" xr:uid="{94008F98-561E-4EA8-BE78-A678AF89A54C}"/>
    <cellStyle name="Normal 3 4 7" xfId="5264" xr:uid="{C1AD190A-BF87-4FA2-8ED0-0EE42B8B9B6E}"/>
    <cellStyle name="Normal 3 4 7 2" xfId="6019" xr:uid="{B2269E2B-BBF4-4291-9860-EE172F3DD4C6}"/>
    <cellStyle name="Normal 3 4 8" xfId="5312" xr:uid="{71B6AD34-48AF-46E3-A131-A9C2CA83CD8F}"/>
    <cellStyle name="Normal 3 4 8 2" xfId="6064" xr:uid="{116A0A0D-597A-49E2-A7D5-2F0727327C14}"/>
    <cellStyle name="Normal 3 4 9" xfId="5353" xr:uid="{E48F2B4C-CA8B-41A0-8A2A-6B8D95B4F109}"/>
    <cellStyle name="Normal 3 4 9 2" xfId="6105" xr:uid="{9D15947C-7D70-43A4-9174-22FB1B49BE4D}"/>
    <cellStyle name="Normal 3 5" xfId="2536" xr:uid="{00000000-0005-0000-0000-000027090000}"/>
    <cellStyle name="Normal 3 5 10" xfId="3618" xr:uid="{070CD097-568B-45EB-AB39-E6FB6C1D8892}"/>
    <cellStyle name="Normal 3 5 10 2" xfId="5728" xr:uid="{AE9B9759-907E-46EF-8954-DF31213BCFD6}"/>
    <cellStyle name="Normal 3 5 11" xfId="3527" xr:uid="{51EAC1FD-2B9F-4486-8421-81810DCCF252}"/>
    <cellStyle name="Normal 3 5 11 2" xfId="5685" xr:uid="{CF833950-6E5F-466B-B75F-30B3A337AB2C}"/>
    <cellStyle name="Normal 3 5 12" xfId="5456" xr:uid="{DA656E86-9111-4F65-BAA3-A64149B29994}"/>
    <cellStyle name="Normal 3 5 2" xfId="2855" xr:uid="{00000000-0005-0000-0000-000028090000}"/>
    <cellStyle name="Normal 3 5 2 2" xfId="2902" xr:uid="{00000000-0005-0000-0000-000028090000}"/>
    <cellStyle name="Normal 3 5 2 2 2" xfId="3003" xr:uid="{00000000-0005-0000-0000-0000DD090000}"/>
    <cellStyle name="Normal 3 5 2 2 2 2" xfId="5281" xr:uid="{2657E4EE-F434-45E6-9C55-A84C41E66809}"/>
    <cellStyle name="Normal 3 5 2 2 2 2 2" xfId="6035" xr:uid="{6A0C22CF-0AA5-4FA9-9AC4-7AC99A4C1409}"/>
    <cellStyle name="Normal 3 5 2 2 2 3" xfId="5603" xr:uid="{9B5B101A-E320-42EE-A550-CEFA19200ECE}"/>
    <cellStyle name="Normal 3 5 2 2 3" xfId="3832" xr:uid="{E838C93B-CA7B-4249-AEAE-479BE28BBE82}"/>
    <cellStyle name="Normal 3 5 2 2 3 2" xfId="5797" xr:uid="{3B77EC24-B349-4A78-8C47-8776232E5892}"/>
    <cellStyle name="Normal 3 5 2 2 4" xfId="5518" xr:uid="{31542308-B398-40D7-AE23-8B7AA6A7323D}"/>
    <cellStyle name="Normal 3 5 2 3" xfId="3447" xr:uid="{00000000-0005-0000-0000-0000DE090000}"/>
    <cellStyle name="Normal 3 5 2 3 2" xfId="5332" xr:uid="{43C20286-F6F8-463D-B1BF-9F5822A568C4}"/>
    <cellStyle name="Normal 3 5 2 3 2 2" xfId="6084" xr:uid="{38CB6AA6-C39D-47B5-BCB9-35DB309DF085}"/>
    <cellStyle name="Normal 3 5 2 3 3" xfId="3881" xr:uid="{794495EB-B77D-4E94-836D-7A3B97E3B9FD}"/>
    <cellStyle name="Normal 3 5 2 3 3 2" xfId="5846" xr:uid="{17F86C24-645F-4DE8-99F3-68B05096A753}"/>
    <cellStyle name="Normal 3 5 2 3 4" xfId="5643" xr:uid="{BE883ECA-F9D2-438B-8F2E-5C3A547ACA3C}"/>
    <cellStyle name="Normal 3 5 2 4" xfId="2947" xr:uid="{00000000-0005-0000-0000-0000DC090000}"/>
    <cellStyle name="Normal 3 5 2 4 2" xfId="5372" xr:uid="{349BBBF0-CBC8-4B27-8A9E-772FF88B696B}"/>
    <cellStyle name="Normal 3 5 2 4 2 2" xfId="6124" xr:uid="{C1F64636-E12D-43A4-8BDA-F8A78FFAD065}"/>
    <cellStyle name="Normal 3 5 2 4 3" xfId="3927" xr:uid="{99D811E6-F906-4DC9-812D-67311E1EFBCF}"/>
    <cellStyle name="Normal 3 5 2 4 3 2" xfId="5891" xr:uid="{FA4DEEAF-6967-4CA0-9AC3-E0D99128C702}"/>
    <cellStyle name="Normal 3 5 2 4 4" xfId="5563" xr:uid="{E933409A-D758-4605-9843-7B685393AB9C}"/>
    <cellStyle name="Normal 3 5 2 5" xfId="4537" xr:uid="{F0D86C14-F734-4EF6-A554-DA2C8129FC59}"/>
    <cellStyle name="Normal 3 5 2 5 2" xfId="5948" xr:uid="{5180DC54-B6C2-472F-8950-BC41119D1E2E}"/>
    <cellStyle name="Normal 3 5 2 6" xfId="5418" xr:uid="{4FE46768-B2AE-48CE-9482-07EEB1DAEF60}"/>
    <cellStyle name="Normal 3 5 2 6 2" xfId="6170" xr:uid="{DAE34B67-829F-450F-A623-A5D8558D95BB}"/>
    <cellStyle name="Normal 3 5 2 7" xfId="3786" xr:uid="{5D282ABC-3908-4DBD-9EFE-459A1C9C7399}"/>
    <cellStyle name="Normal 3 5 2 7 2" xfId="5751" xr:uid="{57266C46-471F-4F6F-9A9B-9D9029378010}"/>
    <cellStyle name="Normal 3 5 2 8" xfId="3545" xr:uid="{FAF99604-DFB1-4DE3-A44A-3EDA84CEA0AA}"/>
    <cellStyle name="Normal 3 5 2 8 2" xfId="5702" xr:uid="{856C501E-59A5-41A2-8240-D0379A5705B1}"/>
    <cellStyle name="Normal 3 5 2 9" xfId="5473" xr:uid="{D5979C28-49C3-4B87-9424-A93D92DCCBD1}"/>
    <cellStyle name="Normal 3 5 3" xfId="2885" xr:uid="{00000000-0005-0000-0000-000027090000}"/>
    <cellStyle name="Normal 3 5 3 2" xfId="2986" xr:uid="{00000000-0005-0000-0000-0000DF090000}"/>
    <cellStyle name="Normal 3 5 3 2 2" xfId="4591" xr:uid="{549389A2-A759-4114-879C-1274324EB0E9}"/>
    <cellStyle name="Normal 3 5 3 2 2 2" xfId="5968" xr:uid="{1A396A4E-6551-437A-829E-D95025E5F5D1}"/>
    <cellStyle name="Normal 3 5 3 2 3" xfId="5586" xr:uid="{E12E791D-9D4F-476B-96B2-496867E15EDA}"/>
    <cellStyle name="Normal 3 5 3 3" xfId="3809" xr:uid="{E11254E2-04A2-480D-B946-1FA4BDF0B1D9}"/>
    <cellStyle name="Normal 3 5 3 3 2" xfId="5774" xr:uid="{6DA86AA1-C086-4F91-B502-719DF05DE85C}"/>
    <cellStyle name="Normal 3 5 3 4" xfId="5501" xr:uid="{7D888F08-E589-4D42-B122-A43DED63B64F}"/>
    <cellStyle name="Normal 3 5 4" xfId="3429" xr:uid="{00000000-0005-0000-0000-0000E0090000}"/>
    <cellStyle name="Normal 3 5 4 2" xfId="5175" xr:uid="{89914024-6B3E-47DC-8C99-873E31AA9D28}"/>
    <cellStyle name="Normal 3 5 4 2 2" xfId="5986" xr:uid="{69077D00-1594-4350-811B-64D7BAA0D3BD}"/>
    <cellStyle name="Normal 3 5 4 3" xfId="3858" xr:uid="{50E1BD30-2836-4AC1-809B-C66EE6ADBDF5}"/>
    <cellStyle name="Normal 3 5 4 3 2" xfId="5823" xr:uid="{F6F8CFBF-8EB0-4313-BF19-0190DCFD08BB}"/>
    <cellStyle name="Normal 3 5 4 4" xfId="5626" xr:uid="{157E7691-911D-4C88-9576-060960862251}"/>
    <cellStyle name="Normal 3 5 5" xfId="2930" xr:uid="{00000000-0005-0000-0000-0000DB090000}"/>
    <cellStyle name="Normal 3 5 5 2" xfId="5228" xr:uid="{44912B39-77E6-4CE0-9075-1BD9EC8F12B1}"/>
    <cellStyle name="Normal 3 5 5 2 2" xfId="6002" xr:uid="{403A3B9B-8339-4019-9B46-4945B08C13D2}"/>
    <cellStyle name="Normal 3 5 5 3" xfId="3910" xr:uid="{A750BB9A-44E5-44C9-80C6-3B5D54B1698B}"/>
    <cellStyle name="Normal 3 5 5 3 2" xfId="5874" xr:uid="{5542A175-6137-45DE-A6EC-E3296D86E9A7}"/>
    <cellStyle name="Normal 3 5 5 4" xfId="5546" xr:uid="{C32F0192-F65D-44B2-A140-62224D394290}"/>
    <cellStyle name="Normal 3 5 6" xfId="4443" xr:uid="{A27F7448-3A30-48FE-B85E-D833336AE738}"/>
    <cellStyle name="Normal 3 5 6 2" xfId="5930" xr:uid="{3626A282-B507-4FFA-ADE6-D442A50A9066}"/>
    <cellStyle name="Normal 3 5 7" xfId="5316" xr:uid="{A18F41CC-3E01-4029-B337-FF957C46EE4B}"/>
    <cellStyle name="Normal 3 5 7 2" xfId="6068" xr:uid="{231B8DD6-8135-4871-B777-BCE5882FF126}"/>
    <cellStyle name="Normal 3 5 8" xfId="5357" xr:uid="{D5C79445-69F7-4268-9F08-5BADD59811EE}"/>
    <cellStyle name="Normal 3 5 8 2" xfId="6109" xr:uid="{F7D5B9E2-EDB8-4031-AFC4-452118B6B541}"/>
    <cellStyle name="Normal 3 5 9" xfId="5401" xr:uid="{EDC130E1-CFC9-4069-BF3B-24C4686C49B0}"/>
    <cellStyle name="Normal 3 5 9 2" xfId="6153" xr:uid="{D94A350A-0FD2-4785-B2E7-5FEA7270B1B2}"/>
    <cellStyle name="Normal 3 6" xfId="2539" xr:uid="{00000000-0005-0000-0000-000029090000}"/>
    <cellStyle name="Normal 3 6 10" xfId="3621" xr:uid="{A3963F73-E24A-4D76-91CD-6B2E01F016B6}"/>
    <cellStyle name="Normal 3 6 10 2" xfId="5730" xr:uid="{F4534929-6471-477A-847E-681FE140484F}"/>
    <cellStyle name="Normal 3 6 11" xfId="3529" xr:uid="{97A5A0AB-BCC7-4160-9146-6602E2CF75B0}"/>
    <cellStyle name="Normal 3 6 11 2" xfId="5687" xr:uid="{2EB2CFD9-6102-4752-834B-DB4453AFF559}"/>
    <cellStyle name="Normal 3 6 12" xfId="5458" xr:uid="{F66D4035-0EAA-40EB-8BA1-5B9876DEDFE4}"/>
    <cellStyle name="Normal 3 6 2" xfId="2857" xr:uid="{00000000-0005-0000-0000-00002A090000}"/>
    <cellStyle name="Normal 3 6 2 2" xfId="2904" xr:uid="{00000000-0005-0000-0000-00002A090000}"/>
    <cellStyle name="Normal 3 6 2 2 2" xfId="3005" xr:uid="{00000000-0005-0000-0000-0000E3090000}"/>
    <cellStyle name="Normal 3 6 2 2 2 2" xfId="5283" xr:uid="{63CB1692-8C46-462B-B531-1D34611233C1}"/>
    <cellStyle name="Normal 3 6 2 2 2 2 2" xfId="6037" xr:uid="{2E1B26C1-6A34-4EE7-9FF3-B0E40626235E}"/>
    <cellStyle name="Normal 3 6 2 2 2 3" xfId="5605" xr:uid="{FF00845D-BE2F-49B2-813D-0A654B89266E}"/>
    <cellStyle name="Normal 3 6 2 2 3" xfId="3834" xr:uid="{484B281C-ACB8-46FE-B54C-CDA5C571094B}"/>
    <cellStyle name="Normal 3 6 2 2 3 2" xfId="5799" xr:uid="{68C164C9-9812-431D-8D85-6DD674BE2C6A}"/>
    <cellStyle name="Normal 3 6 2 2 4" xfId="5520" xr:uid="{BD8D3833-D53A-4F02-968B-2FB6DA18FAB8}"/>
    <cellStyle name="Normal 3 6 2 3" xfId="3449" xr:uid="{00000000-0005-0000-0000-0000E4090000}"/>
    <cellStyle name="Normal 3 6 2 3 2" xfId="5334" xr:uid="{18650FF7-B298-4269-B705-2A41A99C70AE}"/>
    <cellStyle name="Normal 3 6 2 3 2 2" xfId="6086" xr:uid="{F2B2BCBE-C658-4A05-AF04-15C09DD7AC25}"/>
    <cellStyle name="Normal 3 6 2 3 3" xfId="3883" xr:uid="{50F94FF4-0675-43F0-A5AD-19965A4A548B}"/>
    <cellStyle name="Normal 3 6 2 3 3 2" xfId="5848" xr:uid="{BDEEE793-9867-40FE-BB47-F26CC456D375}"/>
    <cellStyle name="Normal 3 6 2 3 4" xfId="5645" xr:uid="{536EC076-9D8C-4089-A2B2-9CC27123C26B}"/>
    <cellStyle name="Normal 3 6 2 4" xfId="2949" xr:uid="{00000000-0005-0000-0000-0000E2090000}"/>
    <cellStyle name="Normal 3 6 2 4 2" xfId="5374" xr:uid="{2B833681-0A66-4381-9006-675DF13679A1}"/>
    <cellStyle name="Normal 3 6 2 4 2 2" xfId="6126" xr:uid="{BE65EA5B-ADDC-4F73-9962-CEA03CADF385}"/>
    <cellStyle name="Normal 3 6 2 4 3" xfId="3929" xr:uid="{A1D22BDC-B232-48BF-BC8C-128C2A9C0437}"/>
    <cellStyle name="Normal 3 6 2 4 3 2" xfId="5893" xr:uid="{5BA760BA-15FA-4EB5-A360-A3F42557A256}"/>
    <cellStyle name="Normal 3 6 2 4 4" xfId="5565" xr:uid="{6428A616-1B40-4EA8-A2A9-B4AE49F8A0E0}"/>
    <cellStyle name="Normal 3 6 2 5" xfId="4539" xr:uid="{F8860818-8C91-489B-8835-868728021C14}"/>
    <cellStyle name="Normal 3 6 2 5 2" xfId="5950" xr:uid="{6337D3CD-72E3-4033-83EF-E10D2A9CE547}"/>
    <cellStyle name="Normal 3 6 2 6" xfId="5420" xr:uid="{45109BDD-1106-494A-892D-8BA37E86C8D7}"/>
    <cellStyle name="Normal 3 6 2 6 2" xfId="6172" xr:uid="{F94008FE-4275-421B-91FD-5F1DE03CE7C1}"/>
    <cellStyle name="Normal 3 6 2 7" xfId="3788" xr:uid="{617B8D67-2AF3-4D32-8E89-36C043B69A32}"/>
    <cellStyle name="Normal 3 6 2 7 2" xfId="5753" xr:uid="{CB469169-D0F3-4FC5-8C22-1F47F0C1B0E7}"/>
    <cellStyle name="Normal 3 6 2 8" xfId="3547" xr:uid="{40BFECB0-ACBF-4B9C-82FB-6D80E92CD95B}"/>
    <cellStyle name="Normal 3 6 2 8 2" xfId="5704" xr:uid="{238F08D3-E057-4BCF-BF09-852B46A429BD}"/>
    <cellStyle name="Normal 3 6 2 9" xfId="5475" xr:uid="{C4B1884E-C8B4-46DD-9325-AB51CBF700BE}"/>
    <cellStyle name="Normal 3 6 3" xfId="2887" xr:uid="{00000000-0005-0000-0000-000029090000}"/>
    <cellStyle name="Normal 3 6 3 2" xfId="2988" xr:uid="{00000000-0005-0000-0000-0000E5090000}"/>
    <cellStyle name="Normal 3 6 3 2 2" xfId="4593" xr:uid="{1FE718B5-4643-4E02-B696-D232F982EDC1}"/>
    <cellStyle name="Normal 3 6 3 2 2 2" xfId="5970" xr:uid="{F9E5FF98-5938-4B6E-969F-4AB6299D6202}"/>
    <cellStyle name="Normal 3 6 3 2 3" xfId="5588" xr:uid="{1CE832F1-586A-4B73-8195-020AE57A8A8A}"/>
    <cellStyle name="Normal 3 6 3 3" xfId="3811" xr:uid="{A73306FE-96C8-4073-9C7E-951D8ACDD9DA}"/>
    <cellStyle name="Normal 3 6 3 3 2" xfId="5776" xr:uid="{5EDC5D7D-AB62-4800-A2E6-7C99D1A65B24}"/>
    <cellStyle name="Normal 3 6 3 4" xfId="5503" xr:uid="{F5F4D9DF-F060-4FEF-85DF-D97D9564DBBD}"/>
    <cellStyle name="Normal 3 6 4" xfId="3431" xr:uid="{00000000-0005-0000-0000-0000E6090000}"/>
    <cellStyle name="Normal 3 6 4 2" xfId="5177" xr:uid="{7B37929E-CABB-4B4B-8FEF-B9F5146EF481}"/>
    <cellStyle name="Normal 3 6 4 2 2" xfId="5988" xr:uid="{69CFCE19-59D0-4DB6-808B-4675B7CA88A9}"/>
    <cellStyle name="Normal 3 6 4 3" xfId="3860" xr:uid="{B2F9853C-8776-4BFB-9381-621C33A5C78A}"/>
    <cellStyle name="Normal 3 6 4 3 2" xfId="5825" xr:uid="{590C776E-8A39-4B29-9516-606397B25087}"/>
    <cellStyle name="Normal 3 6 4 4" xfId="5628" xr:uid="{009BEFA7-53B0-4152-BA2A-8785FB0C42E8}"/>
    <cellStyle name="Normal 3 6 5" xfId="2932" xr:uid="{00000000-0005-0000-0000-0000E1090000}"/>
    <cellStyle name="Normal 3 6 5 2" xfId="5230" xr:uid="{3FB296AD-4737-47C9-A22F-4F186E1586A0}"/>
    <cellStyle name="Normal 3 6 5 2 2" xfId="6004" xr:uid="{519B40ED-4BBD-4138-A940-B1B5BC0E62AC}"/>
    <cellStyle name="Normal 3 6 5 3" xfId="3912" xr:uid="{D4DB07DA-27D6-4C29-A6FE-739C682FC422}"/>
    <cellStyle name="Normal 3 6 5 3 2" xfId="5876" xr:uid="{DA54CE7A-0097-444A-A04F-1305F5A494F2}"/>
    <cellStyle name="Normal 3 6 5 4" xfId="5548" xr:uid="{2A3B8740-7F79-4553-A91B-E1422A989B7D}"/>
    <cellStyle name="Normal 3 6 6" xfId="4445" xr:uid="{2A784282-028D-443D-9316-0F097AC3266F}"/>
    <cellStyle name="Normal 3 6 6 2" xfId="5932" xr:uid="{606A24C0-5CAD-40BE-8BD1-7D86D82A2244}"/>
    <cellStyle name="Normal 3 6 7" xfId="5318" xr:uid="{372B7332-0B13-4F5F-9351-35E639E1021B}"/>
    <cellStyle name="Normal 3 6 7 2" xfId="6070" xr:uid="{61CA2B15-8B84-4687-9CFC-0B1710EB637C}"/>
    <cellStyle name="Normal 3 6 8" xfId="5359" xr:uid="{B1225916-1DDA-4C14-A02F-6C2F5B9A9026}"/>
    <cellStyle name="Normal 3 6 8 2" xfId="6111" xr:uid="{BB2F747B-84CB-4CF9-81D0-A8D2D4A6E9DD}"/>
    <cellStyle name="Normal 3 6 9" xfId="5403" xr:uid="{F216494D-1A4B-4C75-9BFF-F3B23639455A}"/>
    <cellStyle name="Normal 3 6 9 2" xfId="6155" xr:uid="{38573569-B8D8-4174-8C90-70F826CA691A}"/>
    <cellStyle name="Normal 3 7" xfId="30" xr:uid="{00000000-0005-0000-0000-00002B090000}"/>
    <cellStyle name="Normal 3 7 10" xfId="3573" xr:uid="{B90640E6-4E01-41ED-9D17-08D707156DB3}"/>
    <cellStyle name="Normal 3 7 10 2" xfId="5719" xr:uid="{34B2ADFE-50F1-4663-BF66-1A58F1970D42}"/>
    <cellStyle name="Normal 3 7 11" xfId="3501" xr:uid="{DA5909B5-89AD-456B-BA30-324AD90B2EBB}"/>
    <cellStyle name="Normal 3 7 11 2" xfId="5676" xr:uid="{16791F27-49DC-441C-994B-2215197D3942}"/>
    <cellStyle name="Normal 3 7 12" xfId="5447" xr:uid="{21B476DB-0EAE-4F4F-8503-6663D9349C87}"/>
    <cellStyle name="Normal 3 7 2" xfId="2846" xr:uid="{00000000-0005-0000-0000-00002C090000}"/>
    <cellStyle name="Normal 3 7 2 2" xfId="2893" xr:uid="{00000000-0005-0000-0000-00002C090000}"/>
    <cellStyle name="Normal 3 7 2 2 2" xfId="2994" xr:uid="{00000000-0005-0000-0000-0000E9090000}"/>
    <cellStyle name="Normal 3 7 2 2 2 2" xfId="5273" xr:uid="{E11F2FAD-83DD-4449-8776-2FAADF95DB75}"/>
    <cellStyle name="Normal 3 7 2 2 2 2 2" xfId="6027" xr:uid="{2F40F1EA-5C55-4FB0-8DF3-1FEC689CE349}"/>
    <cellStyle name="Normal 3 7 2 2 2 3" xfId="5594" xr:uid="{AAF4FC5D-2DA4-4F5C-A719-2715D1461417}"/>
    <cellStyle name="Normal 3 7 2 2 3" xfId="3823" xr:uid="{54CE7CF5-4268-4891-8CF9-090502066FA6}"/>
    <cellStyle name="Normal 3 7 2 2 3 2" xfId="5788" xr:uid="{6D923B59-C6AE-4E75-960B-7647AE052BA9}"/>
    <cellStyle name="Normal 3 7 2 2 4" xfId="5509" xr:uid="{CDFE02CA-7B89-474E-939E-E3B4FF1A6265}"/>
    <cellStyle name="Normal 3 7 2 3" xfId="3438" xr:uid="{00000000-0005-0000-0000-0000EA090000}"/>
    <cellStyle name="Normal 3 7 2 3 2" xfId="5323" xr:uid="{F2BF3846-17E5-4A10-9C60-9305703CF260}"/>
    <cellStyle name="Normal 3 7 2 3 2 2" xfId="6075" xr:uid="{C2054622-A11F-49D6-B794-D2214FBB86FF}"/>
    <cellStyle name="Normal 3 7 2 3 3" xfId="3872" xr:uid="{CBA2BE18-12B1-4624-9C45-D830447B8851}"/>
    <cellStyle name="Normal 3 7 2 3 3 2" xfId="5837" xr:uid="{E7F5461C-5DDA-40BA-B171-1B1880B10B2B}"/>
    <cellStyle name="Normal 3 7 2 3 4" xfId="5634" xr:uid="{8D9781C3-60E0-4067-9A11-DCAD62239500}"/>
    <cellStyle name="Normal 3 7 2 4" xfId="2938" xr:uid="{00000000-0005-0000-0000-0000E8090000}"/>
    <cellStyle name="Normal 3 7 2 4 2" xfId="5365" xr:uid="{735E6FB6-E896-4716-AD9A-5FE1BC09333D}"/>
    <cellStyle name="Normal 3 7 2 4 2 2" xfId="6117" xr:uid="{8EFDD5B8-2053-433A-95E8-5E7074307A41}"/>
    <cellStyle name="Normal 3 7 2 4 3" xfId="3918" xr:uid="{EE546CBC-5841-43BF-A5EA-67653E1FC859}"/>
    <cellStyle name="Normal 3 7 2 4 3 2" xfId="5882" xr:uid="{C0D19444-F70E-4254-B729-6ED974FF3BE3}"/>
    <cellStyle name="Normal 3 7 2 4 4" xfId="5554" xr:uid="{EEAF2CC6-CF7A-44BA-938D-9D8BD68FC853}"/>
    <cellStyle name="Normal 3 7 2 5" xfId="4528" xr:uid="{542DEB71-0235-4F00-AEEB-DD552492F3F9}"/>
    <cellStyle name="Normal 3 7 2 5 2" xfId="5939" xr:uid="{91231B84-17BD-4537-995D-4FC73510DB5F}"/>
    <cellStyle name="Normal 3 7 2 6" xfId="5409" xr:uid="{1D0A1BF1-3C3C-42AB-B2FE-08AB5CDE6002}"/>
    <cellStyle name="Normal 3 7 2 6 2" xfId="6161" xr:uid="{C4007EA3-06CA-479D-86D8-354CED7963D1}"/>
    <cellStyle name="Normal 3 7 2 7" xfId="3682" xr:uid="{E4637C75-497B-4F28-9147-2BC5688DC55E}"/>
    <cellStyle name="Normal 3 7 2 7 2" xfId="5742" xr:uid="{95343021-1F20-4994-AF39-CC4C968DF1CC}"/>
    <cellStyle name="Normal 3 7 2 8" xfId="3536" xr:uid="{F9DFAF27-AD93-4C8B-9A08-864C0E034C8F}"/>
    <cellStyle name="Normal 3 7 2 8 2" xfId="5693" xr:uid="{07DE59C9-F916-4FAA-843A-DB55F9C66024}"/>
    <cellStyle name="Normal 3 7 2 9" xfId="5464" xr:uid="{E4C91EC1-7DCE-4282-A820-A658AC718B14}"/>
    <cellStyle name="Normal 3 7 3" xfId="2876" xr:uid="{00000000-0005-0000-0000-00002B090000}"/>
    <cellStyle name="Normal 3 7 3 2" xfId="2961" xr:uid="{00000000-0005-0000-0000-0000EB090000}"/>
    <cellStyle name="Normal 3 7 3 2 2" xfId="4579" xr:uid="{647C2661-5557-4BAC-9FCF-02DD0A9EAD67}"/>
    <cellStyle name="Normal 3 7 3 2 2 2" xfId="5959" xr:uid="{388E8171-C610-4F03-B864-425A967EB869}"/>
    <cellStyle name="Normal 3 7 3 2 3" xfId="5577" xr:uid="{BF0FEB84-E713-4390-BE13-5211EEA3A84A}"/>
    <cellStyle name="Normal 3 7 3 3" xfId="3800" xr:uid="{BBA2EE8E-45F6-402C-A516-9A95ACD49576}"/>
    <cellStyle name="Normal 3 7 3 3 2" xfId="5765" xr:uid="{D8866D1A-A291-4E0C-86DA-9A0D9E413830}"/>
    <cellStyle name="Normal 3 7 3 4" xfId="5492" xr:uid="{1FFD3818-2E12-46F3-A605-0D8E7E9C3668}"/>
    <cellStyle name="Normal 3 7 4" xfId="3017" xr:uid="{00000000-0005-0000-0000-0000EC090000}"/>
    <cellStyle name="Normal 3 7 4 2" xfId="4602" xr:uid="{D2E1C463-B8E3-46CC-B1AC-93965C52AAF7}"/>
    <cellStyle name="Normal 3 7 4 2 2" xfId="5978" xr:uid="{A219F030-51D1-4F4C-BC59-692B4A20A2EE}"/>
    <cellStyle name="Normal 3 7 4 3" xfId="3849" xr:uid="{C76467C2-922D-4B38-A40D-99F353AA2B1A}"/>
    <cellStyle name="Normal 3 7 4 3 2" xfId="5814" xr:uid="{9D7CB1BC-8316-458F-90B3-6318D4FD17EE}"/>
    <cellStyle name="Normal 3 7 4 4" xfId="5617" xr:uid="{70106FEB-0913-456F-A56F-6840C2D17953}"/>
    <cellStyle name="Normal 3 7 5" xfId="2921" xr:uid="{00000000-0005-0000-0000-0000E7090000}"/>
    <cellStyle name="Normal 3 7 5 2" xfId="5218" xr:uid="{34576D33-B9BF-4B6E-B99E-4E133CB3C037}"/>
    <cellStyle name="Normal 3 7 5 2 2" xfId="5993" xr:uid="{1840EA2A-9CEE-4FCA-9158-D4CB298A517B}"/>
    <cellStyle name="Normal 3 7 5 3" xfId="3901" xr:uid="{B38C7DD9-D61E-4B3E-8BE5-7445AE03D602}"/>
    <cellStyle name="Normal 3 7 5 3 2" xfId="5865" xr:uid="{7F8B15C4-1624-4AE5-B2DF-1B61A79FD5C7}"/>
    <cellStyle name="Normal 3 7 5 4" xfId="5537" xr:uid="{6E433625-2DD8-446C-851E-63E2571DDAAE}"/>
    <cellStyle name="Normal 3 7 6" xfId="3947" xr:uid="{4C77D421-D100-4B9D-8DD6-2882D10B59F9}"/>
    <cellStyle name="Normal 3 7 6 2" xfId="5910" xr:uid="{A3E4DD26-DF70-40E1-9C56-0152E23BE8BE}"/>
    <cellStyle name="Normal 3 7 7" xfId="5307" xr:uid="{F3630767-8FB8-479F-9C72-79D92AB9C9C2}"/>
    <cellStyle name="Normal 3 7 7 2" xfId="6059" xr:uid="{6302C94B-ECED-4F51-A5E7-03C421671D88}"/>
    <cellStyle name="Normal 3 7 8" xfId="5349" xr:uid="{44E6A0C3-7F8B-4854-A34B-E0E33B9B092E}"/>
    <cellStyle name="Normal 3 7 8 2" xfId="6101" xr:uid="{515AF83C-FE3C-49AE-BC41-602884528012}"/>
    <cellStyle name="Normal 3 7 9" xfId="5392" xr:uid="{6B61DCEE-13F4-499B-BEF2-5C2C49CC8CCA}"/>
    <cellStyle name="Normal 3 7 9 2" xfId="6144" xr:uid="{EC054C16-EACA-4466-80C8-6D76F5D4CAB7}"/>
    <cellStyle name="Normal 3 8" xfId="29" xr:uid="{00000000-0005-0000-0000-00002D090000}"/>
    <cellStyle name="Normal 3 8 10" xfId="3658" xr:uid="{980150F0-B35D-4512-8DFC-05A2B15D899F}"/>
    <cellStyle name="Normal 3 8 11" xfId="3500" xr:uid="{D79F665B-04BE-4F5B-8ED9-603A7A1B9343}"/>
    <cellStyle name="Normal 3 8 11 2" xfId="5675" xr:uid="{554A10D2-37DD-4668-BF6B-E5A49CB4A34D}"/>
    <cellStyle name="Normal 3 8 12" xfId="5446" xr:uid="{3F548824-D698-4166-A3FE-11516F476578}"/>
    <cellStyle name="Normal 3 8 2" xfId="2845" xr:uid="{00000000-0005-0000-0000-00002E090000}"/>
    <cellStyle name="Normal 3 8 2 2" xfId="2892" xr:uid="{00000000-0005-0000-0000-00002E090000}"/>
    <cellStyle name="Normal 3 8 2 2 2" xfId="2993" xr:uid="{00000000-0005-0000-0000-0000EF090000}"/>
    <cellStyle name="Normal 3 8 2 2 2 2" xfId="5593" xr:uid="{275A652F-FFD5-46A3-A02F-3A2CDC828B5F}"/>
    <cellStyle name="Normal 3 8 2 2 3" xfId="4527" xr:uid="{95B108FE-2FA2-4E78-9A38-0E3F95D4730D}"/>
    <cellStyle name="Normal 3 8 2 2 3 2" xfId="5938" xr:uid="{B6C0DA36-EA70-4421-8A3B-DE2EDDC7B879}"/>
    <cellStyle name="Normal 3 8 2 2 4" xfId="5508" xr:uid="{BFF745CC-AE76-42F6-9EF7-942DF979BE44}"/>
    <cellStyle name="Normal 3 8 2 3" xfId="3437" xr:uid="{00000000-0005-0000-0000-0000F0090000}"/>
    <cellStyle name="Normal 3 8 2 3 2" xfId="5322" xr:uid="{2E6E947D-9C5E-474B-98A9-8BC6B18E97F0}"/>
    <cellStyle name="Normal 3 8 2 3 2 2" xfId="6074" xr:uid="{825A6CEB-FE78-4171-B58E-348079F0BC13}"/>
    <cellStyle name="Normal 3 8 2 3 3" xfId="5633" xr:uid="{5447EBAB-93AF-4E56-8FE1-7369C4D0700D}"/>
    <cellStyle name="Normal 3 8 2 4" xfId="2937" xr:uid="{00000000-0005-0000-0000-0000EE090000}"/>
    <cellStyle name="Normal 3 8 2 4 2" xfId="5364" xr:uid="{B04561B2-D005-48FE-B6EE-B10C54A36F11}"/>
    <cellStyle name="Normal 3 8 2 4 2 2" xfId="6116" xr:uid="{355AF613-0703-41CC-BC7C-304040BE6B8B}"/>
    <cellStyle name="Normal 3 8 2 4 3" xfId="5553" xr:uid="{9BB24DD3-58C7-4B9C-A746-79C9885DD023}"/>
    <cellStyle name="Normal 3 8 2 5" xfId="5408" xr:uid="{5737C869-40DB-44C6-9401-993DCEAB3052}"/>
    <cellStyle name="Normal 3 8 2 5 2" xfId="6160" xr:uid="{1AE32F1F-E48B-433D-9F6E-69761EAB2952}"/>
    <cellStyle name="Normal 3 8 2 6" xfId="3917" xr:uid="{EE9FBA11-4F87-4A6F-BA46-1E9EB30F3C0B}"/>
    <cellStyle name="Normal 3 8 2 6 2" xfId="5881" xr:uid="{8F311DF5-42C8-4762-9F88-546A366E84AC}"/>
    <cellStyle name="Normal 3 8 2 7" xfId="3535" xr:uid="{307797DE-CDE0-4DC7-A865-77DFC488EB56}"/>
    <cellStyle name="Normal 3 8 2 7 2" xfId="5692" xr:uid="{C12A0F86-6A2B-48D3-BB22-9AB833832896}"/>
    <cellStyle name="Normal 3 8 2 8" xfId="5463" xr:uid="{BF22B8BA-6FB4-466A-9D43-C1C480299865}"/>
    <cellStyle name="Normal 3 8 3" xfId="2875" xr:uid="{00000000-0005-0000-0000-00002D090000}"/>
    <cellStyle name="Normal 3 8 3 2" xfId="2960" xr:uid="{00000000-0005-0000-0000-0000F1090000}"/>
    <cellStyle name="Normal 3 8 3 2 2" xfId="4578" xr:uid="{CD7FF5F1-195B-493B-BDA4-C386F89CE090}"/>
    <cellStyle name="Normal 3 8 3 2 2 2" xfId="5958" xr:uid="{D3F3288C-EA6F-4C19-A2AF-0EA7F2961060}"/>
    <cellStyle name="Normal 3 8 3 2 3" xfId="5576" xr:uid="{FBEF319B-6EE7-4D68-9738-1901DA1A13CE}"/>
    <cellStyle name="Normal 3 8 3 3" xfId="3900" xr:uid="{5C399863-7266-484E-89EF-DE99B07E5FBC}"/>
    <cellStyle name="Normal 3 8 3 3 2" xfId="5864" xr:uid="{B0E3317B-99AF-4179-ACBD-A7575027B614}"/>
    <cellStyle name="Normal 3 8 3 4" xfId="5491" xr:uid="{C0181DDA-7FC5-49E3-A435-6AA833FAED74}"/>
    <cellStyle name="Normal 3 8 4" xfId="3016" xr:uid="{00000000-0005-0000-0000-0000F2090000}"/>
    <cellStyle name="Normal 3 8 4 2" xfId="3946" xr:uid="{A8C8F554-586C-47AF-BB3B-BDCDE3265031}"/>
    <cellStyle name="Normal 3 8 4 2 2" xfId="5909" xr:uid="{87439799-851F-4D81-876F-E0F71A4F4C1E}"/>
    <cellStyle name="Normal 3 8 4 3" xfId="5616" xr:uid="{FBA8645A-007A-4B0C-A7FA-CE586DD07E79}"/>
    <cellStyle name="Normal 3 8 5" xfId="2920" xr:uid="{00000000-0005-0000-0000-0000ED090000}"/>
    <cellStyle name="Normal 3 8 5 2" xfId="5217" xr:uid="{77733B83-7F0F-4F54-B9E5-9963327E28B0}"/>
    <cellStyle name="Normal 3 8 5 2 2" xfId="5992" xr:uid="{B4758A11-2B51-4E4F-9836-549A58515B70}"/>
    <cellStyle name="Normal 3 8 5 3" xfId="5536" xr:uid="{AD1E8A67-3DC8-4511-BBAF-93661B3FD1DB}"/>
    <cellStyle name="Normal 3 8 6" xfId="5242" xr:uid="{6ACE0FF6-57E6-4FBC-ABA8-ADF9A6D23AE4}"/>
    <cellStyle name="Normal 3 8 6 2" xfId="6016" xr:uid="{8EB49149-8E3C-4532-BC7C-0E8690BB4404}"/>
    <cellStyle name="Normal 3 8 7" xfId="5306" xr:uid="{75588C0F-20FF-44B3-8B94-6E6B71B68181}"/>
    <cellStyle name="Normal 3 8 7 2" xfId="6058" xr:uid="{6509B8CD-93A6-4E88-8229-01C9FA4D5277}"/>
    <cellStyle name="Normal 3 8 8" xfId="5348" xr:uid="{8D74DC8B-051D-4E2C-80FA-5C64355812FD}"/>
    <cellStyle name="Normal 3 8 8 2" xfId="6100" xr:uid="{B8C92E54-6529-4919-8624-EFE8BE06F208}"/>
    <cellStyle name="Normal 3 8 9" xfId="5391" xr:uid="{B91A2155-444F-4E85-99B7-5E2587F1D030}"/>
    <cellStyle name="Normal 3 8 9 2" xfId="6143" xr:uid="{8FF0F9FF-A719-4EFC-B0A3-E82DD16E636E}"/>
    <cellStyle name="Normal 3 9" xfId="27" xr:uid="{00000000-0005-0000-0000-00002F090000}"/>
    <cellStyle name="Normal 3 9 2" xfId="2873" xr:uid="{00000000-0005-0000-0000-00002F090000}"/>
    <cellStyle name="Normal 3 9 2 2" xfId="2958" xr:uid="{00000000-0005-0000-0000-0000F4090000}"/>
    <cellStyle name="Normal 3 9 2 2 2" xfId="5574" xr:uid="{0C397A2E-EC14-4615-A453-4D8724001039}"/>
    <cellStyle name="Normal 3 9 2 3" xfId="3944" xr:uid="{54F20E5D-B4D1-4581-8923-AB4C2FC8BCBB}"/>
    <cellStyle name="Normal 3 9 2 3 2" xfId="5907" xr:uid="{7CA07FAB-4111-49B2-A58F-B8DF1D7F78B9}"/>
    <cellStyle name="Normal 3 9 2 4" xfId="5489" xr:uid="{1FF968DB-FB34-45A5-A843-191B975C9C97}"/>
    <cellStyle name="Normal 3 9 3" xfId="3014" xr:uid="{00000000-0005-0000-0000-0000F5090000}"/>
    <cellStyle name="Normal 3 9 3 2" xfId="5240" xr:uid="{B276FA9B-3AD5-430F-8038-55894D25430E}"/>
    <cellStyle name="Normal 3 9 3 2 2" xfId="6014" xr:uid="{E2F0B6FB-1C9E-4087-84F7-620E936315B2}"/>
    <cellStyle name="Normal 3 9 3 3" xfId="5614" xr:uid="{01B911BA-1065-4DE2-8823-78997D0E32C8}"/>
    <cellStyle name="Normal 3 9 4" xfId="2918" xr:uid="{00000000-0005-0000-0000-0000F3090000}"/>
    <cellStyle name="Normal 3 9 4 2" xfId="5304" xr:uid="{26B4C43B-5011-45CD-8D67-1E1C82B28B11}"/>
    <cellStyle name="Normal 3 9 4 2 2" xfId="6056" xr:uid="{EF2F0C8D-8FF1-4A63-9150-49E36B20B17F}"/>
    <cellStyle name="Normal 3 9 4 3" xfId="5534" xr:uid="{32FF349D-3E11-4F84-AF51-AB775262F28A}"/>
    <cellStyle name="Normal 3 9 5" xfId="5347" xr:uid="{368F4FB6-CF16-4295-B019-9DAA5B5DD6E4}"/>
    <cellStyle name="Normal 3 9 5 2" xfId="6099" xr:uid="{196027C4-242E-43BD-A80B-145D9B76C7EF}"/>
    <cellStyle name="Normal 3 9 6" xfId="5389" xr:uid="{A725149E-3C4F-4AB1-8AF4-136DABADCA2B}"/>
    <cellStyle name="Normal 3 9 6 2" xfId="6141" xr:uid="{3E325B8C-0A1A-4350-834F-FC9E3D187F6A}"/>
    <cellStyle name="Normal 3 9 7" xfId="3898" xr:uid="{A465AE16-DB09-471C-9B87-4D7E02287941}"/>
    <cellStyle name="Normal 3 9 7 2" xfId="5862" xr:uid="{9AD9D199-4C22-483A-9286-DCE3C0804B15}"/>
    <cellStyle name="Normal 3 9 8" xfId="3498" xr:uid="{0BE50AEE-DA3F-42FC-94DB-8C4BF4468304}"/>
    <cellStyle name="Normal 3 9 8 2" xfId="5673" xr:uid="{EB01DB4E-B18A-4BF7-A3D7-45550AEBE37E}"/>
    <cellStyle name="Normal 3 9 9" xfId="5444" xr:uid="{9E591936-20F8-466F-8DAA-B86BA6456FC0}"/>
    <cellStyle name="Normal 4" xfId="16" xr:uid="{00000000-0005-0000-0000-000008000000}"/>
    <cellStyle name="Normal 4 10" xfId="2867" xr:uid="{00000000-0005-0000-0000-000030090000}"/>
    <cellStyle name="Normal 4 10 2" xfId="3013" xr:uid="{00000000-0005-0000-0000-0000F7090000}"/>
    <cellStyle name="Normal 4 10 2 2" xfId="5613" xr:uid="{5706310A-DF57-472B-852E-8C850990616B}"/>
    <cellStyle name="Normal 4 10 3" xfId="3938" xr:uid="{83BB1A57-4E61-4783-A6D1-E99E88A15336}"/>
    <cellStyle name="Normal 4 10 3 2" xfId="5901" xr:uid="{AB0B78A3-656E-4039-B87B-4E2A7877F4AF}"/>
    <cellStyle name="Normal 4 10 4" xfId="5483" xr:uid="{6A0D6DEA-1C35-44A8-88E7-AF7C3B5B6197}"/>
    <cellStyle name="Normal 4 11" xfId="3478" xr:uid="{00000000-0005-0000-0000-000006000000}"/>
    <cellStyle name="Normal 4 11 2" xfId="5235" xr:uid="{3FF8FF6E-8C8F-46C5-A48E-653771AFA5FE}"/>
    <cellStyle name="Normal 4 11 2 2" xfId="6009" xr:uid="{46D982C0-1BED-4020-8AEE-13C1639588AD}"/>
    <cellStyle name="Normal 4 11 3" xfId="5656" xr:uid="{197C157F-11A6-40EC-9EBA-21596E95892D}"/>
    <cellStyle name="Normal 4 12" xfId="2912" xr:uid="{00000000-0005-0000-0000-0000F6090000}"/>
    <cellStyle name="Normal 4 12 2" xfId="5300" xr:uid="{EED32D89-6BF7-41DF-8DE6-DEE4E49678FC}"/>
    <cellStyle name="Normal 4 12 2 2" xfId="6052" xr:uid="{80C99CCA-7C10-4243-8C00-670C48F6769F}"/>
    <cellStyle name="Normal 4 12 3" xfId="5528" xr:uid="{BEC627B7-E610-44D2-A1A8-EFA97C26D664}"/>
    <cellStyle name="Normal 4 13" xfId="5342" xr:uid="{E51FBC2E-C61D-4754-B1E9-442623894FC9}"/>
    <cellStyle name="Normal 4 13 2" xfId="6094" xr:uid="{BEC8532B-3E2B-47F9-A325-3D20CD05D739}"/>
    <cellStyle name="Normal 4 14" xfId="5383" xr:uid="{1155A742-BF28-434B-BF70-8643D3DA3EC0}"/>
    <cellStyle name="Normal 4 14 2" xfId="6135" xr:uid="{90F455EB-9F84-4D4C-9FA9-5B03DF829CC3}"/>
    <cellStyle name="Normal 4 15" xfId="3492" xr:uid="{F589A93F-D21C-4E48-AF72-DFE2CC2C8BE0}"/>
    <cellStyle name="Normal 4 15 2" xfId="5667" xr:uid="{A8117A59-2B7B-4438-9DA0-0EDBB2041A6E}"/>
    <cellStyle name="Normal 4 16" xfId="5433" xr:uid="{730D6780-65E4-482D-A357-1555886952E9}"/>
    <cellStyle name="Normal 4 2" xfId="2259" xr:uid="{00000000-0005-0000-0000-000031090000}"/>
    <cellStyle name="Normal 4 2 10" xfId="4453" xr:uid="{0BE64630-13B1-48F5-8B3B-B438560C452C}"/>
    <cellStyle name="Normal 4 2 11" xfId="5398" xr:uid="{BAAE8076-0F35-49D7-AE8F-1D5BA675310A}"/>
    <cellStyle name="Normal 4 2 11 2" xfId="6150" xr:uid="{3A04E616-C894-4C83-BBA0-8D23131F238A}"/>
    <cellStyle name="Normal 4 2 12" xfId="3614" xr:uid="{A4829E15-FCDE-4AC0-BB64-3B0A4AE04537}"/>
    <cellStyle name="Normal 4 2 12 2" xfId="5725" xr:uid="{0247E993-5011-4A90-B62F-180DE7F0F51A}"/>
    <cellStyle name="Normal 4 2 13" xfId="3524" xr:uid="{1CEF021D-E1EE-42D4-AD23-BC24E9B9FE3E}"/>
    <cellStyle name="Normal 4 2 13 2" xfId="5682" xr:uid="{0D265C34-A324-4027-85CC-7E4F5252FAF6}"/>
    <cellStyle name="Normal 4 2 14" xfId="5453" xr:uid="{8B70BF02-0F7E-4CFD-BAB9-754F38380669}"/>
    <cellStyle name="Normal 4 2 2" xfId="2852" xr:uid="{00000000-0005-0000-0000-000032090000}"/>
    <cellStyle name="Normal 4 2 2 2" xfId="2899" xr:uid="{00000000-0005-0000-0000-000032090000}"/>
    <cellStyle name="Normal 4 2 2 2 2" xfId="3000" xr:uid="{00000000-0005-0000-0000-0000FA090000}"/>
    <cellStyle name="Normal 4 2 2 2 2 2" xfId="4599" xr:uid="{8F168BC9-D5C0-4889-B2D3-707EAF216122}"/>
    <cellStyle name="Normal 4 2 2 2 2 2 2" xfId="5976" xr:uid="{582CEFBD-B831-4B2F-AA45-F4635369BCD7}"/>
    <cellStyle name="Normal 4 2 2 2 2 3" xfId="5600" xr:uid="{0E0FC1D7-E7BA-4985-B13B-315A1C6ECCB6}"/>
    <cellStyle name="Normal 4 2 2 2 3" xfId="3829" xr:uid="{55CD212C-C9D3-4D7E-A292-549FA2AD1BA4}"/>
    <cellStyle name="Normal 4 2 2 2 3 2" xfId="5794" xr:uid="{1EA52449-F080-4C2D-868C-A6F37102F7FD}"/>
    <cellStyle name="Normal 4 2 2 2 4" xfId="5515" xr:uid="{20858811-0990-48F5-AC22-BC1A71AD0036}"/>
    <cellStyle name="Normal 4 2 2 3" xfId="3444" xr:uid="{00000000-0005-0000-0000-0000FB090000}"/>
    <cellStyle name="Normal 4 2 2 3 2" xfId="5278" xr:uid="{FC1926FF-9D63-4321-AFD7-F896E93A5D7B}"/>
    <cellStyle name="Normal 4 2 2 3 2 2" xfId="6032" xr:uid="{C77839C7-519E-46F7-A5C0-E97B0C8362BC}"/>
    <cellStyle name="Normal 4 2 2 3 3" xfId="3878" xr:uid="{AD956678-7C7F-47C3-922E-BC0875151012}"/>
    <cellStyle name="Normal 4 2 2 3 3 2" xfId="5843" xr:uid="{2CD65636-A1C0-4E74-90A3-F69A5BF96CB5}"/>
    <cellStyle name="Normal 4 2 2 3 4" xfId="5640" xr:uid="{4E7CA15F-32B6-482C-9271-FE940EE996C3}"/>
    <cellStyle name="Normal 4 2 2 4" xfId="2944" xr:uid="{00000000-0005-0000-0000-0000F9090000}"/>
    <cellStyle name="Normal 4 2 2 4 2" xfId="5329" xr:uid="{23509A7B-2F72-48B0-A25E-C0DD4A337F2B}"/>
    <cellStyle name="Normal 4 2 2 4 2 2" xfId="6081" xr:uid="{06960841-BB54-40F7-B01E-B58FDFCD89EA}"/>
    <cellStyle name="Normal 4 2 2 4 3" xfId="3924" xr:uid="{B1048212-10F8-4B23-A25D-7BA04C470C77}"/>
    <cellStyle name="Normal 4 2 2 4 3 2" xfId="5888" xr:uid="{93307955-2A40-41E6-A532-5D8FD0EA28FB}"/>
    <cellStyle name="Normal 4 2 2 4 4" xfId="5560" xr:uid="{F8CA3E76-E386-4BB5-9775-9109BA7A5936}"/>
    <cellStyle name="Normal 4 2 2 5" xfId="4534" xr:uid="{F2FABC7F-C0CB-499B-8D46-245B735A5E0D}"/>
    <cellStyle name="Normal 4 2 2 5 2" xfId="5945" xr:uid="{D1040582-306B-4399-93B8-94339748DABD}"/>
    <cellStyle name="Normal 4 2 2 6" xfId="5415" xr:uid="{DDD893C3-E5DA-4E56-BC1D-A4D90BB1C82A}"/>
    <cellStyle name="Normal 4 2 2 6 2" xfId="6167" xr:uid="{51479D52-5982-4635-9BA9-742EE3A8EBD5}"/>
    <cellStyle name="Normal 4 2 2 7" xfId="3774" xr:uid="{1CB6EC5A-C554-49E9-B410-F5A65D6FA9C6}"/>
    <cellStyle name="Normal 4 2 2 7 2" xfId="5748" xr:uid="{6248DC35-7E92-4BFE-9E30-A3E52E9ACA33}"/>
    <cellStyle name="Normal 4 2 2 8" xfId="3542" xr:uid="{47299ED9-AA9A-40E7-B1C2-8EBDAAC992B6}"/>
    <cellStyle name="Normal 4 2 2 8 2" xfId="5699" xr:uid="{D6B04F0E-066B-456C-949D-FC2C48BCD062}"/>
    <cellStyle name="Normal 4 2 2 9" xfId="5470" xr:uid="{A19143BA-90DA-4944-8EB8-A37A831F0587}"/>
    <cellStyle name="Normal 4 2 3" xfId="2882" xr:uid="{00000000-0005-0000-0000-000031090000}"/>
    <cellStyle name="Normal 4 2 3 2" xfId="2983" xr:uid="{00000000-0005-0000-0000-0000FC090000}"/>
    <cellStyle name="Normal 4 2 3 2 2" xfId="4585" xr:uid="{2C3757E8-1F8D-47E5-813F-D78A3DDECED9}"/>
    <cellStyle name="Normal 4 2 3 2 2 2" xfId="5965" xr:uid="{9BB0C5DB-1760-47BC-ACA0-5ECEC2468ACA}"/>
    <cellStyle name="Normal 4 2 3 2 3" xfId="5583" xr:uid="{C4ED2A26-52B0-4DED-983C-E4072B6707CA}"/>
    <cellStyle name="Normal 4 2 3 3" xfId="3806" xr:uid="{6F4084A0-5540-476C-87AC-D954811EC98E}"/>
    <cellStyle name="Normal 4 2 3 3 2" xfId="5771" xr:uid="{E22B68EE-038B-432E-836B-5165F9E97FE9}"/>
    <cellStyle name="Normal 4 2 3 4" xfId="5498" xr:uid="{5051D4D3-737C-4CFD-AC0A-7E31FC03C6F8}"/>
    <cellStyle name="Normal 4 2 4" xfId="3420" xr:uid="{00000000-0005-0000-0000-0000FD090000}"/>
    <cellStyle name="Normal 4 2 4 2" xfId="5118" xr:uid="{7D78A6BC-26F5-40E6-9B64-C6728D0AD3CF}"/>
    <cellStyle name="Normal 4 2 4 2 2" xfId="5983" xr:uid="{7FA74FF1-B361-47F4-A95B-BD813F8FA633}"/>
    <cellStyle name="Normal 4 2 4 3" xfId="3855" xr:uid="{BDD97A26-2B6F-402D-B161-A27AF60E732A}"/>
    <cellStyle name="Normal 4 2 4 3 2" xfId="5820" xr:uid="{3D1170D2-5959-40C1-AEF9-43D984B13D20}"/>
    <cellStyle name="Normal 4 2 4 4" xfId="5623" xr:uid="{D0998D4C-4FEC-4773-915C-035BA2FF02E4}"/>
    <cellStyle name="Normal 4 2 5" xfId="2927" xr:uid="{00000000-0005-0000-0000-0000F8090000}"/>
    <cellStyle name="Normal 4 2 5 2" xfId="5225" xr:uid="{C13C3533-E51A-4201-A304-A8D1FB528DF4}"/>
    <cellStyle name="Normal 4 2 5 2 2" xfId="5999" xr:uid="{B056F2DC-FE62-4CA6-9B0F-EF184D140724}"/>
    <cellStyle name="Normal 4 2 5 3" xfId="3907" xr:uid="{518091E2-4E76-4A4E-841B-A96D0E321E2E}"/>
    <cellStyle name="Normal 4 2 5 3 2" xfId="5871" xr:uid="{CCA38B9F-3930-42C2-BFBD-407B49A5E3B3}"/>
    <cellStyle name="Normal 4 2 5 4" xfId="5543" xr:uid="{2C991941-0E08-43B4-9DFE-246CAE14A686}"/>
    <cellStyle name="Normal 4 2 6" xfId="4388" xr:uid="{499BEFE1-8C01-4464-AAC5-C06C82C34294}"/>
    <cellStyle name="Normal 4 2 6 2" xfId="5924" xr:uid="{A43B1152-14CA-4DEC-9D5A-9A0B8B7FC0E3}"/>
    <cellStyle name="Normal 4 2 7" xfId="5265" xr:uid="{02DAA2A2-7E13-4732-A503-4E3AE19D9B87}"/>
    <cellStyle name="Normal 4 2 7 2" xfId="6020" xr:uid="{98E384E7-2081-435B-AD49-FBD6D60A22B0}"/>
    <cellStyle name="Normal 4 2 8" xfId="5313" xr:uid="{C56F22BF-21DE-4BC5-A3AA-CF5D554CC0AF}"/>
    <cellStyle name="Normal 4 2 8 2" xfId="6065" xr:uid="{C3B01D1D-7C66-4697-B72D-443347047262}"/>
    <cellStyle name="Normal 4 2 9" xfId="5354" xr:uid="{615F1005-ECF4-4099-84BD-FCC1ABFBDD5D}"/>
    <cellStyle name="Normal 4 2 9 2" xfId="6106" xr:uid="{5ACB5592-9E62-4B03-8C3B-666C5B628EDD}"/>
    <cellStyle name="Normal 4 3" xfId="2537" xr:uid="{00000000-0005-0000-0000-000033090000}"/>
    <cellStyle name="Normal 4 3 10" xfId="4430" xr:uid="{AFD00B00-4B5B-4AA3-94F9-858D58727456}"/>
    <cellStyle name="Normal 4 3 11" xfId="5402" xr:uid="{EDEF2238-57E8-4936-BACD-B09A724FBB3E}"/>
    <cellStyle name="Normal 4 3 11 2" xfId="6154" xr:uid="{D75C43A0-E525-4F65-87F7-CF95DF5C4D51}"/>
    <cellStyle name="Normal 4 3 12" xfId="3619" xr:uid="{A87E374B-A519-49B2-BB13-DBC5E6C119B1}"/>
    <cellStyle name="Normal 4 3 12 2" xfId="5729" xr:uid="{CBF501FE-EA91-4BF0-B8DC-3AE86DECF3EE}"/>
    <cellStyle name="Normal 4 3 13" xfId="3528" xr:uid="{2F541E87-0094-49CB-8C37-DA59C4F83534}"/>
    <cellStyle name="Normal 4 3 13 2" xfId="5686" xr:uid="{DBC7F7B1-D1A4-44E1-A569-69F094AD750C}"/>
    <cellStyle name="Normal 4 3 14" xfId="5457" xr:uid="{BD4D332E-0D14-4FB1-B79D-97EA753C2DD3}"/>
    <cellStyle name="Normal 4 3 2" xfId="2856" xr:uid="{00000000-0005-0000-0000-000034090000}"/>
    <cellStyle name="Normal 4 3 2 2" xfId="2903" xr:uid="{00000000-0005-0000-0000-000034090000}"/>
    <cellStyle name="Normal 4 3 2 2 2" xfId="3004" xr:uid="{00000000-0005-0000-0000-0000000A0000}"/>
    <cellStyle name="Normal 4 3 2 2 2 2" xfId="5282" xr:uid="{943540E5-ABD7-4F69-A22B-77208B23E781}"/>
    <cellStyle name="Normal 4 3 2 2 2 2 2" xfId="6036" xr:uid="{6AA4405E-361C-491E-A6E8-4F031C2C9F0A}"/>
    <cellStyle name="Normal 4 3 2 2 2 3" xfId="5604" xr:uid="{ABDB6EFD-B4D5-4F82-B52F-C5E3D82C8F62}"/>
    <cellStyle name="Normal 4 3 2 2 3" xfId="3833" xr:uid="{AD5C9F3A-5B87-4D91-9CE0-557088289897}"/>
    <cellStyle name="Normal 4 3 2 2 3 2" xfId="5798" xr:uid="{FC99332F-392C-426B-B284-75BE9D844548}"/>
    <cellStyle name="Normal 4 3 2 2 4" xfId="5519" xr:uid="{81ED1193-97DC-4FC1-AD40-0D78ACF25B89}"/>
    <cellStyle name="Normal 4 3 2 3" xfId="3448" xr:uid="{00000000-0005-0000-0000-0000010A0000}"/>
    <cellStyle name="Normal 4 3 2 3 2" xfId="5333" xr:uid="{03556779-A370-4F72-A9CE-D59022E79EF9}"/>
    <cellStyle name="Normal 4 3 2 3 2 2" xfId="6085" xr:uid="{9D7BB8EB-B96B-498E-89D6-3F128F0FC378}"/>
    <cellStyle name="Normal 4 3 2 3 3" xfId="3882" xr:uid="{3BEB8BAF-F991-429F-A828-9742FA582698}"/>
    <cellStyle name="Normal 4 3 2 3 3 2" xfId="5847" xr:uid="{864991AC-62CC-4BEF-A0ED-CDA982B8FB37}"/>
    <cellStyle name="Normal 4 3 2 3 4" xfId="5644" xr:uid="{7C7C4E9D-977F-48BD-B279-97E2C701F7CA}"/>
    <cellStyle name="Normal 4 3 2 4" xfId="2948" xr:uid="{00000000-0005-0000-0000-0000FF090000}"/>
    <cellStyle name="Normal 4 3 2 4 2" xfId="5373" xr:uid="{4AA85F6C-24BC-4E6E-A90B-5FB5A5F13617}"/>
    <cellStyle name="Normal 4 3 2 4 2 2" xfId="6125" xr:uid="{ED00E3C4-F0ED-4824-AD01-4859E05526BC}"/>
    <cellStyle name="Normal 4 3 2 4 3" xfId="3928" xr:uid="{3198282D-5E09-4646-95D7-F3F5A665DF6E}"/>
    <cellStyle name="Normal 4 3 2 4 3 2" xfId="5892" xr:uid="{FDCE8973-22C6-4674-871A-002753AC386F}"/>
    <cellStyle name="Normal 4 3 2 4 4" xfId="5564" xr:uid="{A8379DE6-2C98-421B-98E8-AC652D0AF422}"/>
    <cellStyle name="Normal 4 3 2 5" xfId="4538" xr:uid="{525EF0D6-3A1C-453D-9B47-BFC9E60A4987}"/>
    <cellStyle name="Normal 4 3 2 5 2" xfId="5949" xr:uid="{A758874E-5144-43DC-811C-3E4FAB487289}"/>
    <cellStyle name="Normal 4 3 2 6" xfId="5419" xr:uid="{9DC1486D-0CF0-4FD2-A3A0-3668E30FDD28}"/>
    <cellStyle name="Normal 4 3 2 6 2" xfId="6171" xr:uid="{AD8EC0A4-C0FA-4435-8783-11F87016EF95}"/>
    <cellStyle name="Normal 4 3 2 7" xfId="3787" xr:uid="{71A98C1C-3E24-4518-A5DB-569523371724}"/>
    <cellStyle name="Normal 4 3 2 7 2" xfId="5752" xr:uid="{0025A1AF-3807-497A-97D3-2572D6AF2E4C}"/>
    <cellStyle name="Normal 4 3 2 8" xfId="3546" xr:uid="{79C25CC3-B350-46C6-89A5-8DA8263751FC}"/>
    <cellStyle name="Normal 4 3 2 8 2" xfId="5703" xr:uid="{455777DE-EE01-4007-849E-1E74CDD05277}"/>
    <cellStyle name="Normal 4 3 2 9" xfId="5474" xr:uid="{704663E9-78D2-4D0B-936A-594C9FA7CAF6}"/>
    <cellStyle name="Normal 4 3 3" xfId="2886" xr:uid="{00000000-0005-0000-0000-000033090000}"/>
    <cellStyle name="Normal 4 3 3 2" xfId="2987" xr:uid="{00000000-0005-0000-0000-0000020A0000}"/>
    <cellStyle name="Normal 4 3 3 2 2" xfId="4592" xr:uid="{52D0B548-75C6-441E-A539-CCB67274A5C1}"/>
    <cellStyle name="Normal 4 3 3 2 2 2" xfId="5969" xr:uid="{261F75C1-E26B-4C72-96B0-EDBAF202D955}"/>
    <cellStyle name="Normal 4 3 3 2 3" xfId="5587" xr:uid="{B08E257B-52AC-4DCE-8EF1-69287A3C7017}"/>
    <cellStyle name="Normal 4 3 3 3" xfId="3810" xr:uid="{004D6C8A-839E-43F0-A0DF-C2550DE505F4}"/>
    <cellStyle name="Normal 4 3 3 3 2" xfId="5775" xr:uid="{DD73E86E-A1FF-423C-903E-E2699E8D1FE5}"/>
    <cellStyle name="Normal 4 3 3 4" xfId="5502" xr:uid="{0BFBF3A2-2C5F-489D-8D5D-C5E7583DC34E}"/>
    <cellStyle name="Normal 4 3 4" xfId="3430" xr:uid="{00000000-0005-0000-0000-0000030A0000}"/>
    <cellStyle name="Normal 4 3 4 2" xfId="5176" xr:uid="{88B5D3B6-8051-488F-A191-F0CDAE40A163}"/>
    <cellStyle name="Normal 4 3 4 2 2" xfId="5987" xr:uid="{F8E1C93E-202B-4CDD-959D-D049F99F3829}"/>
    <cellStyle name="Normal 4 3 4 3" xfId="3859" xr:uid="{410C178A-5F59-4F08-A837-F720973F9E84}"/>
    <cellStyle name="Normal 4 3 4 3 2" xfId="5824" xr:uid="{26A1760A-1AAC-40C6-8B64-77B4C478BF60}"/>
    <cellStyle name="Normal 4 3 4 4" xfId="5627" xr:uid="{B835F2F3-F22E-417F-B562-BE31D05680B7}"/>
    <cellStyle name="Normal 4 3 5" xfId="2931" xr:uid="{00000000-0005-0000-0000-0000FE090000}"/>
    <cellStyle name="Normal 4 3 5 2" xfId="5229" xr:uid="{D0EB93D3-F962-41E8-9B4F-C7AFC6297739}"/>
    <cellStyle name="Normal 4 3 5 2 2" xfId="6003" xr:uid="{347C5C99-655E-4861-9B3D-C50156FB9BC9}"/>
    <cellStyle name="Normal 4 3 5 3" xfId="3911" xr:uid="{B8C43651-DBFF-487F-B4F5-182AB305A981}"/>
    <cellStyle name="Normal 4 3 5 3 2" xfId="5875" xr:uid="{D27458E3-B0A4-4DFB-B9C9-8A50E5388799}"/>
    <cellStyle name="Normal 4 3 5 4" xfId="5547" xr:uid="{AF54C3DA-5CA9-4ACC-8525-F1551BE463C6}"/>
    <cellStyle name="Normal 4 3 6" xfId="4444" xr:uid="{5B79F720-4A5E-4EB4-ADB1-C8D02EDA5127}"/>
    <cellStyle name="Normal 4 3 6 2" xfId="5931" xr:uid="{0E59AD31-259A-46B9-9861-B6DD44C39D46}"/>
    <cellStyle name="Normal 4 3 7" xfId="5268" xr:uid="{60D5AD59-4352-47B5-B6C4-372E656CC77E}"/>
    <cellStyle name="Normal 4 3 7 2" xfId="6023" xr:uid="{011B3675-B9DC-47BA-BA06-2494267CFD99}"/>
    <cellStyle name="Normal 4 3 8" xfId="5317" xr:uid="{33713F30-271A-474F-B7AE-BF95B1189484}"/>
    <cellStyle name="Normal 4 3 8 2" xfId="6069" xr:uid="{7BD40D48-8220-46A3-A952-3C63EFE62B63}"/>
    <cellStyle name="Normal 4 3 9" xfId="5358" xr:uid="{CE1C6AE9-BA93-4E87-9DEA-760A15014752}"/>
    <cellStyle name="Normal 4 3 9 2" xfId="6110" xr:uid="{AA61AB04-8DFF-4FB6-9614-D5542F29F424}"/>
    <cellStyle name="Normal 4 4" xfId="2541" xr:uid="{00000000-0005-0000-0000-000035090000}"/>
    <cellStyle name="Normal 4 4 10" xfId="4153" xr:uid="{773E613C-1540-4422-9CAB-40A287630160}"/>
    <cellStyle name="Normal 4 4 11" xfId="5405" xr:uid="{04057F19-7859-42A8-890F-715C512A5762}"/>
    <cellStyle name="Normal 4 4 11 2" xfId="6157" xr:uid="{AC5307EB-6861-4D68-BB3B-6E45E01EEA91}"/>
    <cellStyle name="Normal 4 4 12" xfId="3623" xr:uid="{5D6C2D2A-CA45-42CC-9C63-59810D225EA0}"/>
    <cellStyle name="Normal 4 4 12 2" xfId="5732" xr:uid="{FEAC3228-B12C-4901-AECB-58EFCF8E87E0}"/>
    <cellStyle name="Normal 4 4 13" xfId="3531" xr:uid="{FEE789C4-72A4-48F4-B3E2-D25A9D7AB3E1}"/>
    <cellStyle name="Normal 4 4 13 2" xfId="5689" xr:uid="{56C37FD6-F9F8-40FC-8DD4-A97766C5087D}"/>
    <cellStyle name="Normal 4 4 14" xfId="5460" xr:uid="{9BEF85F6-C115-4F4A-B125-FE6B8D25B2A8}"/>
    <cellStyle name="Normal 4 4 2" xfId="2859" xr:uid="{00000000-0005-0000-0000-000036090000}"/>
    <cellStyle name="Normal 4 4 2 2" xfId="2906" xr:uid="{00000000-0005-0000-0000-000036090000}"/>
    <cellStyle name="Normal 4 4 2 2 2" xfId="3007" xr:uid="{00000000-0005-0000-0000-0000060A0000}"/>
    <cellStyle name="Normal 4 4 2 2 2 2" xfId="5285" xr:uid="{BF3FA359-F34A-45D8-9B47-BD2C2219245D}"/>
    <cellStyle name="Normal 4 4 2 2 2 2 2" xfId="6039" xr:uid="{BE2DD444-490B-4BC0-830C-7919E33958EB}"/>
    <cellStyle name="Normal 4 4 2 2 2 3" xfId="5607" xr:uid="{F1846A86-0C25-43F9-98BF-7BA58AE66B25}"/>
    <cellStyle name="Normal 4 4 2 2 3" xfId="3836" xr:uid="{1EBF1987-B694-44B8-9FDC-F3D5FE33C255}"/>
    <cellStyle name="Normal 4 4 2 2 3 2" xfId="5801" xr:uid="{DD268D20-8F1D-4602-9FE2-0B91C365ED35}"/>
    <cellStyle name="Normal 4 4 2 2 4" xfId="5522" xr:uid="{AD12122A-B612-4073-8FE4-7AAB17B23D78}"/>
    <cellStyle name="Normal 4 4 2 3" xfId="3451" xr:uid="{00000000-0005-0000-0000-0000070A0000}"/>
    <cellStyle name="Normal 4 4 2 3 2" xfId="5336" xr:uid="{7C5E7053-15F3-4F76-AE4E-F457093EF8D8}"/>
    <cellStyle name="Normal 4 4 2 3 2 2" xfId="6088" xr:uid="{601266E2-89E9-4DB1-AD70-891B5B45FF04}"/>
    <cellStyle name="Normal 4 4 2 3 3" xfId="3885" xr:uid="{B6D8474A-8CD4-4277-85D2-88B02EA41CF8}"/>
    <cellStyle name="Normal 4 4 2 3 3 2" xfId="5850" xr:uid="{858C9F86-C776-4E27-909F-0712CCC87E4B}"/>
    <cellStyle name="Normal 4 4 2 3 4" xfId="5647" xr:uid="{3E227A05-9264-49D7-8818-115077C646EC}"/>
    <cellStyle name="Normal 4 4 2 4" xfId="2951" xr:uid="{00000000-0005-0000-0000-0000050A0000}"/>
    <cellStyle name="Normal 4 4 2 4 2" xfId="5376" xr:uid="{18D7BE41-14F3-486C-95A3-0F98102CCD7F}"/>
    <cellStyle name="Normal 4 4 2 4 2 2" xfId="6128" xr:uid="{E7E6F884-7C90-4961-A5D5-DFB33BF2FE19}"/>
    <cellStyle name="Normal 4 4 2 4 3" xfId="3931" xr:uid="{71646069-2E94-46E3-BB02-E444F5AA89BC}"/>
    <cellStyle name="Normal 4 4 2 4 3 2" xfId="5895" xr:uid="{99FF56EE-FE24-464B-AF38-A1E2FBDA614C}"/>
    <cellStyle name="Normal 4 4 2 4 4" xfId="5567" xr:uid="{C219AFC1-FA33-48DD-BF1E-9B3869104CAF}"/>
    <cellStyle name="Normal 4 4 2 5" xfId="4541" xr:uid="{8B923DF1-C4E5-46E1-8B98-6C4FA8735D12}"/>
    <cellStyle name="Normal 4 4 2 5 2" xfId="5952" xr:uid="{C6D9A25B-4A0F-4F92-BCE2-3A4AF7722651}"/>
    <cellStyle name="Normal 4 4 2 6" xfId="5422" xr:uid="{45E74021-3D34-4D89-9A49-B8AE5254741B}"/>
    <cellStyle name="Normal 4 4 2 6 2" xfId="6174" xr:uid="{F5C9305E-085B-48BD-896E-431479B1B992}"/>
    <cellStyle name="Normal 4 4 2 7" xfId="3790" xr:uid="{F566E70C-C0D2-4D16-928F-3D2D8EA0C88E}"/>
    <cellStyle name="Normal 4 4 2 7 2" xfId="5755" xr:uid="{F7C11F7F-6BEA-474B-87E8-645338E83E3E}"/>
    <cellStyle name="Normal 4 4 2 8" xfId="3549" xr:uid="{F0E14FF5-FE81-49D9-89B1-1DC4BDDF2F3E}"/>
    <cellStyle name="Normal 4 4 2 8 2" xfId="5706" xr:uid="{39308E85-A95E-4C9A-860A-3905F02CBC59}"/>
    <cellStyle name="Normal 4 4 2 9" xfId="5477" xr:uid="{A7D57849-CA57-4241-BF76-B74CFA03AFDE}"/>
    <cellStyle name="Normal 4 4 3" xfId="2889" xr:uid="{00000000-0005-0000-0000-000035090000}"/>
    <cellStyle name="Normal 4 4 3 2" xfId="2990" xr:uid="{00000000-0005-0000-0000-0000080A0000}"/>
    <cellStyle name="Normal 4 4 3 2 2" xfId="4595" xr:uid="{52C6AA5E-3491-4C06-8DFA-BE86AF393E43}"/>
    <cellStyle name="Normal 4 4 3 2 2 2" xfId="5972" xr:uid="{716EA885-13A1-40AE-A0F5-BCEEBC65C935}"/>
    <cellStyle name="Normal 4 4 3 2 3" xfId="5590" xr:uid="{B723E2E5-5EDF-41F7-9868-9DFBFB026084}"/>
    <cellStyle name="Normal 4 4 3 3" xfId="3813" xr:uid="{5C5DAF91-8586-4711-A58A-8FA614901AE0}"/>
    <cellStyle name="Normal 4 4 3 3 2" xfId="5778" xr:uid="{296CF0E5-CF72-4D3A-B2D7-3EFE8AB8DB4A}"/>
    <cellStyle name="Normal 4 4 3 4" xfId="5505" xr:uid="{E7B0122C-48C3-45DF-B07D-84EA279CE3B1}"/>
    <cellStyle name="Normal 4 4 4" xfId="3433" xr:uid="{00000000-0005-0000-0000-0000090A0000}"/>
    <cellStyle name="Normal 4 4 4 2" xfId="5179" xr:uid="{B415B343-15EA-4917-A4BE-12CC70607F08}"/>
    <cellStyle name="Normal 4 4 4 2 2" xfId="5990" xr:uid="{0BCC8E5E-45A8-4D1C-BAA8-61476AB3283E}"/>
    <cellStyle name="Normal 4 4 4 3" xfId="3862" xr:uid="{AE85CDAF-6271-474B-BA73-247284615389}"/>
    <cellStyle name="Normal 4 4 4 3 2" xfId="5827" xr:uid="{05E87BDA-052F-4DD0-BBDA-54748ED306FE}"/>
    <cellStyle name="Normal 4 4 4 4" xfId="5630" xr:uid="{43F3BF28-13FD-4276-AF88-3B42C1A4CEC6}"/>
    <cellStyle name="Normal 4 4 5" xfId="2934" xr:uid="{00000000-0005-0000-0000-0000040A0000}"/>
    <cellStyle name="Normal 4 4 5 2" xfId="5232" xr:uid="{7C3B3303-F90B-485E-ACD4-62D42DD5CA36}"/>
    <cellStyle name="Normal 4 4 5 2 2" xfId="6006" xr:uid="{1224F3E4-8D5C-4A58-B0B7-36E702775C3A}"/>
    <cellStyle name="Normal 4 4 5 3" xfId="3914" xr:uid="{67D3A5B9-0493-456C-8A6B-C2E766EE13DE}"/>
    <cellStyle name="Normal 4 4 5 3 2" xfId="5878" xr:uid="{EE0EE504-4EAB-4921-979C-5BE537A6EC63}"/>
    <cellStyle name="Normal 4 4 5 4" xfId="5550" xr:uid="{D4B62186-DA40-4719-B1DB-8DAF4E51FC66}"/>
    <cellStyle name="Normal 4 4 6" xfId="4447" xr:uid="{388C1EA8-E8FE-4401-9312-0731C56315BD}"/>
    <cellStyle name="Normal 4 4 6 2" xfId="5934" xr:uid="{375E3481-FA57-476B-AC79-CBF102DAD004}"/>
    <cellStyle name="Normal 4 4 7" xfId="5270" xr:uid="{40D035EA-1D35-4C82-9194-9FA150069D9A}"/>
    <cellStyle name="Normal 4 4 7 2" xfId="6025" xr:uid="{8B49366A-AB15-4924-BD84-37367D744E5C}"/>
    <cellStyle name="Normal 4 4 8" xfId="5320" xr:uid="{E9010343-C7E8-407B-A186-A5E5F603E347}"/>
    <cellStyle name="Normal 4 4 8 2" xfId="6072" xr:uid="{7FEBFBDC-F319-48AD-A9B8-87B852BEEC63}"/>
    <cellStyle name="Normal 4 4 9" xfId="5361" xr:uid="{3259F925-D23C-4510-8843-45F8183BB932}"/>
    <cellStyle name="Normal 4 4 9 2" xfId="6113" xr:uid="{F4093879-00CB-4CB9-B810-65B7A5F01E54}"/>
    <cellStyle name="Normal 4 5" xfId="219" xr:uid="{00000000-0005-0000-0000-000037090000}"/>
    <cellStyle name="Normal 4 5 10" xfId="3518" xr:uid="{B955032A-3BCC-4765-8F42-CC73AE1C69C4}"/>
    <cellStyle name="Normal 4 5 10 2" xfId="5679" xr:uid="{4A9DA7A5-CE06-4DB8-BEC7-4F4C9E63C2FF}"/>
    <cellStyle name="Normal 4 5 11" xfId="5450" xr:uid="{C8EB68C5-C5BE-4241-B7D4-561AFBDD080D}"/>
    <cellStyle name="Normal 4 5 2" xfId="2879" xr:uid="{00000000-0005-0000-0000-000037090000}"/>
    <cellStyle name="Normal 4 5 2 2" xfId="2973" xr:uid="{00000000-0005-0000-0000-00000B0A0000}"/>
    <cellStyle name="Normal 4 5 2 2 2" xfId="3826" xr:uid="{FD46A39F-ED83-4510-8484-482718CA33D1}"/>
    <cellStyle name="Normal 4 5 2 2 2 2" xfId="5791" xr:uid="{5AD43CA8-EECC-4A69-93E3-B098DFE6DC67}"/>
    <cellStyle name="Normal 4 5 2 2 3" xfId="5580" xr:uid="{C60DE033-83A4-4819-9E09-FE67B8BE6E15}"/>
    <cellStyle name="Normal 4 5 2 3" xfId="3875" xr:uid="{E22921EC-33E2-4CD1-99CE-5446659A9549}"/>
    <cellStyle name="Normal 4 5 2 3 2" xfId="5840" xr:uid="{CAB79CF3-CD48-4869-B8DC-254B308BE373}"/>
    <cellStyle name="Normal 4 5 2 4" xfId="4582" xr:uid="{26BB0D05-D2F6-4023-9709-658C66E17FC0}"/>
    <cellStyle name="Normal 4 5 2 4 2" xfId="5962" xr:uid="{FB56D30A-1A76-48F4-BC7A-E0A8F34557B1}"/>
    <cellStyle name="Normal 4 5 2 5" xfId="3702" xr:uid="{C94204D0-20A0-4F66-933E-7310FE850A51}"/>
    <cellStyle name="Normal 4 5 2 5 2" xfId="5745" xr:uid="{3FED034B-4AB5-4D16-BC81-612D67903398}"/>
    <cellStyle name="Normal 4 5 2 6" xfId="5495" xr:uid="{91400838-1D0E-4078-908B-858828E212A3}"/>
    <cellStyle name="Normal 4 5 3" xfId="3034" xr:uid="{00000000-0005-0000-0000-00000C0A0000}"/>
    <cellStyle name="Normal 4 5 3 2" xfId="4468" xr:uid="{96321528-672F-4D9F-AAF6-CB41ACB70740}"/>
    <cellStyle name="Normal 4 5 3 2 2" xfId="5935" xr:uid="{96E9BBEB-55F5-460E-915A-700029C171B2}"/>
    <cellStyle name="Normal 4 5 3 3" xfId="3803" xr:uid="{9D2F54BC-1C3E-45E9-A65E-2CECDFB5138D}"/>
    <cellStyle name="Normal 4 5 3 3 2" xfId="5768" xr:uid="{9FB98E41-4D73-4185-A410-C80058BFEF82}"/>
    <cellStyle name="Normal 4 5 3 4" xfId="5620" xr:uid="{F9DC5293-9F5F-44FA-AC56-FFAC40666FF0}"/>
    <cellStyle name="Normal 4 5 4" xfId="2924" xr:uid="{00000000-0005-0000-0000-00000A0A0000}"/>
    <cellStyle name="Normal 4 5 4 2" xfId="5257" xr:uid="{9EE3D6B9-D97D-4854-B878-43525A45CD44}"/>
    <cellStyle name="Normal 4 5 4 2 2" xfId="6017" xr:uid="{934B86D7-50BD-4E4F-9795-BC16C04A272E}"/>
    <cellStyle name="Normal 4 5 4 3" xfId="3852" xr:uid="{9219A3C6-7513-4E55-9F39-218E3FBB8664}"/>
    <cellStyle name="Normal 4 5 4 3 2" xfId="5817" xr:uid="{02994B1D-A918-472B-8939-CA46FB1195DB}"/>
    <cellStyle name="Normal 4 5 4 4" xfId="5540" xr:uid="{C57872AB-4C41-4BE9-AA08-506BF0534FBC}"/>
    <cellStyle name="Normal 4 5 5" xfId="3904" xr:uid="{87112776-D5F1-4AC9-9340-3916354DD3EF}"/>
    <cellStyle name="Normal 4 5 5 2" xfId="5310" xr:uid="{35CD9C58-F1CF-4931-8EF6-3FD77B6D9190}"/>
    <cellStyle name="Normal 4 5 5 2 2" xfId="6062" xr:uid="{D703EF72-F2C6-44C3-8854-FF53E1855F90}"/>
    <cellStyle name="Normal 4 5 5 3" xfId="5868" xr:uid="{37F216EE-EB00-456E-BF1A-AFCD3C779AF3}"/>
    <cellStyle name="Normal 4 5 6" xfId="3987" xr:uid="{F6137CD5-C57F-4190-9160-251379FB8D65}"/>
    <cellStyle name="Normal 4 5 6 2" xfId="5914" xr:uid="{31C473B4-15E0-4748-BFA8-D3CD9C568D45}"/>
    <cellStyle name="Normal 4 5 7" xfId="4484" xr:uid="{1EDD588C-F499-44FA-A9DC-DAD34F0FBAFE}"/>
    <cellStyle name="Normal 4 5 8" xfId="5395" xr:uid="{79076BDA-3D61-4F93-9C99-AC90A766F4AD}"/>
    <cellStyle name="Normal 4 5 8 2" xfId="6147" xr:uid="{FDD40092-DF94-4DD8-9615-5D979356CBC7}"/>
    <cellStyle name="Normal 4 5 9" xfId="3586" xr:uid="{E98DFF90-BB3F-4BB3-8AFA-2646C6B71E22}"/>
    <cellStyle name="Normal 4 5 9 2" xfId="5722" xr:uid="{EBD86325-CF3C-406E-BBFB-BCA68AE9AB57}"/>
    <cellStyle name="Normal 4 6" xfId="2849" xr:uid="{00000000-0005-0000-0000-000038090000}"/>
    <cellStyle name="Normal 4 6 2" xfId="2896" xr:uid="{00000000-0005-0000-0000-000038090000}"/>
    <cellStyle name="Normal 4 6 2 2" xfId="2997" xr:uid="{00000000-0005-0000-0000-00000E0A0000}"/>
    <cellStyle name="Normal 4 6 2 2 2" xfId="4597" xr:uid="{7CAF7B0F-2C03-4351-8C8A-4CBBF5BE426F}"/>
    <cellStyle name="Normal 4 6 2 2 2 2" xfId="5974" xr:uid="{30B1E035-3994-4EB2-8201-6542BF024887}"/>
    <cellStyle name="Normal 4 6 2 2 3" xfId="5597" xr:uid="{450E9108-EDCD-41E6-81BE-6D718994CF88}"/>
    <cellStyle name="Normal 4 6 2 3" xfId="3921" xr:uid="{F19D8123-DA54-4C03-A641-F79716FCB09C}"/>
    <cellStyle name="Normal 4 6 2 3 2" xfId="5885" xr:uid="{006F686A-AE9A-4B09-A1FE-04A13B026780}"/>
    <cellStyle name="Normal 4 6 2 4" xfId="5512" xr:uid="{D2F5B3F9-2A19-447E-9AEF-FAF292EEEFE3}"/>
    <cellStyle name="Normal 4 6 3" xfId="3441" xr:uid="{00000000-0005-0000-0000-00000F0A0000}"/>
    <cellStyle name="Normal 4 6 3 2" xfId="4531" xr:uid="{38253063-F66D-46C4-87AD-E68346B25C15}"/>
    <cellStyle name="Normal 4 6 3 2 2" xfId="5942" xr:uid="{D080F4F1-499E-48ED-89EA-F58B9103CE4D}"/>
    <cellStyle name="Normal 4 6 3 3" xfId="5637" xr:uid="{76BEDD1B-780D-4999-B37A-D9A19EE37F99}"/>
    <cellStyle name="Normal 4 6 4" xfId="2941" xr:uid="{00000000-0005-0000-0000-00000D0A0000}"/>
    <cellStyle name="Normal 4 6 4 2" xfId="5326" xr:uid="{47F52723-8840-4BD7-B80D-A5D240AD0568}"/>
    <cellStyle name="Normal 4 6 4 2 2" xfId="6078" xr:uid="{4C350E5C-E3BB-4401-9DA4-3C040396B0D5}"/>
    <cellStyle name="Normal 4 6 4 3" xfId="5557" xr:uid="{DCB34AE9-DB9A-43C2-A318-766D4A01FD7F}"/>
    <cellStyle name="Normal 4 6 5" xfId="5368" xr:uid="{924C72B5-3463-448F-AF57-093089D24528}"/>
    <cellStyle name="Normal 4 6 5 2" xfId="6120" xr:uid="{E041C45C-1D72-4B73-815A-DEB5CB240575}"/>
    <cellStyle name="Normal 4 6 6" xfId="5412" xr:uid="{CA9757ED-B38A-476F-AF5F-09F338B4007A}"/>
    <cellStyle name="Normal 4 6 6 2" xfId="6164" xr:uid="{AAA10103-F79D-419E-BBFB-AF804DF6E79C}"/>
    <cellStyle name="Normal 4 6 7" xfId="3667" xr:uid="{9A32E4F5-A732-4BD0-BCED-755DEB634226}"/>
    <cellStyle name="Normal 4 6 8" xfId="3539" xr:uid="{2117F714-D958-4D25-8B97-653C9D7E2B5A}"/>
    <cellStyle name="Normal 4 6 8 2" xfId="5696" xr:uid="{BEC86A52-F4C6-48EE-984E-3D27A057AB69}"/>
    <cellStyle name="Normal 4 6 9" xfId="5467" xr:uid="{03C0692A-2220-4BB3-B805-23BA7D9EF903}"/>
    <cellStyle name="Normal 4 7" xfId="2864" xr:uid="{00000000-0005-0000-0000-000039090000}"/>
    <cellStyle name="Normal 4 7 2" xfId="4576" xr:uid="{6706E4ED-42B1-457D-ACCE-A4137321589D}"/>
    <cellStyle name="Normal 4 7 2 2" xfId="5956" xr:uid="{EF0DDBA4-B8FA-4ADF-8D18-3DFF7175AE72}"/>
    <cellStyle name="Normal 4 8" xfId="26" xr:uid="{00000000-0005-0000-0000-00003A090000}"/>
    <cellStyle name="Normal 4 8 10" xfId="5443" xr:uid="{EE612B05-A0D3-46EF-B791-02DAA8D53CA6}"/>
    <cellStyle name="Normal 4 8 2" xfId="2872" xr:uid="{00000000-0005-0000-0000-00003A090000}"/>
    <cellStyle name="Normal 4 8 2 2" xfId="3943" xr:uid="{BEB7D107-06CB-4DF1-B6AF-70A3D7BF1F63}"/>
    <cellStyle name="Normal 4 8 2 2 2" xfId="5906" xr:uid="{34BEC856-6D6B-43D1-9B97-CE4C3C08B4C3}"/>
    <cellStyle name="Normal 4 8 2 3" xfId="5488" xr:uid="{E1EE1717-3AB0-42E4-BB4C-9731137C740A}"/>
    <cellStyle name="Normal 4 8 3" xfId="2917" xr:uid="{00000000-0005-0000-0000-0000110A0000}"/>
    <cellStyle name="Normal 4 8 3 2" xfId="5239" xr:uid="{C6CBDA4D-DB65-4941-B61D-280ED34EEF6B}"/>
    <cellStyle name="Normal 4 8 3 2 2" xfId="6013" xr:uid="{4EE97192-549D-43ED-A525-654B2B21A07D}"/>
    <cellStyle name="Normal 4 8 3 3" xfId="5533" xr:uid="{23752806-A02B-4215-9349-6D6C05B8CA97}"/>
    <cellStyle name="Normal 4 8 4" xfId="5303" xr:uid="{B73213AD-0C52-450E-8FD1-E5863CA729A7}"/>
    <cellStyle name="Normal 4 8 4 2" xfId="6055" xr:uid="{174F9010-536A-42D1-B520-E291CFF1C00B}"/>
    <cellStyle name="Normal 4 8 5" xfId="5346" xr:uid="{07A8274E-F8F1-438C-90B5-D3276BE247C4}"/>
    <cellStyle name="Normal 4 8 5 2" xfId="6098" xr:uid="{AB7EBC5B-7123-47DF-95C1-746BD02E2CA1}"/>
    <cellStyle name="Normal 4 8 6" xfId="4152" xr:uid="{F8DBB091-29C9-4765-B59B-F01E692B32EF}"/>
    <cellStyle name="Normal 4 8 7" xfId="5388" xr:uid="{F3EF13AA-FD2F-4135-BF75-CE306CD76950}"/>
    <cellStyle name="Normal 4 8 7 2" xfId="6140" xr:uid="{049B1580-F8C3-4E3B-8811-4D417D5A0930}"/>
    <cellStyle name="Normal 4 8 8" xfId="3897" xr:uid="{7F7C4D96-201F-4CD9-8FFC-6D9137ACEC3A}"/>
    <cellStyle name="Normal 4 8 8 2" xfId="5861" xr:uid="{09EABB09-AF24-40D3-B4FD-3B4C293C0036}"/>
    <cellStyle name="Normal 4 8 9" xfId="3497" xr:uid="{61A1929F-79B9-4145-B19F-6E5CBB9E3450}"/>
    <cellStyle name="Normal 4 8 9 2" xfId="5672" xr:uid="{0E528F24-D4D2-4D33-8B38-65CF930B1356}"/>
    <cellStyle name="Normal 4 9" xfId="21" xr:uid="{00000000-0005-0000-0000-000030090000}"/>
    <cellStyle name="Normal 4 9 2" xfId="2957" xr:uid="{00000000-0005-0000-0000-0000120A0000}"/>
    <cellStyle name="Normal 4 9 2 2" xfId="5221" xr:uid="{730C4A99-1DF0-4F49-A087-AB57C9A58B6A}"/>
    <cellStyle name="Normal 4 9 2 2 2" xfId="5996" xr:uid="{68BA0F42-F7FF-4AD7-B0C2-23527ACBCD86}"/>
    <cellStyle name="Normal 4 9 2 3" xfId="5573" xr:uid="{66570518-7EC3-4BC7-9C67-AE374AB70A09}"/>
    <cellStyle name="Normal 4 9 3" xfId="3892" xr:uid="{2C9C2E8E-EF80-4FC5-952C-C6984CE301CD}"/>
    <cellStyle name="Normal 4 9 3 2" xfId="5856" xr:uid="{A9B22360-8878-41DB-9013-517FB10772FC}"/>
    <cellStyle name="Normal 4 9 4" xfId="5438" xr:uid="{6A9FCB90-B18C-4273-BF2E-3AA577C3CCC9}"/>
    <cellStyle name="Normal 5" xfId="17" xr:uid="{00000000-0005-0000-0000-000009000000}"/>
    <cellStyle name="Normal 5 10" xfId="3554" xr:uid="{9FE5A749-E7DB-4FF9-AA59-D19AB4415104}"/>
    <cellStyle name="Normal 5 10 2" xfId="5710" xr:uid="{835CD0F6-70D5-4592-B57E-5924F5658191}"/>
    <cellStyle name="Normal 5 11" xfId="3493" xr:uid="{887B418A-F7F4-43C8-94B0-93A6168A08BD}"/>
    <cellStyle name="Normal 5 11 2" xfId="5668" xr:uid="{ED31F181-8247-4876-A27E-76050CE11C56}"/>
    <cellStyle name="Normal 5 12" xfId="5434" xr:uid="{2870DD9A-F0B1-4B6A-B121-2EB7771B46B7}"/>
    <cellStyle name="Normal 5 2" xfId="2260" xr:uid="{00000000-0005-0000-0000-00003C090000}"/>
    <cellStyle name="Normal 5 2 2" xfId="3615" xr:uid="{59B3A020-A260-4055-B085-8B79D8F72528}"/>
    <cellStyle name="Normal 5 2 3" xfId="3679" xr:uid="{01252F34-36D4-4A1B-B7A8-EDEE51F80F7D}"/>
    <cellStyle name="Normal 5 2 4" xfId="3570" xr:uid="{EC0369C4-80A7-4A74-9775-CF650122CBC3}"/>
    <cellStyle name="Normal 5 3" xfId="220" xr:uid="{00000000-0005-0000-0000-00003D090000}"/>
    <cellStyle name="Normal 5 3 2" xfId="5258" xr:uid="{B7D196BE-0439-4353-B9B5-3AF51FFFAB8B}"/>
    <cellStyle name="Normal 5 3 3" xfId="4454" xr:uid="{95B64548-AF9F-4555-A4D6-7F9263E153F3}"/>
    <cellStyle name="Normal 5 4" xfId="22" xr:uid="{00000000-0005-0000-0000-00003B090000}"/>
    <cellStyle name="Normal 5 4 2" xfId="3479" xr:uid="{00000000-0005-0000-0000-000007000000}"/>
    <cellStyle name="Normal 5 4 2 2" xfId="3814" xr:uid="{D8157E5B-E5A3-4481-8B70-3733F298CA07}"/>
    <cellStyle name="Normal 5 4 2 2 2" xfId="5779" xr:uid="{924038D8-4047-45C7-B2FD-56AD40952B7F}"/>
    <cellStyle name="Normal 5 4 2 3" xfId="5657" xr:uid="{997927E5-FD01-444D-86B8-EF03F4442CC0}"/>
    <cellStyle name="Normal 5 4 3" xfId="3863" xr:uid="{3776D1DA-0DDB-4C9B-B731-D025FA283EE4}"/>
    <cellStyle name="Normal 5 4 3 2" xfId="5828" xr:uid="{A9091D5A-58DB-4EFF-95A2-657640B25DD1}"/>
    <cellStyle name="Normal 5 4 4" xfId="4137" xr:uid="{6604385D-81F0-4E8E-88A8-DD3B55C6F546}"/>
    <cellStyle name="Normal 5 4 5" xfId="3660" xr:uid="{FE1DDA51-CDC4-4BC3-A2D0-CACA732D63AB}"/>
    <cellStyle name="Normal 5 4 5 2" xfId="5733" xr:uid="{69080DD8-BC21-43D8-95A3-B784E86144B0}"/>
    <cellStyle name="Normal 5 4 6" xfId="5439" xr:uid="{2F24AEF1-3912-45D5-9320-AF8CA76B2859}"/>
    <cellStyle name="Normal 5 5" xfId="2868" xr:uid="{00000000-0005-0000-0000-00003B090000}"/>
    <cellStyle name="Normal 5 5 2" xfId="5236" xr:uid="{13B65851-5F97-4D7C-B4B6-46D4D1993FDC}"/>
    <cellStyle name="Normal 5 5 2 2" xfId="6010" xr:uid="{31B3F5A2-9615-4569-A344-326F9B1FA8CE}"/>
    <cellStyle name="Normal 5 5 3" xfId="3791" xr:uid="{5A4CF251-826D-4776-BB17-B0299D215C89}"/>
    <cellStyle name="Normal 5 5 3 2" xfId="5756" xr:uid="{73290DF5-5D01-46D1-9338-460878402C08}"/>
    <cellStyle name="Normal 5 5 4" xfId="5484" xr:uid="{C295BBED-E67C-4B35-8360-43C58217182E}"/>
    <cellStyle name="Normal 5 6" xfId="2913" xr:uid="{00000000-0005-0000-0000-0000130A0000}"/>
    <cellStyle name="Normal 5 6 2" xfId="5293" xr:uid="{F9890F27-A1BE-41AA-9690-B73AC0A66998}"/>
    <cellStyle name="Normal 5 6 3" xfId="3840" xr:uid="{C4ADAD3C-2096-46E1-9508-2A4B5C2B625A}"/>
    <cellStyle name="Normal 5 6 3 2" xfId="5805" xr:uid="{36297BDA-817B-4844-B301-E71FB93D28E7}"/>
    <cellStyle name="Normal 5 6 4" xfId="5529" xr:uid="{3B463FDF-3922-4171-A72A-E92E894F3CE7}"/>
    <cellStyle name="Normal 5 7" xfId="3893" xr:uid="{415913AD-9E57-4104-9660-EC1346234D5F}"/>
    <cellStyle name="Normal 5 7 2" xfId="5301" xr:uid="{5A747E63-90E7-47F4-81FE-61AF8D8D51E6}"/>
    <cellStyle name="Normal 5 7 2 2" xfId="6053" xr:uid="{BEBB40F8-F68F-427A-8534-93EFEDA50A9A}"/>
    <cellStyle name="Normal 5 7 3" xfId="5857" xr:uid="{92F94D22-4649-4C43-A9C0-1C3B08DBCDBF}"/>
    <cellStyle name="Normal 5 8" xfId="3939" xr:uid="{83B5A69D-69CA-46D9-A81B-7424F5159E5D}"/>
    <cellStyle name="Normal 5 8 2" xfId="5902" xr:uid="{75B783FF-17C4-46D6-B59D-9D0E22329FF2}"/>
    <cellStyle name="Normal 5 9" xfId="5384" xr:uid="{EF008BE4-B752-4234-953C-7705C04DFF08}"/>
    <cellStyle name="Normal 5 9 2" xfId="6136" xr:uid="{755B936B-0300-4159-AE2B-3328203BEFB3}"/>
    <cellStyle name="Normal 6" xfId="2538" xr:uid="{00000000-0005-0000-0000-00003E090000}"/>
    <cellStyle name="Normal 6 2" xfId="2261" xr:uid="{00000000-0005-0000-0000-00003F090000}"/>
    <cellStyle name="Normal 6 2 2" xfId="3775" xr:uid="{68E2C56C-C3F1-4E87-BF53-F799C4D4820B}"/>
    <cellStyle name="Normal 6 3" xfId="3620" xr:uid="{6B5DA91E-905E-46CC-B48A-7B5A58123A8F}"/>
    <cellStyle name="Normal 6 3 2" xfId="4483" xr:uid="{DF1F6C53-DD28-49ED-A5E0-801794C4A21E}"/>
    <cellStyle name="Normal 6 4" xfId="3676" xr:uid="{A96E21EC-0954-4BA4-B232-5C77BBF8561F}"/>
    <cellStyle name="Normal 6 4 2" xfId="3820" xr:uid="{A02C95B7-159B-4319-BA30-05BAE3BE5186}"/>
    <cellStyle name="Normal 6 4 2 2" xfId="5785" xr:uid="{CA47EA94-1361-40FD-9D1A-C7354F684827}"/>
    <cellStyle name="Normal 6 4 3" xfId="3869" xr:uid="{92A84C42-E53A-493A-96CF-AE376BD9A036}"/>
    <cellStyle name="Normal 6 4 3 2" xfId="5834" xr:uid="{EF5DAD0F-8563-4170-8DD7-C2B834829B7F}"/>
    <cellStyle name="Normal 6 4 4" xfId="4575" xr:uid="{F64976DF-EFFB-4779-8081-587A9E2AF227}"/>
    <cellStyle name="Normal 6 4 5" xfId="5739" xr:uid="{77179C43-2505-4F34-BDA0-E3D769EB6C62}"/>
    <cellStyle name="Normal 6 5" xfId="3797" xr:uid="{404C6ABB-D857-493E-A2C3-43544DA4C0AA}"/>
    <cellStyle name="Normal 6 5 2" xfId="5295" xr:uid="{6F1AD0FA-90FB-4EF0-BD89-42E1F6E30AA2}"/>
    <cellStyle name="Normal 6 5 2 2" xfId="6047" xr:uid="{362A504E-8D63-4519-8009-00CB2AF1BE92}"/>
    <cellStyle name="Normal 6 5 3" xfId="5762" xr:uid="{97486A16-5542-4E94-8466-9637BEA90E4F}"/>
    <cellStyle name="Normal 6 6" xfId="3846" xr:uid="{F451082F-0D6E-41EC-BFF7-DD1653B10848}"/>
    <cellStyle name="Normal 6 6 2" xfId="5811" xr:uid="{F8A7D0B0-2DE9-46B7-B0B2-220A88DEDB2F}"/>
    <cellStyle name="Normal 6 7" xfId="3567" xr:uid="{B045DCD4-5D24-42BA-83B3-BBC20F4B7AD4}"/>
    <cellStyle name="Normal 6 7 2" xfId="5716" xr:uid="{FC6143A4-B29B-4624-8BAD-B4520DB38C82}"/>
    <cellStyle name="Normal 7" xfId="2860" xr:uid="{00000000-0005-0000-0000-000040090000}"/>
    <cellStyle name="Normal 7 10" xfId="3550" xr:uid="{5B4B6F47-480A-4B19-A1A1-0449FBA942B7}"/>
    <cellStyle name="Normal 7 10 2" xfId="5707" xr:uid="{3A0A4FDE-F419-48D7-B759-5F075E3C6A4F}"/>
    <cellStyle name="Normal 7 11" xfId="5478" xr:uid="{407B2764-6107-4CCB-8375-D7B402DD4C4F}"/>
    <cellStyle name="Normal 7 2" xfId="2262" xr:uid="{00000000-0005-0000-0000-000041090000}"/>
    <cellStyle name="Normal 7 2 2" xfId="3776" xr:uid="{47EC277B-0C8B-4B95-B808-39BFF932C037}"/>
    <cellStyle name="Normal 7 3" xfId="2907" xr:uid="{00000000-0005-0000-0000-000040090000}"/>
    <cellStyle name="Normal 7 3 2" xfId="3008" xr:uid="{00000000-0005-0000-0000-00001A0A0000}"/>
    <cellStyle name="Normal 7 3 2 2" xfId="4151" xr:uid="{312765A8-436C-4DC1-8B93-621E7FEB3B8D}"/>
    <cellStyle name="Normal 7 3 2 3" xfId="5608" xr:uid="{27105A5B-36D1-4D14-909A-4DEC148A089C}"/>
    <cellStyle name="Normal 7 3 3" xfId="3886" xr:uid="{BBAD72A3-4F37-4BF6-A81E-84E216A67193}"/>
    <cellStyle name="Normal 7 3 3 2" xfId="5851" xr:uid="{DFE5EEE9-8192-4D06-9DDB-E117F89F792F}"/>
    <cellStyle name="Normal 7 3 4" xfId="5523" xr:uid="{3ABED54F-7786-4C52-908E-AC08A8F77CA7}"/>
    <cellStyle name="Normal 7 4" xfId="3452" xr:uid="{00000000-0005-0000-0000-00001B0A0000}"/>
    <cellStyle name="Normal 7 4 2" xfId="5222" xr:uid="{969B81EF-DC9D-47D5-B734-AE256C55E23B}"/>
    <cellStyle name="Normal 7 4 3" xfId="3932" xr:uid="{77732D32-04A5-48B0-9CF5-B7648A873918}"/>
    <cellStyle name="Normal 7 4 3 2" xfId="5896" xr:uid="{B4A609A0-2448-42EB-B68E-93171AB1A7D8}"/>
    <cellStyle name="Normal 7 4 4" xfId="5648" xr:uid="{A15A7724-B81C-4D0C-A4E8-72E8FA01A2BE}"/>
    <cellStyle name="Normal 7 5" xfId="2952" xr:uid="{00000000-0005-0000-0000-0000180A0000}"/>
    <cellStyle name="Normal 7 5 2" xfId="4542" xr:uid="{8BBD26E8-FACE-4499-BDAD-04A2DA095115}"/>
    <cellStyle name="Normal 7 5 2 2" xfId="5953" xr:uid="{A680B870-5893-4F50-8CF8-A94EA06B29CA}"/>
    <cellStyle name="Normal 7 5 3" xfId="5568" xr:uid="{EF73B274-0FF6-4DDC-AB67-BAC03079A8A1}"/>
    <cellStyle name="Normal 7 6" xfId="5337" xr:uid="{2E1BA1E6-D2C2-4219-9046-6E36FB420120}"/>
    <cellStyle name="Normal 7 6 2" xfId="6089" xr:uid="{D2AB7A6E-4CCA-43C9-9F65-B7D991B01CA1}"/>
    <cellStyle name="Normal 7 7" xfId="5377" xr:uid="{5DD706B4-E2B7-43E2-AFD2-08ECF3C1DB8A}"/>
    <cellStyle name="Normal 7 7 2" xfId="6129" xr:uid="{7F7F72D8-E30C-46F5-B3BE-F963961E2CB3}"/>
    <cellStyle name="Normal 7 8" xfId="5423" xr:uid="{C17807EA-D7DC-418F-872C-456966C2CAF6}"/>
    <cellStyle name="Normal 7 8 2" xfId="6175" xr:uid="{C60A94AA-E9D2-413C-A630-C1CAB8681B32}"/>
    <cellStyle name="Normal 7 9" xfId="3837" xr:uid="{E13FD23D-D7DB-4343-A16F-6004ACF909C9}"/>
    <cellStyle name="Normal 7 9 2" xfId="5802" xr:uid="{B6D836DE-8CC6-4867-9177-B8E3E3DCBE90}"/>
    <cellStyle name="Normal 8" xfId="3473" xr:uid="{00000000-0005-0000-0000-00001C0A0000}"/>
    <cellStyle name="Normal 8 2" xfId="2263" xr:uid="{00000000-0005-0000-0000-000042090000}"/>
    <cellStyle name="Normal 8 2 2" xfId="3777" xr:uid="{E4062FD6-62A1-463A-A1AD-08EB3B383914}"/>
    <cellStyle name="Normal 8 3" xfId="5651" xr:uid="{1EFE59CE-1166-421D-BB0E-88A3CF978C66}"/>
    <cellStyle name="Normal 9" xfId="4495" xr:uid="{DAD147DA-7EC1-4366-8267-6E1F6A43A4C8}"/>
    <cellStyle name="Normal 9 2" xfId="2264" xr:uid="{00000000-0005-0000-0000-000043090000}"/>
    <cellStyle name="Normal 9 2 2" xfId="3778" xr:uid="{38DF9EA1-CC23-4C92-A880-CCF39C8513E8}"/>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 name="Note 10 2" xfId="2265" xr:uid="{00000000-0005-0000-0000-00004D090000}"/>
    <cellStyle name="Note 10 2 2" xfId="2711" xr:uid="{00000000-0005-0000-0000-00004E090000}"/>
    <cellStyle name="Note 10 2 2 2" xfId="3142" xr:uid="{00000000-0005-0000-0000-00002A0A0000}"/>
    <cellStyle name="Note 10 2 3" xfId="5061" xr:uid="{94C93F07-47B8-4FFB-BEC3-63FEC1272FB9}"/>
    <cellStyle name="Note 10 2 4" xfId="4659" xr:uid="{204F8117-ED00-4282-894E-1F30245874B3}"/>
    <cellStyle name="Note 10 3" xfId="2266" xr:uid="{00000000-0005-0000-0000-00004F090000}"/>
    <cellStyle name="Note 10 3 2" xfId="2712" xr:uid="{00000000-0005-0000-0000-000050090000}"/>
    <cellStyle name="Note 10 3 2 2" xfId="3141" xr:uid="{00000000-0005-0000-0000-00002D0A0000}"/>
    <cellStyle name="Note 10 3 3" xfId="4680" xr:uid="{4180B86F-120F-4E40-B3A2-45C035E58D8F}"/>
    <cellStyle name="Note 10 3 4" xfId="4660" xr:uid="{DCCE6E50-3BA4-4BAB-91E3-25571C7A4E7C}"/>
    <cellStyle name="Note 10 4" xfId="2267" xr:uid="{00000000-0005-0000-0000-000051090000}"/>
    <cellStyle name="Note 10 4 2" xfId="2713" xr:uid="{00000000-0005-0000-0000-000052090000}"/>
    <cellStyle name="Note 10 4 2 2" xfId="3140" xr:uid="{00000000-0005-0000-0000-0000300A0000}"/>
    <cellStyle name="Note 10 4 3" xfId="4789" xr:uid="{E6C2B6E2-282A-4B09-AF81-58AACFF7799D}"/>
    <cellStyle name="Note 10 4 4" xfId="4661" xr:uid="{DAF4139A-43FE-46F2-B0BB-8B46D447BBC6}"/>
    <cellStyle name="Note 10 5" xfId="2268" xr:uid="{00000000-0005-0000-0000-000053090000}"/>
    <cellStyle name="Note 10 5 2" xfId="2714" xr:uid="{00000000-0005-0000-0000-000054090000}"/>
    <cellStyle name="Note 10 5 2 2" xfId="3139" xr:uid="{00000000-0005-0000-0000-0000330A0000}"/>
    <cellStyle name="Note 10 5 3" xfId="4788" xr:uid="{FB39DD00-2CC9-4803-8048-FE5394724FC7}"/>
    <cellStyle name="Note 10 5 4" xfId="4662" xr:uid="{B3CEF63C-949C-458B-8C04-B84E8BEBDD07}"/>
    <cellStyle name="Note 10 6" xfId="2269" xr:uid="{00000000-0005-0000-0000-000055090000}"/>
    <cellStyle name="Note 10 6 2" xfId="2715" xr:uid="{00000000-0005-0000-0000-000056090000}"/>
    <cellStyle name="Note 10 6 2 2" xfId="3138" xr:uid="{00000000-0005-0000-0000-0000360A0000}"/>
    <cellStyle name="Note 10 6 3" xfId="4787" xr:uid="{078A209F-EED9-483E-B4BE-944ED4AD1567}"/>
    <cellStyle name="Note 10 6 4" xfId="4643" xr:uid="{F0D82D2E-F050-4BB6-AE2A-F735C5E8AE8F}"/>
    <cellStyle name="Note 11 2" xfId="2270" xr:uid="{00000000-0005-0000-0000-000057090000}"/>
    <cellStyle name="Note 11 2 2" xfId="2716" xr:uid="{00000000-0005-0000-0000-000058090000}"/>
    <cellStyle name="Note 11 2 2 2" xfId="3137" xr:uid="{00000000-0005-0000-0000-0000390A0000}"/>
    <cellStyle name="Note 11 2 3" xfId="4786" xr:uid="{442D5BC7-1DFC-41CF-B07A-25C7198FC1B0}"/>
    <cellStyle name="Note 11 2 4" xfId="4826" xr:uid="{4D0B8F78-EA4D-4682-B7F1-1F355A556178}"/>
    <cellStyle name="Note 11 3" xfId="2271" xr:uid="{00000000-0005-0000-0000-000059090000}"/>
    <cellStyle name="Note 11 3 2" xfId="2717" xr:uid="{00000000-0005-0000-0000-00005A090000}"/>
    <cellStyle name="Note 11 3 2 2" xfId="3136" xr:uid="{00000000-0005-0000-0000-00003C0A0000}"/>
    <cellStyle name="Note 11 3 3" xfId="4785" xr:uid="{288D870B-A037-4BBA-B438-78490B3DA255}"/>
    <cellStyle name="Note 11 3 4" xfId="4752" xr:uid="{B4D94AA4-5116-47AC-B19F-FF4F67A5180B}"/>
    <cellStyle name="Note 11 4" xfId="2272" xr:uid="{00000000-0005-0000-0000-00005B090000}"/>
    <cellStyle name="Note 11 4 2" xfId="2718" xr:uid="{00000000-0005-0000-0000-00005C090000}"/>
    <cellStyle name="Note 11 4 2 2" xfId="3135" xr:uid="{00000000-0005-0000-0000-00003F0A0000}"/>
    <cellStyle name="Note 11 4 3" xfId="5146" xr:uid="{1C76DC75-948F-4571-8B95-997D27561BE5}"/>
    <cellStyle name="Note 11 4 4" xfId="4664" xr:uid="{9BBAD8B3-B47B-43B7-97EF-BCA04E1F2B0A}"/>
    <cellStyle name="Note 11 5" xfId="2273" xr:uid="{00000000-0005-0000-0000-00005D090000}"/>
    <cellStyle name="Note 11 5 2" xfId="2719" xr:uid="{00000000-0005-0000-0000-00005E090000}"/>
    <cellStyle name="Note 11 5 2 2" xfId="3134" xr:uid="{00000000-0005-0000-0000-0000420A0000}"/>
    <cellStyle name="Note 11 5 3" xfId="5060" xr:uid="{DE752339-D7C9-46F6-8C9D-72DC5212A980}"/>
    <cellStyle name="Note 11 5 4" xfId="4945" xr:uid="{2541D2D0-9CBC-4E86-9D6F-3161BDE2E5F8}"/>
    <cellStyle name="Note 11 6" xfId="2274" xr:uid="{00000000-0005-0000-0000-00005F090000}"/>
    <cellStyle name="Note 11 6 2" xfId="2720" xr:uid="{00000000-0005-0000-0000-000060090000}"/>
    <cellStyle name="Note 11 6 2 2" xfId="3133" xr:uid="{00000000-0005-0000-0000-0000450A0000}"/>
    <cellStyle name="Note 11 6 3" xfId="5145" xr:uid="{71734ACF-73B9-4EF4-A8F5-E20075B561D3}"/>
    <cellStyle name="Note 11 6 4" xfId="4946" xr:uid="{2BE77473-C1D6-46C7-8918-4FE88DCDC243}"/>
    <cellStyle name="Note 2" xfId="221" xr:uid="{00000000-0005-0000-0000-000061090000}"/>
    <cellStyle name="Note 2 2" xfId="2275" xr:uid="{00000000-0005-0000-0000-000062090000}"/>
    <cellStyle name="Note 2 2 2" xfId="2721" xr:uid="{00000000-0005-0000-0000-000063090000}"/>
    <cellStyle name="Note 2 2 2 2" xfId="3132" xr:uid="{00000000-0005-0000-0000-0000490A0000}"/>
    <cellStyle name="Note 2 2 3" xfId="4783" xr:uid="{47BD9342-1842-48DC-98C4-27E312D93C32}"/>
    <cellStyle name="Note 2 2 4" xfId="5132" xr:uid="{464F10CD-97FA-4B2A-9825-EFC6994D37E0}"/>
    <cellStyle name="Note 2 3" xfId="2276" xr:uid="{00000000-0005-0000-0000-000064090000}"/>
    <cellStyle name="Note 2 3 2" xfId="2722" xr:uid="{00000000-0005-0000-0000-000065090000}"/>
    <cellStyle name="Note 2 3 2 2" xfId="3131" xr:uid="{00000000-0005-0000-0000-00004C0A0000}"/>
    <cellStyle name="Note 2 3 3" xfId="4782" xr:uid="{A9E04A65-24B0-4C9E-92D9-C0B69E60C5A4}"/>
    <cellStyle name="Note 2 3 4" xfId="5169" xr:uid="{F0151265-0DF5-45AB-A2A1-DB14BDB77FA5}"/>
    <cellStyle name="Note 2 3 5" xfId="4558" xr:uid="{E9B53BE5-5204-40BC-A040-2B78B8186F7F}"/>
    <cellStyle name="Note 2 3 6" xfId="4053" xr:uid="{8161ABD7-50F8-4662-95CD-A2B538E2A2F7}"/>
    <cellStyle name="Note 2 4" xfId="2277" xr:uid="{00000000-0005-0000-0000-000066090000}"/>
    <cellStyle name="Note 2 4 2" xfId="2723" xr:uid="{00000000-0005-0000-0000-000067090000}"/>
    <cellStyle name="Note 2 4 2 2" xfId="3130" xr:uid="{00000000-0005-0000-0000-00004F0A0000}"/>
    <cellStyle name="Note 2 4 3" xfId="4781" xr:uid="{3823983A-47A6-4F07-8B8C-AE4D61569A2D}"/>
    <cellStyle name="Note 2 4 4" xfId="5089" xr:uid="{5F83A3EA-ED50-49EC-A6D2-07F17FB1E2F6}"/>
    <cellStyle name="Note 2 4 5" xfId="4559" xr:uid="{B7C96A3F-1011-464D-97B4-C41132C1E4B5}"/>
    <cellStyle name="Note 2 4 6" xfId="4551" xr:uid="{28B5BAF2-60F8-471E-8A77-AEA754B4D149}"/>
    <cellStyle name="Note 2 5" xfId="2278" xr:uid="{00000000-0005-0000-0000-000068090000}"/>
    <cellStyle name="Note 2 5 2" xfId="2724" xr:uid="{00000000-0005-0000-0000-000069090000}"/>
    <cellStyle name="Note 2 5 2 2" xfId="3129" xr:uid="{00000000-0005-0000-0000-0000520A0000}"/>
    <cellStyle name="Note 2 5 3" xfId="4780" xr:uid="{F2D01C80-7D14-41D6-8FB2-2A2A78D7E70C}"/>
    <cellStyle name="Note 2 5 4" xfId="4827" xr:uid="{29BF8BD8-DB0A-4EFF-9BC0-D2563FEA4432}"/>
    <cellStyle name="Note 2 5 5" xfId="4560" xr:uid="{747EF700-9F61-4908-9531-89E37586FD3D}"/>
    <cellStyle name="Note 2 5 6" xfId="4482" xr:uid="{FF8FF069-620A-496D-9477-ADF6A66B0AD2}"/>
    <cellStyle name="Note 2 6" xfId="2279" xr:uid="{00000000-0005-0000-0000-00006A090000}"/>
    <cellStyle name="Note 2 6 2" xfId="2725" xr:uid="{00000000-0005-0000-0000-00006B090000}"/>
    <cellStyle name="Note 2 6 2 2" xfId="3128" xr:uid="{00000000-0005-0000-0000-0000550A0000}"/>
    <cellStyle name="Note 2 6 3" xfId="4779" xr:uid="{2B3D506E-253B-478C-81F5-B68C65AF4889}"/>
    <cellStyle name="Note 2 6 4" xfId="4947" xr:uid="{E8FB2BAE-E1E2-48A9-BF69-5EA05E7816F4}"/>
    <cellStyle name="Note 2 6 5" xfId="4561" xr:uid="{6A75FF36-345B-403D-9DC2-0651BD0420BE}"/>
    <cellStyle name="Note 2 6 6" xfId="4150" xr:uid="{AE0512F8-0137-4902-8679-0B6C7EB3EF00}"/>
    <cellStyle name="Note 2 7" xfId="2566" xr:uid="{00000000-0005-0000-0000-00006C090000}"/>
    <cellStyle name="Note 2 7 2" xfId="3287" xr:uid="{00000000-0005-0000-0000-0000570A0000}"/>
    <cellStyle name="Note 2 8" xfId="4481" xr:uid="{17A80F53-079E-4A90-9090-E3D151AC1615}"/>
    <cellStyle name="Note 2 8 2" xfId="5049" xr:uid="{049DD830-89CC-4E10-BE84-2589048D73B7}"/>
    <cellStyle name="Note 2 9" xfId="4620" xr:uid="{D059E658-E891-46EA-89A5-4F607FDBB77C}"/>
    <cellStyle name="Note 3" xfId="222" xr:uid="{00000000-0005-0000-0000-00006D090000}"/>
    <cellStyle name="Note 3 10" xfId="3659" xr:uid="{26A663C9-0732-48D7-AC2C-0AA3E7FF8C07}"/>
    <cellStyle name="Note 3 10 2" xfId="4742" xr:uid="{0E703927-EC06-4855-9F17-08B405D66681}"/>
    <cellStyle name="Note 3 11" xfId="5174" xr:uid="{0A91D2DA-DE19-4862-BEFB-1BF57F19A0AF}"/>
    <cellStyle name="Note 3 12" xfId="4139" xr:uid="{4322E620-FC60-4A7C-BFA5-27D1621E8DFC}"/>
    <cellStyle name="Note 3 2" xfId="2281" xr:uid="{00000000-0005-0000-0000-00006E090000}"/>
    <cellStyle name="Note 3 2 2" xfId="2727" xr:uid="{00000000-0005-0000-0000-00006F090000}"/>
    <cellStyle name="Note 3 2 2 2" xfId="3126" xr:uid="{00000000-0005-0000-0000-00005B0A0000}"/>
    <cellStyle name="Note 3 2 3" xfId="4717" xr:uid="{DCC79E99-79D9-4EBE-BC14-47B4168A00D2}"/>
    <cellStyle name="Note 3 2 4" xfId="4740" xr:uid="{49D129D8-B306-4B4A-87C5-752D0288DF3D}"/>
    <cellStyle name="Note 3 3" xfId="2282" xr:uid="{00000000-0005-0000-0000-000070090000}"/>
    <cellStyle name="Note 3 3 2" xfId="2728" xr:uid="{00000000-0005-0000-0000-000071090000}"/>
    <cellStyle name="Note 3 3 2 2" xfId="3125" xr:uid="{00000000-0005-0000-0000-00005E0A0000}"/>
    <cellStyle name="Note 3 3 3" xfId="4778" xr:uid="{05329E47-46B8-4707-9F4A-1736F8767382}"/>
    <cellStyle name="Note 3 3 4" xfId="4949" xr:uid="{311803B8-A0C7-49BC-AAE4-5A1E1F74DF74}"/>
    <cellStyle name="Note 3 4" xfId="2283" xr:uid="{00000000-0005-0000-0000-000072090000}"/>
    <cellStyle name="Note 3 4 2" xfId="2729" xr:uid="{00000000-0005-0000-0000-000073090000}"/>
    <cellStyle name="Note 3 4 2 2" xfId="3124" xr:uid="{00000000-0005-0000-0000-0000610A0000}"/>
    <cellStyle name="Note 3 4 3" xfId="4784" xr:uid="{DBB84EB9-E71B-4A2C-A147-4FBC57775357}"/>
    <cellStyle name="Note 3 4 4" xfId="4950" xr:uid="{8B93E3CA-5131-45CF-ABDA-13D8A5D9E448}"/>
    <cellStyle name="Note 3 5" xfId="2284" xr:uid="{00000000-0005-0000-0000-000074090000}"/>
    <cellStyle name="Note 3 5 2" xfId="2730" xr:uid="{00000000-0005-0000-0000-000075090000}"/>
    <cellStyle name="Note 3 5 2 2" xfId="3123" xr:uid="{00000000-0005-0000-0000-0000640A0000}"/>
    <cellStyle name="Note 3 5 3" xfId="5144" xr:uid="{5BAFCFBB-CAA4-470E-B301-41EA236D7EC2}"/>
    <cellStyle name="Note 3 5 4" xfId="5087" xr:uid="{75CF7ADE-5657-404F-A3FA-12AC41662EAE}"/>
    <cellStyle name="Note 3 6" xfId="2285" xr:uid="{00000000-0005-0000-0000-000076090000}"/>
    <cellStyle name="Note 3 6 2" xfId="2731" xr:uid="{00000000-0005-0000-0000-000077090000}"/>
    <cellStyle name="Note 3 6 2 2" xfId="3122" xr:uid="{00000000-0005-0000-0000-0000670A0000}"/>
    <cellStyle name="Note 3 6 3" xfId="4776" xr:uid="{2E73D780-8ED8-4237-87E8-06233B7C2B4B}"/>
    <cellStyle name="Note 3 6 4" xfId="4699" xr:uid="{D40B10E0-40F0-432F-BC25-52F4FDED969D}"/>
    <cellStyle name="Note 3 7" xfId="2286" xr:uid="{00000000-0005-0000-0000-000078090000}"/>
    <cellStyle name="Note 3 7 2" xfId="2732" xr:uid="{00000000-0005-0000-0000-000079090000}"/>
    <cellStyle name="Note 3 7 2 2" xfId="3121" xr:uid="{00000000-0005-0000-0000-00006A0A0000}"/>
    <cellStyle name="Note 3 7 3" xfId="4775" xr:uid="{42FB5C0F-E278-40B3-B0F1-B4295586EBC6}"/>
    <cellStyle name="Note 3 7 4" xfId="4944" xr:uid="{94147431-27F9-48E4-A769-2A4F632CF24D}"/>
    <cellStyle name="Note 3 7 5" xfId="4562" xr:uid="{1BD1ECB0-45BB-410A-AADC-67999576CA11}"/>
    <cellStyle name="Note 3 7 6" xfId="4379" xr:uid="{48BC67B7-662F-42C7-8DEF-6FC93E0D323C}"/>
    <cellStyle name="Note 3 8" xfId="2280" xr:uid="{00000000-0005-0000-0000-00007A090000}"/>
    <cellStyle name="Note 3 8 2" xfId="2726" xr:uid="{00000000-0005-0000-0000-00007B090000}"/>
    <cellStyle name="Note 3 8 2 2" xfId="3127" xr:uid="{00000000-0005-0000-0000-00006D0A0000}"/>
    <cellStyle name="Note 3 8 3" xfId="4679" xr:uid="{00CB5266-0F2E-4581-9387-5E6C469ECC40}"/>
    <cellStyle name="Note 3 8 4" xfId="4663" xr:uid="{751984CA-0473-40B3-8C99-A2503EEA0A9A}"/>
    <cellStyle name="Note 3 9" xfId="2567" xr:uid="{00000000-0005-0000-0000-00007C090000}"/>
    <cellStyle name="Note 3 9 2" xfId="3286" xr:uid="{00000000-0005-0000-0000-00006F0A0000}"/>
    <cellStyle name="Note 4" xfId="223" xr:uid="{00000000-0005-0000-0000-00007D090000}"/>
    <cellStyle name="Note 4 10" xfId="5085" xr:uid="{D9258F03-275E-4B56-9EB0-B7232755F572}"/>
    <cellStyle name="Note 4 11" xfId="5197" xr:uid="{EA9C83AE-FE8B-48CE-9C74-2DDE1561944B}"/>
    <cellStyle name="Note 4 12" xfId="4428" xr:uid="{8F85E9EF-DB1E-425E-8369-B1EFBB39D866}"/>
    <cellStyle name="Note 4 2" xfId="2288" xr:uid="{00000000-0005-0000-0000-00007E090000}"/>
    <cellStyle name="Note 4 2 2" xfId="2734" xr:uid="{00000000-0005-0000-0000-00007F090000}"/>
    <cellStyle name="Note 4 2 2 2" xfId="3119" xr:uid="{00000000-0005-0000-0000-0000730A0000}"/>
    <cellStyle name="Note 4 2 3" xfId="4774" xr:uid="{E34FD60A-F9C1-4EDF-B83F-182220B9A8C0}"/>
    <cellStyle name="Note 4 2 4" xfId="4952" xr:uid="{3A2DE296-04E0-43DF-97EE-9D6A2CCE944A}"/>
    <cellStyle name="Note 4 3" xfId="2289" xr:uid="{00000000-0005-0000-0000-000080090000}"/>
    <cellStyle name="Note 4 3 2" xfId="2735" xr:uid="{00000000-0005-0000-0000-000081090000}"/>
    <cellStyle name="Note 4 3 2 2" xfId="3118" xr:uid="{00000000-0005-0000-0000-0000760A0000}"/>
    <cellStyle name="Note 4 3 3" xfId="4773" xr:uid="{3479497A-068A-4D5B-8904-E1CDEF5DBF5F}"/>
    <cellStyle name="Note 4 3 4" xfId="4948" xr:uid="{684A4D0E-8DE0-4CEF-AA56-9933626883CA}"/>
    <cellStyle name="Note 4 4" xfId="2290" xr:uid="{00000000-0005-0000-0000-000082090000}"/>
    <cellStyle name="Note 4 4 2" xfId="2736" xr:uid="{00000000-0005-0000-0000-000083090000}"/>
    <cellStyle name="Note 4 4 2 2" xfId="3117" xr:uid="{00000000-0005-0000-0000-0000790A0000}"/>
    <cellStyle name="Note 4 4 3" xfId="4772" xr:uid="{A923B78C-FB4A-4279-9CBF-7FC3D62D8997}"/>
    <cellStyle name="Note 4 4 4" xfId="4830" xr:uid="{33ADD8BE-4A0C-4D95-8745-3CFBDC204311}"/>
    <cellStyle name="Note 4 5" xfId="2291" xr:uid="{00000000-0005-0000-0000-000084090000}"/>
    <cellStyle name="Note 4 5 2" xfId="2737" xr:uid="{00000000-0005-0000-0000-000085090000}"/>
    <cellStyle name="Note 4 5 2 2" xfId="3116" xr:uid="{00000000-0005-0000-0000-00007C0A0000}"/>
    <cellStyle name="Note 4 5 3" xfId="4771" xr:uid="{D5D0A689-51C1-4C1D-AA9D-93C4FE9736ED}"/>
    <cellStyle name="Note 4 5 4" xfId="5133" xr:uid="{971E35C7-EE77-4AEF-8717-E93678A2910E}"/>
    <cellStyle name="Note 4 6" xfId="2292" xr:uid="{00000000-0005-0000-0000-000086090000}"/>
    <cellStyle name="Note 4 6 2" xfId="2738" xr:uid="{00000000-0005-0000-0000-000087090000}"/>
    <cellStyle name="Note 4 6 2 2" xfId="3115" xr:uid="{00000000-0005-0000-0000-00007F0A0000}"/>
    <cellStyle name="Note 4 6 3" xfId="4678" xr:uid="{8A2B0B1C-AC21-4A74-88DB-A3E6DDAD4CDD}"/>
    <cellStyle name="Note 4 6 4" xfId="4639" xr:uid="{F5DAF330-D0C6-4C02-969C-342BEA2477D5}"/>
    <cellStyle name="Note 4 7" xfId="2293" xr:uid="{00000000-0005-0000-0000-000088090000}"/>
    <cellStyle name="Note 4 7 2" xfId="2739" xr:uid="{00000000-0005-0000-0000-000089090000}"/>
    <cellStyle name="Note 4 7 2 2" xfId="3114" xr:uid="{00000000-0005-0000-0000-0000820A0000}"/>
    <cellStyle name="Note 4 7 3" xfId="5058" xr:uid="{7E575C82-7360-4C3A-A89D-6501D3FEF20B}"/>
    <cellStyle name="Note 4 7 4" xfId="5194" xr:uid="{1F5D1420-AFD2-4D18-A2B4-5D0EADF0AEEC}"/>
    <cellStyle name="Note 4 8" xfId="2287" xr:uid="{00000000-0005-0000-0000-00008A090000}"/>
    <cellStyle name="Note 4 8 2" xfId="2733" xr:uid="{00000000-0005-0000-0000-00008B090000}"/>
    <cellStyle name="Note 4 8 2 2" xfId="3120" xr:uid="{00000000-0005-0000-0000-0000850A0000}"/>
    <cellStyle name="Note 4 8 3" xfId="5059" xr:uid="{0DCE6EBE-A03F-4E49-8A6D-ADC781C7CDA7}"/>
    <cellStyle name="Note 4 8 4" xfId="4615" xr:uid="{0869B141-3B08-4DDE-9EB4-C1B9AF759FB5}"/>
    <cellStyle name="Note 4 9" xfId="2568" xr:uid="{00000000-0005-0000-0000-00008C090000}"/>
    <cellStyle name="Note 4 9 2" xfId="3285" xr:uid="{00000000-0005-0000-0000-0000870A0000}"/>
    <cellStyle name="Note 5" xfId="224" xr:uid="{00000000-0005-0000-0000-00008D090000}"/>
    <cellStyle name="Note 5 2" xfId="2294" xr:uid="{00000000-0005-0000-0000-00008E090000}"/>
    <cellStyle name="Note 5 2 2" xfId="2740" xr:uid="{00000000-0005-0000-0000-00008F090000}"/>
    <cellStyle name="Note 5 2 2 2" xfId="3113" xr:uid="{00000000-0005-0000-0000-00008B0A0000}"/>
    <cellStyle name="Note 5 2 3" xfId="4677" xr:uid="{6764330D-F373-474E-9ADE-EF39EBB4D35A}"/>
    <cellStyle name="Note 5 2 4" xfId="4758" xr:uid="{F396E118-6EF0-43F1-93C3-4E685A375100}"/>
    <cellStyle name="Note 5 3" xfId="2295" xr:uid="{00000000-0005-0000-0000-000090090000}"/>
    <cellStyle name="Note 5 3 2" xfId="2741" xr:uid="{00000000-0005-0000-0000-000091090000}"/>
    <cellStyle name="Note 5 3 2 2" xfId="3112" xr:uid="{00000000-0005-0000-0000-00008E0A0000}"/>
    <cellStyle name="Note 5 3 3" xfId="5129" xr:uid="{57EA5DFA-0092-4BA2-93B8-BC2F0E3B6D74}"/>
    <cellStyle name="Note 5 3 4" xfId="4754" xr:uid="{E504F088-96B6-4299-81A1-558E98864AA5}"/>
    <cellStyle name="Note 5 4" xfId="2296" xr:uid="{00000000-0005-0000-0000-000092090000}"/>
    <cellStyle name="Note 5 4 2" xfId="2742" xr:uid="{00000000-0005-0000-0000-000093090000}"/>
    <cellStyle name="Note 5 4 2 2" xfId="3111" xr:uid="{00000000-0005-0000-0000-0000910A0000}"/>
    <cellStyle name="Note 5 4 3" xfId="5135" xr:uid="{85ABEC62-42B0-4624-A5D9-DDB36E2D39AA}"/>
    <cellStyle name="Note 5 4 4" xfId="4755" xr:uid="{A3C7BD7D-0D9C-4F09-876A-24CB4FE3EB89}"/>
    <cellStyle name="Note 5 5" xfId="2297" xr:uid="{00000000-0005-0000-0000-000094090000}"/>
    <cellStyle name="Note 5 5 2" xfId="2743" xr:uid="{00000000-0005-0000-0000-000095090000}"/>
    <cellStyle name="Note 5 5 2 2" xfId="3110" xr:uid="{00000000-0005-0000-0000-0000940A0000}"/>
    <cellStyle name="Note 5 5 3" xfId="5096" xr:uid="{4FC412A8-F75E-4FE0-A4CD-00D7B4DB4EC9}"/>
    <cellStyle name="Note 5 5 4" xfId="4737" xr:uid="{37DA18E5-D2EF-42B2-B30B-E10ECDFCE215}"/>
    <cellStyle name="Note 5 6" xfId="2298" xr:uid="{00000000-0005-0000-0000-000096090000}"/>
    <cellStyle name="Note 5 6 2" xfId="2744" xr:uid="{00000000-0005-0000-0000-000097090000}"/>
    <cellStyle name="Note 5 6 2 2" xfId="3109" xr:uid="{00000000-0005-0000-0000-0000970A0000}"/>
    <cellStyle name="Note 5 6 3" xfId="5095" xr:uid="{9D62C1E7-0C61-4638-94FE-B1C00620A9A7}"/>
    <cellStyle name="Note 5 6 4" xfId="4953" xr:uid="{D518B221-2F43-4A7E-8BC0-3301E6A55083}"/>
    <cellStyle name="Note 5 7" xfId="2569" xr:uid="{00000000-0005-0000-0000-000098090000}"/>
    <cellStyle name="Note 5 7 2" xfId="3284" xr:uid="{00000000-0005-0000-0000-0000990A0000}"/>
    <cellStyle name="Note 5 8" xfId="4724" xr:uid="{529AA874-0BA6-4BCB-8856-2E710D4ECFEB}"/>
    <cellStyle name="Note 5 9" xfId="4971" xr:uid="{A9F0CA2A-4485-42DF-94A7-B73DE9904C97}"/>
    <cellStyle name="Note 6" xfId="225" xr:uid="{00000000-0005-0000-0000-000099090000}"/>
    <cellStyle name="Note 6 2" xfId="2299" xr:uid="{00000000-0005-0000-0000-00009A090000}"/>
    <cellStyle name="Note 6 2 2" xfId="2745" xr:uid="{00000000-0005-0000-0000-00009B090000}"/>
    <cellStyle name="Note 6 2 2 2" xfId="3108" xr:uid="{00000000-0005-0000-0000-00009D0A0000}"/>
    <cellStyle name="Note 6 2 3" xfId="4777" xr:uid="{66FBF756-2E2E-4544-A93C-C1508CF94B93}"/>
    <cellStyle name="Note 6 2 4" xfId="4954" xr:uid="{02B80CEE-3CB1-4C82-8604-C86B3CA44066}"/>
    <cellStyle name="Note 6 3" xfId="2300" xr:uid="{00000000-0005-0000-0000-00009C090000}"/>
    <cellStyle name="Note 6 3 2" xfId="2746" xr:uid="{00000000-0005-0000-0000-00009D090000}"/>
    <cellStyle name="Note 6 3 2 2" xfId="3107" xr:uid="{00000000-0005-0000-0000-0000A00A0000}"/>
    <cellStyle name="Note 6 3 3" xfId="5143" xr:uid="{44327D73-70DD-4AE2-ABE7-C6790D6544B1}"/>
    <cellStyle name="Note 6 3 4" xfId="4756" xr:uid="{F24E3218-59DB-49DF-8C4D-2C68B56BC477}"/>
    <cellStyle name="Note 6 4" xfId="2301" xr:uid="{00000000-0005-0000-0000-00009E090000}"/>
    <cellStyle name="Note 6 4 2" xfId="2747" xr:uid="{00000000-0005-0000-0000-00009F090000}"/>
    <cellStyle name="Note 6 4 2 2" xfId="3106" xr:uid="{00000000-0005-0000-0000-0000A30A0000}"/>
    <cellStyle name="Note 6 4 3" xfId="4770" xr:uid="{94978255-BB85-46FA-A808-E06057FEAF3F}"/>
    <cellStyle name="Note 6 4 4" xfId="5055" xr:uid="{DBEDD2EE-16F9-4A9D-92A6-038F85A12DE1}"/>
    <cellStyle name="Note 6 5" xfId="2302" xr:uid="{00000000-0005-0000-0000-0000A0090000}"/>
    <cellStyle name="Note 6 5 2" xfId="2748" xr:uid="{00000000-0005-0000-0000-0000A1090000}"/>
    <cellStyle name="Note 6 5 2 2" xfId="3105" xr:uid="{00000000-0005-0000-0000-0000A60A0000}"/>
    <cellStyle name="Note 6 5 3" xfId="5094" xr:uid="{F2E9D045-237C-46C6-A71E-9B8F57E2FD10}"/>
    <cellStyle name="Note 6 5 4" xfId="5138" xr:uid="{7CA0258E-5A00-4731-8229-26FBF1F2626A}"/>
    <cellStyle name="Note 6 6" xfId="2303" xr:uid="{00000000-0005-0000-0000-0000A2090000}"/>
    <cellStyle name="Note 6 6 2" xfId="2749" xr:uid="{00000000-0005-0000-0000-0000A3090000}"/>
    <cellStyle name="Note 6 6 2 2" xfId="3104" xr:uid="{00000000-0005-0000-0000-0000A90A0000}"/>
    <cellStyle name="Note 6 6 3" xfId="5093" xr:uid="{F569ECB8-A4F7-4825-B2FB-E73A533EDD39}"/>
    <cellStyle name="Note 6 6 4" xfId="4956" xr:uid="{1E77299B-630D-4487-AB61-99C6BE6BC829}"/>
    <cellStyle name="Note 6 7" xfId="2570" xr:uid="{00000000-0005-0000-0000-0000A4090000}"/>
    <cellStyle name="Note 6 7 2" xfId="3283" xr:uid="{00000000-0005-0000-0000-0000AB0A0000}"/>
    <cellStyle name="Note 6 8" xfId="4977" xr:uid="{A814C729-1330-4578-AA0C-084348889385}"/>
    <cellStyle name="Note 6 9" xfId="4873" xr:uid="{673225CD-DAF7-4EF3-B11B-7E2CF7F1C434}"/>
    <cellStyle name="Note 7" xfId="226" xr:uid="{00000000-0005-0000-0000-0000A5090000}"/>
    <cellStyle name="Note 7 2" xfId="2304" xr:uid="{00000000-0005-0000-0000-0000A6090000}"/>
    <cellStyle name="Note 7 2 2" xfId="2750" xr:uid="{00000000-0005-0000-0000-0000A7090000}"/>
    <cellStyle name="Note 7 2 2 2" xfId="3103" xr:uid="{00000000-0005-0000-0000-0000AF0A0000}"/>
    <cellStyle name="Note 7 2 3" xfId="4769" xr:uid="{88EE501B-F8B5-4282-8326-730B58CE220F}"/>
    <cellStyle name="Note 7 2 4" xfId="4757" xr:uid="{DCF51320-F287-4745-91E0-EE75DC266419}"/>
    <cellStyle name="Note 7 3" xfId="2305" xr:uid="{00000000-0005-0000-0000-0000A8090000}"/>
    <cellStyle name="Note 7 3 2" xfId="2751" xr:uid="{00000000-0005-0000-0000-0000A9090000}"/>
    <cellStyle name="Note 7 3 2 2" xfId="3102" xr:uid="{00000000-0005-0000-0000-0000B20A0000}"/>
    <cellStyle name="Note 7 3 3" xfId="4768" xr:uid="{FF218C5B-5CA9-4C24-A518-52DD11D22712}"/>
    <cellStyle name="Note 7 3 4" xfId="4957" xr:uid="{0769D210-AECB-41CF-89D7-252365795930}"/>
    <cellStyle name="Note 7 4" xfId="2306" xr:uid="{00000000-0005-0000-0000-0000AA090000}"/>
    <cellStyle name="Note 7 4 2" xfId="2752" xr:uid="{00000000-0005-0000-0000-0000AB090000}"/>
    <cellStyle name="Note 7 4 2 2" xfId="3101" xr:uid="{00000000-0005-0000-0000-0000B50A0000}"/>
    <cellStyle name="Note 7 4 3" xfId="5092" xr:uid="{53D623B7-EB58-439E-B8A1-C9257596E170}"/>
    <cellStyle name="Note 7 4 4" xfId="4829" xr:uid="{DF55CE56-378C-48F9-A8E3-650F5C17690C}"/>
    <cellStyle name="Note 7 5" xfId="2307" xr:uid="{00000000-0005-0000-0000-0000AC090000}"/>
    <cellStyle name="Note 7 5 2" xfId="2753" xr:uid="{00000000-0005-0000-0000-0000AD090000}"/>
    <cellStyle name="Note 7 5 2 2" xfId="3100" xr:uid="{00000000-0005-0000-0000-0000B80A0000}"/>
    <cellStyle name="Note 7 5 3" xfId="4767" xr:uid="{22255139-B5E0-4C17-AD0C-9983CDE21FBA}"/>
    <cellStyle name="Note 7 5 4" xfId="5196" xr:uid="{14EBD7B9-2500-41AB-B088-68352648BCB7}"/>
    <cellStyle name="Note 7 6" xfId="2308" xr:uid="{00000000-0005-0000-0000-0000AE090000}"/>
    <cellStyle name="Note 7 6 2" xfId="2754" xr:uid="{00000000-0005-0000-0000-0000AF090000}"/>
    <cellStyle name="Note 7 6 2 2" xfId="3099" xr:uid="{00000000-0005-0000-0000-0000BB0A0000}"/>
    <cellStyle name="Note 7 6 3" xfId="4766" xr:uid="{148A55E9-7E6D-43DF-9CE7-D4C6FA92E7B6}"/>
    <cellStyle name="Note 7 6 4" xfId="4738" xr:uid="{67916ED8-67A4-4ECC-BC52-2989ECE23E12}"/>
    <cellStyle name="Note 7 7" xfId="2571" xr:uid="{00000000-0005-0000-0000-0000B0090000}"/>
    <cellStyle name="Note 7 7 2" xfId="3282" xr:uid="{00000000-0005-0000-0000-0000BD0A0000}"/>
    <cellStyle name="Note 7 8" xfId="4702" xr:uid="{C87F20FB-F89A-4B41-8492-2815B478F0F5}"/>
    <cellStyle name="Note 7 9" xfId="4874" xr:uid="{4547F05D-DE7A-44DE-8040-B0B6214B0A62}"/>
    <cellStyle name="Note 8 2" xfId="2309" xr:uid="{00000000-0005-0000-0000-0000B1090000}"/>
    <cellStyle name="Note 8 2 2" xfId="2755" xr:uid="{00000000-0005-0000-0000-0000B2090000}"/>
    <cellStyle name="Note 8 2 2 2" xfId="3098" xr:uid="{00000000-0005-0000-0000-0000C00A0000}"/>
    <cellStyle name="Note 8 2 3" xfId="4675" xr:uid="{E8D17232-B827-4F8D-8C98-1C5719CABECC}"/>
    <cellStyle name="Note 8 2 4" xfId="4951" xr:uid="{509ABB4B-A115-42A5-A7A4-2019F2F6625E}"/>
    <cellStyle name="Note 8 3" xfId="2310" xr:uid="{00000000-0005-0000-0000-0000B3090000}"/>
    <cellStyle name="Note 8 3 2" xfId="2756" xr:uid="{00000000-0005-0000-0000-0000B4090000}"/>
    <cellStyle name="Note 8 3 2 2" xfId="3097" xr:uid="{00000000-0005-0000-0000-0000C30A0000}"/>
    <cellStyle name="Note 8 3 3" xfId="5126" xr:uid="{CDE41565-17A8-4AB6-9E71-FDFD6AC5AB9D}"/>
    <cellStyle name="Note 8 3 4" xfId="5062" xr:uid="{08C4BC93-12E7-4476-8C5B-88504E710D2A}"/>
    <cellStyle name="Note 8 4" xfId="2311" xr:uid="{00000000-0005-0000-0000-0000B5090000}"/>
    <cellStyle name="Note 8 4 2" xfId="2757" xr:uid="{00000000-0005-0000-0000-0000B6090000}"/>
    <cellStyle name="Note 8 4 2 2" xfId="3096" xr:uid="{00000000-0005-0000-0000-0000C60A0000}"/>
    <cellStyle name="Note 8 4 3" xfId="5142" xr:uid="{9CF9C305-74FD-4527-BB1C-851BBAE653DA}"/>
    <cellStyle name="Note 8 4 4" xfId="5045" xr:uid="{E6D82735-7A50-49EF-98FA-E11717B07244}"/>
    <cellStyle name="Note 8 5" xfId="2312" xr:uid="{00000000-0005-0000-0000-0000B7090000}"/>
    <cellStyle name="Note 8 5 2" xfId="2758" xr:uid="{00000000-0005-0000-0000-0000B8090000}"/>
    <cellStyle name="Note 8 5 2 2" xfId="3095" xr:uid="{00000000-0005-0000-0000-0000C90A0000}"/>
    <cellStyle name="Note 8 5 3" xfId="4765" xr:uid="{D383BC03-0000-4499-941B-6B586C81AFD1}"/>
    <cellStyle name="Note 8 5 4" xfId="4958" xr:uid="{36334524-D597-40C0-8FE0-41AE39E763CB}"/>
    <cellStyle name="Note 8 6" xfId="2313" xr:uid="{00000000-0005-0000-0000-0000B9090000}"/>
    <cellStyle name="Note 8 6 2" xfId="2759" xr:uid="{00000000-0005-0000-0000-0000BA090000}"/>
    <cellStyle name="Note 8 6 2 2" xfId="3094" xr:uid="{00000000-0005-0000-0000-0000CC0A0000}"/>
    <cellStyle name="Note 8 6 3" xfId="5134" xr:uid="{B019E5A4-163B-4C84-8D31-7FA1512B6672}"/>
    <cellStyle name="Note 8 6 4" xfId="4616" xr:uid="{72EBC2D2-7FFB-4C9C-B4B3-BEFADA91AE05}"/>
    <cellStyle name="Note 9 2" xfId="2314" xr:uid="{00000000-0005-0000-0000-0000BB090000}"/>
    <cellStyle name="Note 9 2 2" xfId="2760" xr:uid="{00000000-0005-0000-0000-0000BC090000}"/>
    <cellStyle name="Note 9 2 2 2" xfId="3093" xr:uid="{00000000-0005-0000-0000-0000CF0A0000}"/>
    <cellStyle name="Note 9 2 3" xfId="5057" xr:uid="{3578E1CD-5326-4230-A79A-BB53CFFAE03D}"/>
    <cellStyle name="Note 9 2 4" xfId="4959" xr:uid="{94199F02-432C-4B19-96A6-CA2099A7FCDB}"/>
    <cellStyle name="Note 9 3" xfId="2315" xr:uid="{00000000-0005-0000-0000-0000BD090000}"/>
    <cellStyle name="Note 9 3 2" xfId="2761" xr:uid="{00000000-0005-0000-0000-0000BE090000}"/>
    <cellStyle name="Note 9 3 2 2" xfId="3092" xr:uid="{00000000-0005-0000-0000-0000D20A0000}"/>
    <cellStyle name="Note 9 3 3" xfId="4763" xr:uid="{65AF9BBD-9F28-419B-95BB-ED0579A7E35E}"/>
    <cellStyle name="Note 9 3 4" xfId="4955" xr:uid="{43EF825A-D9A7-4067-9DAE-5553E8FB7895}"/>
    <cellStyle name="Note 9 4" xfId="2316" xr:uid="{00000000-0005-0000-0000-0000BF090000}"/>
    <cellStyle name="Note 9 4 2" xfId="2762" xr:uid="{00000000-0005-0000-0000-0000C0090000}"/>
    <cellStyle name="Note 9 4 2 2" xfId="3091" xr:uid="{00000000-0005-0000-0000-0000D50A0000}"/>
    <cellStyle name="Note 9 4 3" xfId="4764" xr:uid="{68AD0814-8A10-40C7-8C55-8A017EDDEDF6}"/>
    <cellStyle name="Note 9 4 4" xfId="4739" xr:uid="{F348E206-21BC-4567-8281-B5E1C23C61CA}"/>
    <cellStyle name="Note 9 5" xfId="2317" xr:uid="{00000000-0005-0000-0000-0000C1090000}"/>
    <cellStyle name="Note 9 5 2" xfId="2763" xr:uid="{00000000-0005-0000-0000-0000C2090000}"/>
    <cellStyle name="Note 9 5 2 2" xfId="3090" xr:uid="{00000000-0005-0000-0000-0000D80A0000}"/>
    <cellStyle name="Note 9 5 3" xfId="4762" xr:uid="{5378537C-1AF6-4F6E-8DB8-45CAE7D24305}"/>
    <cellStyle name="Note 9 5 4" xfId="4700" xr:uid="{71C5BA0A-89C4-47CF-ABA4-63E17BA22849}"/>
    <cellStyle name="Note 9 6" xfId="2318" xr:uid="{00000000-0005-0000-0000-0000C3090000}"/>
    <cellStyle name="Note 9 6 2" xfId="2764" xr:uid="{00000000-0005-0000-0000-0000C4090000}"/>
    <cellStyle name="Note 9 6 2 2" xfId="3089" xr:uid="{00000000-0005-0000-0000-0000DB0A0000}"/>
    <cellStyle name="Note 9 6 3" xfId="4761" xr:uid="{C77B55BF-B303-423F-BADF-002D5332AD7D}"/>
    <cellStyle name="Note 9 6 4" xfId="4741" xr:uid="{56D970D0-8B98-42EA-BFDC-8A9304516B99}"/>
    <cellStyle name="Number" xfId="227" xr:uid="{00000000-0005-0000-0000-0000C5090000}"/>
    <cellStyle name="Output 10 2" xfId="2319" xr:uid="{00000000-0005-0000-0000-0000C6090000}"/>
    <cellStyle name="Output 10 2 2" xfId="2552" xr:uid="{00000000-0005-0000-0000-0000C7090000}"/>
    <cellStyle name="Output 10 2 2 2" xfId="3301" xr:uid="{00000000-0005-0000-0000-0000DF0A0000}"/>
    <cellStyle name="Output 10 2 3" xfId="3417" xr:uid="{00000000-0005-0000-0000-0000E00A0000}"/>
    <cellStyle name="Output 10 2 4" xfId="4667" xr:uid="{A21B2BBD-612C-47E1-9AE5-C3226C41DB3B}"/>
    <cellStyle name="Output 10 2 5" xfId="4871" xr:uid="{097EAEDA-C0AE-4AD3-A343-04BA66715DB5}"/>
    <cellStyle name="Output 10 3" xfId="2320" xr:uid="{00000000-0005-0000-0000-0000C8090000}"/>
    <cellStyle name="Output 10 3 2" xfId="2601" xr:uid="{00000000-0005-0000-0000-0000C9090000}"/>
    <cellStyle name="Output 10 3 2 2" xfId="3252" xr:uid="{00000000-0005-0000-0000-0000E30A0000}"/>
    <cellStyle name="Output 10 3 3" xfId="3416" xr:uid="{00000000-0005-0000-0000-0000E40A0000}"/>
    <cellStyle name="Output 10 3 4" xfId="4984" xr:uid="{37D43709-8175-4771-AC5D-B079B0B7AFC3}"/>
    <cellStyle name="Output 10 3 5" xfId="4723" xr:uid="{ED6F581D-D4F4-480E-8CBF-B44B65084173}"/>
    <cellStyle name="Output 10 4" xfId="2321" xr:uid="{00000000-0005-0000-0000-0000CA090000}"/>
    <cellStyle name="Output 10 4 2" xfId="2602" xr:uid="{00000000-0005-0000-0000-0000CB090000}"/>
    <cellStyle name="Output 10 4 2 2" xfId="3251" xr:uid="{00000000-0005-0000-0000-0000E70A0000}"/>
    <cellStyle name="Output 10 4 3" xfId="3415" xr:uid="{00000000-0005-0000-0000-0000E80A0000}"/>
    <cellStyle name="Output 10 4 4" xfId="4705" xr:uid="{3A214B7F-0BCE-43E2-AD18-BE59D62DC167}"/>
    <cellStyle name="Output 10 4 5" xfId="4870" xr:uid="{24D7BDF1-5557-4B72-A783-EB4361A1CA7B}"/>
    <cellStyle name="Output 10 5" xfId="2322" xr:uid="{00000000-0005-0000-0000-0000CC090000}"/>
    <cellStyle name="Output 10 5 2" xfId="2553" xr:uid="{00000000-0005-0000-0000-0000CD090000}"/>
    <cellStyle name="Output 10 5 2 2" xfId="3300" xr:uid="{00000000-0005-0000-0000-0000EB0A0000}"/>
    <cellStyle name="Output 10 5 3" xfId="3414" xr:uid="{00000000-0005-0000-0000-0000EC0A0000}"/>
    <cellStyle name="Output 10 5 4" xfId="4985" xr:uid="{3FA59252-B864-41F0-AED6-9AB56222761E}"/>
    <cellStyle name="Output 10 5 5" xfId="4869" xr:uid="{F28C7E96-8320-4AAF-A7F0-525501EF712B}"/>
    <cellStyle name="Output 10 6" xfId="2323" xr:uid="{00000000-0005-0000-0000-0000CE090000}"/>
    <cellStyle name="Output 10 6 2" xfId="2551" xr:uid="{00000000-0005-0000-0000-0000CF090000}"/>
    <cellStyle name="Output 10 6 2 2" xfId="3302" xr:uid="{00000000-0005-0000-0000-0000EF0A0000}"/>
    <cellStyle name="Output 10 6 3" xfId="3413" xr:uid="{00000000-0005-0000-0000-0000F00A0000}"/>
    <cellStyle name="Output 10 6 4" xfId="4986" xr:uid="{B0913A3B-7EF7-412A-A546-CABCD8A30C86}"/>
    <cellStyle name="Output 10 6 5" xfId="4868" xr:uid="{86574A11-89C3-4DD5-BBB7-8ABC368FA077}"/>
    <cellStyle name="Output 11 2" xfId="2324" xr:uid="{00000000-0005-0000-0000-0000D0090000}"/>
    <cellStyle name="Output 11 2 2" xfId="2550" xr:uid="{00000000-0005-0000-0000-0000D1090000}"/>
    <cellStyle name="Output 11 2 2 2" xfId="3303" xr:uid="{00000000-0005-0000-0000-0000F30A0000}"/>
    <cellStyle name="Output 11 2 3" xfId="3412" xr:uid="{00000000-0005-0000-0000-0000F40A0000}"/>
    <cellStyle name="Output 11 2 4" xfId="4987" xr:uid="{D84DECE6-2832-4A82-8C61-F572CE69EFBD}"/>
    <cellStyle name="Output 11 2 5" xfId="4872" xr:uid="{A8D72C33-9BC5-4C4B-9224-3F2E29504691}"/>
    <cellStyle name="Output 11 3" xfId="2325" xr:uid="{00000000-0005-0000-0000-0000D2090000}"/>
    <cellStyle name="Output 11 3 2" xfId="2549" xr:uid="{00000000-0005-0000-0000-0000D3090000}"/>
    <cellStyle name="Output 11 3 2 2" xfId="3304" xr:uid="{00000000-0005-0000-0000-0000F70A0000}"/>
    <cellStyle name="Output 11 3 3" xfId="3411" xr:uid="{00000000-0005-0000-0000-0000F80A0000}"/>
    <cellStyle name="Output 11 3 4" xfId="4988" xr:uid="{83AA77DA-FB9D-45B1-832C-0AA2632836EC}"/>
    <cellStyle name="Output 11 3 5" xfId="4983" xr:uid="{462520F2-975B-4ADD-BF16-8FD8654666E5}"/>
    <cellStyle name="Output 11 4" xfId="2326" xr:uid="{00000000-0005-0000-0000-0000D4090000}"/>
    <cellStyle name="Output 11 4 2" xfId="2548" xr:uid="{00000000-0005-0000-0000-0000D5090000}"/>
    <cellStyle name="Output 11 4 2 2" xfId="3305" xr:uid="{00000000-0005-0000-0000-0000FB0A0000}"/>
    <cellStyle name="Output 11 4 3" xfId="3410" xr:uid="{00000000-0005-0000-0000-0000FC0A0000}"/>
    <cellStyle name="Output 11 4 4" xfId="4989" xr:uid="{D9994187-96B8-40C9-8379-D5F9BEF54B48}"/>
    <cellStyle name="Output 11 4 5" xfId="5046" xr:uid="{D7A1C67D-F1AF-4A72-A844-326487871283}"/>
    <cellStyle name="Output 11 5" xfId="2327" xr:uid="{00000000-0005-0000-0000-0000D6090000}"/>
    <cellStyle name="Output 11 5 2" xfId="2547" xr:uid="{00000000-0005-0000-0000-0000D7090000}"/>
    <cellStyle name="Output 11 5 2 2" xfId="3306" xr:uid="{00000000-0005-0000-0000-0000FF0A0000}"/>
    <cellStyle name="Output 11 5 3" xfId="3409" xr:uid="{00000000-0005-0000-0000-0000000B0000}"/>
    <cellStyle name="Output 11 5 4" xfId="4625" xr:uid="{BBE2AC5F-8DC4-400A-81CA-030A8FF01772}"/>
    <cellStyle name="Output 11 5 5" xfId="4867" xr:uid="{BD5F7246-59D9-43B0-AD7D-8DC36F897A03}"/>
    <cellStyle name="Output 11 6" xfId="2328" xr:uid="{00000000-0005-0000-0000-0000D8090000}"/>
    <cellStyle name="Output 11 6 2" xfId="2600" xr:uid="{00000000-0005-0000-0000-0000D9090000}"/>
    <cellStyle name="Output 11 6 2 2" xfId="3253" xr:uid="{00000000-0005-0000-0000-0000030B0000}"/>
    <cellStyle name="Output 11 6 3" xfId="3408" xr:uid="{00000000-0005-0000-0000-0000040B0000}"/>
    <cellStyle name="Output 11 6 4" xfId="4624" xr:uid="{90934E3C-EF28-4ABC-89AB-A018266B8C0C}"/>
    <cellStyle name="Output 11 6 5" xfId="4866" xr:uid="{1CAF3F1B-154E-47D4-BAB2-85F13DFA91CE}"/>
    <cellStyle name="Output 2" xfId="228" xr:uid="{00000000-0005-0000-0000-0000DA090000}"/>
    <cellStyle name="Output 2 10" xfId="4760" xr:uid="{091AD4D7-8F71-4F08-B0BF-279FB90EB507}"/>
    <cellStyle name="Output 2 2" xfId="2329" xr:uid="{00000000-0005-0000-0000-0000DB090000}"/>
    <cellStyle name="Output 2 2 2" xfId="2599" xr:uid="{00000000-0005-0000-0000-0000DC090000}"/>
    <cellStyle name="Output 2 2 2 2" xfId="3254" xr:uid="{00000000-0005-0000-0000-0000080B0000}"/>
    <cellStyle name="Output 2 2 3" xfId="3407" xr:uid="{00000000-0005-0000-0000-0000090B0000}"/>
    <cellStyle name="Output 2 2 4" xfId="4706" xr:uid="{F55E1443-7C8D-4469-96D1-A154BCEBD352}"/>
    <cellStyle name="Output 2 2 5" xfId="5163" xr:uid="{FEE3B75C-9650-42AE-90B7-51F60EB313E8}"/>
    <cellStyle name="Output 2 3" xfId="2330" xr:uid="{00000000-0005-0000-0000-0000DD090000}"/>
    <cellStyle name="Output 2 3 2" xfId="2598" xr:uid="{00000000-0005-0000-0000-0000DE090000}"/>
    <cellStyle name="Output 2 3 2 2" xfId="3255" xr:uid="{00000000-0005-0000-0000-00000C0B0000}"/>
    <cellStyle name="Output 2 3 3" xfId="3406" xr:uid="{00000000-0005-0000-0000-00000D0B0000}"/>
    <cellStyle name="Output 2 3 4" xfId="4992" xr:uid="{AB52CA4E-4B3C-42F3-A93F-22A0B139F993}"/>
    <cellStyle name="Output 2 3 5" xfId="5162" xr:uid="{CDFC5E9B-8895-441F-B454-EE2D12C0212A}"/>
    <cellStyle name="Output 2 3 6" xfId="4563" xr:uid="{8F01F1AA-29E1-4E31-9C75-52003A3F5138}"/>
    <cellStyle name="Output 2 3 7" xfId="4263" xr:uid="{F45D909D-960C-4B78-BD8D-F54B528D1EEC}"/>
    <cellStyle name="Output 2 4" xfId="2331" xr:uid="{00000000-0005-0000-0000-0000DF090000}"/>
    <cellStyle name="Output 2 4 2" xfId="2597" xr:uid="{00000000-0005-0000-0000-0000E0090000}"/>
    <cellStyle name="Output 2 4 2 2" xfId="3256" xr:uid="{00000000-0005-0000-0000-0000100B0000}"/>
    <cellStyle name="Output 2 4 3" xfId="3405" xr:uid="{00000000-0005-0000-0000-0000110B0000}"/>
    <cellStyle name="Output 2 4 4" xfId="4993" xr:uid="{1D109BF6-5F5A-4858-AA1E-B314F5F0220C}"/>
    <cellStyle name="Output 2 4 5" xfId="5171" xr:uid="{F4FCBB97-B857-4335-A5EA-C6BD1E9DFAE8}"/>
    <cellStyle name="Output 2 4 6" xfId="4564" xr:uid="{A1383D4C-F032-4099-A9F5-5F3D30BDC1E9}"/>
    <cellStyle name="Output 2 4 7" xfId="4262" xr:uid="{DD161D2B-5FE6-43CC-8859-79EF726D25E8}"/>
    <cellStyle name="Output 2 5" xfId="2332" xr:uid="{00000000-0005-0000-0000-0000E1090000}"/>
    <cellStyle name="Output 2 5 2" xfId="2596" xr:uid="{00000000-0005-0000-0000-0000E2090000}"/>
    <cellStyle name="Output 2 5 2 2" xfId="3257" xr:uid="{00000000-0005-0000-0000-0000140B0000}"/>
    <cellStyle name="Output 2 5 3" xfId="3404" xr:uid="{00000000-0005-0000-0000-0000150B0000}"/>
    <cellStyle name="Output 2 5 4" xfId="4994" xr:uid="{675965D1-481F-4585-B579-4C252A25F5F7}"/>
    <cellStyle name="Output 2 5 5" xfId="5074" xr:uid="{D3D9D6FF-C2BE-4153-94C8-6252C38D25B5}"/>
    <cellStyle name="Output 2 5 6" xfId="4565" xr:uid="{C3A5C076-E8D2-4CFA-8E52-2CD4FE72B111}"/>
    <cellStyle name="Output 2 5 7" xfId="4480" xr:uid="{561878D2-A5E5-44A6-AF5B-2A69BC844235}"/>
    <cellStyle name="Output 2 6" xfId="2333" xr:uid="{00000000-0005-0000-0000-0000E3090000}"/>
    <cellStyle name="Output 2 6 2" xfId="2595" xr:uid="{00000000-0005-0000-0000-0000E4090000}"/>
    <cellStyle name="Output 2 6 2 2" xfId="3258" xr:uid="{00000000-0005-0000-0000-0000180B0000}"/>
    <cellStyle name="Output 2 6 3" xfId="3403" xr:uid="{00000000-0005-0000-0000-0000190B0000}"/>
    <cellStyle name="Output 2 6 4" xfId="4995" xr:uid="{D46A4DAC-202F-43DB-8B42-565426F46BA0}"/>
    <cellStyle name="Output 2 6 5" xfId="4634" xr:uid="{64308DD9-58F0-487C-B1B5-5D483B4F0280}"/>
    <cellStyle name="Output 2 6 6" xfId="4566" xr:uid="{C5F0015B-A6A5-4B99-A525-D3FEF62938E1}"/>
    <cellStyle name="Output 2 6 7" xfId="4149" xr:uid="{A9F9ABBE-A041-40B9-AD78-65E010256070}"/>
    <cellStyle name="Output 2 7" xfId="2777" xr:uid="{00000000-0005-0000-0000-0000E5090000}"/>
    <cellStyle name="Output 2 7 2" xfId="3076" xr:uid="{00000000-0005-0000-0000-00001B0B0000}"/>
    <cellStyle name="Output 2 8" xfId="3426" xr:uid="{00000000-0005-0000-0000-00001C0B0000}"/>
    <cellStyle name="Output 2 8 2" xfId="4588" xr:uid="{708504F3-62A2-4A3D-BC6B-9E27E8144CC6}"/>
    <cellStyle name="Output 2 8 3" xfId="4429" xr:uid="{36687B22-7545-41C4-AC6E-0D973B8B6B31}"/>
    <cellStyle name="Output 2 9" xfId="4743" xr:uid="{A1EB0419-6DE3-4EF9-B05D-243F8D104261}"/>
    <cellStyle name="Output 3" xfId="229" xr:uid="{00000000-0005-0000-0000-0000E6090000}"/>
    <cellStyle name="Output 3 10" xfId="3425" xr:uid="{00000000-0005-0000-0000-00001E0B0000}"/>
    <cellStyle name="Output 3 11" xfId="4744" xr:uid="{E0146B0F-6763-43A8-AE2C-EFA51B1E1C07}"/>
    <cellStyle name="Output 3 12" xfId="4965" xr:uid="{84D4766F-9D8C-4FA6-916A-B722BED3E3B3}"/>
    <cellStyle name="Output 3 13" xfId="4467" xr:uid="{4F7E1570-ED8C-4DAB-A0EE-F4D9D980C315}"/>
    <cellStyle name="Output 3 2" xfId="2335" xr:uid="{00000000-0005-0000-0000-0000E7090000}"/>
    <cellStyle name="Output 3 2 2" xfId="2593" xr:uid="{00000000-0005-0000-0000-0000E8090000}"/>
    <cellStyle name="Output 3 2 2 2" xfId="3260" xr:uid="{00000000-0005-0000-0000-0000210B0000}"/>
    <cellStyle name="Output 3 2 3" xfId="3401" xr:uid="{00000000-0005-0000-0000-0000220B0000}"/>
    <cellStyle name="Output 3 2 4" xfId="4990" xr:uid="{FA1EDC0D-9030-4379-AF00-DE10BA472EEA}"/>
    <cellStyle name="Output 3 2 5" xfId="4864" xr:uid="{C51B9819-29B1-462C-AC84-51B8AF0D760B}"/>
    <cellStyle name="Output 3 3" xfId="2336" xr:uid="{00000000-0005-0000-0000-0000E9090000}"/>
    <cellStyle name="Output 3 3 2" xfId="2592" xr:uid="{00000000-0005-0000-0000-0000EA090000}"/>
    <cellStyle name="Output 3 3 2 2" xfId="3261" xr:uid="{00000000-0005-0000-0000-0000250B0000}"/>
    <cellStyle name="Output 3 3 3" xfId="3400" xr:uid="{00000000-0005-0000-0000-0000260B0000}"/>
    <cellStyle name="Output 3 3 4" xfId="4991" xr:uid="{FCB3E163-B17C-46B9-85E3-218CB5C14F80}"/>
    <cellStyle name="Output 3 3 5" xfId="4863" xr:uid="{3DE1F5DF-5C42-40DA-8EFC-C27CE7ED95A0}"/>
    <cellStyle name="Output 3 4" xfId="2337" xr:uid="{00000000-0005-0000-0000-0000EB090000}"/>
    <cellStyle name="Output 3 4 2" xfId="2546" xr:uid="{00000000-0005-0000-0000-0000EC090000}"/>
    <cellStyle name="Output 3 4 2 2" xfId="3307" xr:uid="{00000000-0005-0000-0000-0000290B0000}"/>
    <cellStyle name="Output 3 4 3" xfId="3399" xr:uid="{00000000-0005-0000-0000-00002A0B0000}"/>
    <cellStyle name="Output 3 4 4" xfId="5084" xr:uid="{33D0D165-E75A-4897-A032-CDA4440842AE}"/>
    <cellStyle name="Output 3 4 5" xfId="5161" xr:uid="{DF4AE016-F515-486A-A5C5-CC1A8F38BFED}"/>
    <cellStyle name="Output 3 5" xfId="2338" xr:uid="{00000000-0005-0000-0000-0000ED090000}"/>
    <cellStyle name="Output 3 5 2" xfId="2591" xr:uid="{00000000-0005-0000-0000-0000EE090000}"/>
    <cellStyle name="Output 3 5 2 2" xfId="3262" xr:uid="{00000000-0005-0000-0000-00002D0B0000}"/>
    <cellStyle name="Output 3 5 3" xfId="3398" xr:uid="{00000000-0005-0000-0000-00002E0B0000}"/>
    <cellStyle name="Output 3 5 4" xfId="4626" xr:uid="{5EEFFB52-5F5B-4DB0-BB9F-1EA5C676EA25}"/>
    <cellStyle name="Output 3 5 5" xfId="5160" xr:uid="{89966746-3394-410E-ADEE-F62BD145C5E2}"/>
    <cellStyle name="Output 3 6" xfId="2339" xr:uid="{00000000-0005-0000-0000-0000EF090000}"/>
    <cellStyle name="Output 3 6 2" xfId="2590" xr:uid="{00000000-0005-0000-0000-0000F0090000}"/>
    <cellStyle name="Output 3 6 2 2" xfId="3263" xr:uid="{00000000-0005-0000-0000-0000310B0000}"/>
    <cellStyle name="Output 3 6 3" xfId="3397" xr:uid="{00000000-0005-0000-0000-0000320B0000}"/>
    <cellStyle name="Output 3 6 4" xfId="4998" xr:uid="{494F44D4-3694-4A31-9F09-D4787F61A121}"/>
    <cellStyle name="Output 3 6 5" xfId="5073" xr:uid="{D08F07AE-4478-4A11-B64A-3C0E623E43C0}"/>
    <cellStyle name="Output 3 7" xfId="2340" xr:uid="{00000000-0005-0000-0000-0000F1090000}"/>
    <cellStyle name="Output 3 7 2" xfId="2589" xr:uid="{00000000-0005-0000-0000-0000F2090000}"/>
    <cellStyle name="Output 3 7 2 2" xfId="3264" xr:uid="{00000000-0005-0000-0000-0000350B0000}"/>
    <cellStyle name="Output 3 7 3" xfId="3396" xr:uid="{00000000-0005-0000-0000-0000360B0000}"/>
    <cellStyle name="Output 3 7 4" xfId="4999" xr:uid="{10D3ECF5-ED2D-4D4E-B66A-98D5E88967B0}"/>
    <cellStyle name="Output 3 7 5" xfId="4645" xr:uid="{1A880D75-98F7-4866-A0D1-325E58228EE1}"/>
    <cellStyle name="Output 3 7 6" xfId="4567" xr:uid="{E34D7BDD-A5EA-4BBA-937F-7ADA4E8B18D6}"/>
    <cellStyle name="Output 3 7 7" xfId="4479" xr:uid="{B422401B-7B0A-436D-9ACA-83655E9E7B6B}"/>
    <cellStyle name="Output 3 8" xfId="2334" xr:uid="{00000000-0005-0000-0000-0000F3090000}"/>
    <cellStyle name="Output 3 8 2" xfId="2594" xr:uid="{00000000-0005-0000-0000-0000F4090000}"/>
    <cellStyle name="Output 3 8 2 2" xfId="3259" xr:uid="{00000000-0005-0000-0000-0000390B0000}"/>
    <cellStyle name="Output 3 8 3" xfId="3402" xr:uid="{00000000-0005-0000-0000-00003A0B0000}"/>
    <cellStyle name="Output 3 8 4" xfId="4996" xr:uid="{32F19A0E-60DC-406B-A2F4-B05BD6AF0BA3}"/>
    <cellStyle name="Output 3 8 5" xfId="4715" xr:uid="{FCCB0936-0A86-46A0-A95F-208E333D7A08}"/>
    <cellStyle name="Output 3 9" xfId="2776" xr:uid="{00000000-0005-0000-0000-0000F5090000}"/>
    <cellStyle name="Output 3 9 2" xfId="3077" xr:uid="{00000000-0005-0000-0000-00003C0B0000}"/>
    <cellStyle name="Output 4" xfId="230" xr:uid="{00000000-0005-0000-0000-0000F6090000}"/>
    <cellStyle name="Output 4 10" xfId="3424" xr:uid="{00000000-0005-0000-0000-00003E0B0000}"/>
    <cellStyle name="Output 4 11" xfId="4745" xr:uid="{2F986660-36C4-4FEE-9479-17D7DEAD9941}"/>
    <cellStyle name="Output 4 12" xfId="5139" xr:uid="{28879C6E-A240-4501-8078-F989D6068FD5}"/>
    <cellStyle name="Output 4 2" xfId="2342" xr:uid="{00000000-0005-0000-0000-0000F7090000}"/>
    <cellStyle name="Output 4 2 2" xfId="2587" xr:uid="{00000000-0005-0000-0000-0000F8090000}"/>
    <cellStyle name="Output 4 2 2 2" xfId="3266" xr:uid="{00000000-0005-0000-0000-0000410B0000}"/>
    <cellStyle name="Output 4 2 3" xfId="3394" xr:uid="{00000000-0005-0000-0000-0000420B0000}"/>
    <cellStyle name="Output 4 2 4" xfId="5001" xr:uid="{F83C7A03-2629-4CCB-95BE-0A763AC835C9}"/>
    <cellStyle name="Output 4 2 5" xfId="5047" xr:uid="{230A9B0A-40AB-4266-9029-C8326A7E9ACC}"/>
    <cellStyle name="Output 4 2 6" xfId="4568" xr:uid="{EFFFE4A9-D086-4F16-8915-D90228165F59}"/>
    <cellStyle name="Output 4 2 7" xfId="4478" xr:uid="{BF8928A5-EDE3-4321-B03E-7464CC943A5C}"/>
    <cellStyle name="Output 4 3" xfId="2343" xr:uid="{00000000-0005-0000-0000-0000F9090000}"/>
    <cellStyle name="Output 4 3 2" xfId="2586" xr:uid="{00000000-0005-0000-0000-0000FA090000}"/>
    <cellStyle name="Output 4 3 2 2" xfId="3267" xr:uid="{00000000-0005-0000-0000-0000450B0000}"/>
    <cellStyle name="Output 4 3 3" xfId="3393" xr:uid="{00000000-0005-0000-0000-0000460B0000}"/>
    <cellStyle name="Output 4 3 4" xfId="4707" xr:uid="{8E0D67B5-09DC-4E8F-B5E5-D197084FFE0B}"/>
    <cellStyle name="Output 4 3 5" xfId="4862" xr:uid="{A5F0A20F-7E55-4A48-9E50-F65A6E42FFAC}"/>
    <cellStyle name="Output 4 4" xfId="2344" xr:uid="{00000000-0005-0000-0000-0000FB090000}"/>
    <cellStyle name="Output 4 4 2" xfId="2585" xr:uid="{00000000-0005-0000-0000-0000FC090000}"/>
    <cellStyle name="Output 4 4 2 2" xfId="3268" xr:uid="{00000000-0005-0000-0000-0000490B0000}"/>
    <cellStyle name="Output 4 4 3" xfId="3392" xr:uid="{00000000-0005-0000-0000-00004A0B0000}"/>
    <cellStyle name="Output 4 4 4" xfId="5002" xr:uid="{019EA4DB-BC22-4411-982D-3D00113AA9FD}"/>
    <cellStyle name="Output 4 4 5" xfId="4644" xr:uid="{270ACA95-532C-4F5B-88AA-DEED2736758C}"/>
    <cellStyle name="Output 4 5" xfId="2345" xr:uid="{00000000-0005-0000-0000-0000FD090000}"/>
    <cellStyle name="Output 4 5 2" xfId="2584" xr:uid="{00000000-0005-0000-0000-0000FE090000}"/>
    <cellStyle name="Output 4 5 2 2" xfId="3269" xr:uid="{00000000-0005-0000-0000-00004D0B0000}"/>
    <cellStyle name="Output 4 5 3" xfId="3391" xr:uid="{00000000-0005-0000-0000-00004E0B0000}"/>
    <cellStyle name="Output 4 5 4" xfId="5003" xr:uid="{C2A27A06-24AD-4412-B001-68D3E74127F8}"/>
    <cellStyle name="Output 4 5 5" xfId="5184" xr:uid="{11EB7BA6-66A4-4E3E-9D32-3DB67AFFF399}"/>
    <cellStyle name="Output 4 6" xfId="2346" xr:uid="{00000000-0005-0000-0000-0000FF090000}"/>
    <cellStyle name="Output 4 6 2" xfId="2583" xr:uid="{00000000-0005-0000-0000-0000000A0000}"/>
    <cellStyle name="Output 4 6 2 2" xfId="3270" xr:uid="{00000000-0005-0000-0000-0000510B0000}"/>
    <cellStyle name="Output 4 6 3" xfId="3390" xr:uid="{00000000-0005-0000-0000-0000520B0000}"/>
    <cellStyle name="Output 4 6 4" xfId="4997" xr:uid="{1A373973-C388-4A6D-BA25-74927D4D65B9}"/>
    <cellStyle name="Output 4 6 5" xfId="4861" xr:uid="{1ECD5EB5-4C89-48CA-8BC0-832CFECCD99D}"/>
    <cellStyle name="Output 4 7" xfId="2347" xr:uid="{00000000-0005-0000-0000-0000010A0000}"/>
    <cellStyle name="Output 4 7 2" xfId="2582" xr:uid="{00000000-0005-0000-0000-0000020A0000}"/>
    <cellStyle name="Output 4 7 2 2" xfId="3271" xr:uid="{00000000-0005-0000-0000-0000550B0000}"/>
    <cellStyle name="Output 4 7 3" xfId="3389" xr:uid="{00000000-0005-0000-0000-0000560B0000}"/>
    <cellStyle name="Output 4 7 4" xfId="4627" xr:uid="{64F83CAB-CD4D-4637-A41A-3DF883C4362E}"/>
    <cellStyle name="Output 4 7 5" xfId="4860" xr:uid="{CAD68BB5-57A5-4D38-9DD5-96972AB08903}"/>
    <cellStyle name="Output 4 8" xfId="2341" xr:uid="{00000000-0005-0000-0000-0000030A0000}"/>
    <cellStyle name="Output 4 8 2" xfId="2588" xr:uid="{00000000-0005-0000-0000-0000040A0000}"/>
    <cellStyle name="Output 4 8 2 2" xfId="3265" xr:uid="{00000000-0005-0000-0000-0000590B0000}"/>
    <cellStyle name="Output 4 8 3" xfId="3395" xr:uid="{00000000-0005-0000-0000-00005A0B0000}"/>
    <cellStyle name="Output 4 8 4" xfId="5000" xr:uid="{12E2ADE0-5685-40E5-8B27-D177F8746BDA}"/>
    <cellStyle name="Output 4 8 5" xfId="4865" xr:uid="{B3ED775E-8CA5-4937-AA5D-07AB941A2401}"/>
    <cellStyle name="Output 4 9" xfId="2775" xr:uid="{00000000-0005-0000-0000-0000050A0000}"/>
    <cellStyle name="Output 4 9 2" xfId="3078" xr:uid="{00000000-0005-0000-0000-00005C0B0000}"/>
    <cellStyle name="Output 5" xfId="231" xr:uid="{00000000-0005-0000-0000-0000060A0000}"/>
    <cellStyle name="Output 5 10" xfId="4964" xr:uid="{C9846BD3-42EE-41C5-8A1B-A0AF09C19DAC}"/>
    <cellStyle name="Output 5 2" xfId="2348" xr:uid="{00000000-0005-0000-0000-0000070A0000}"/>
    <cellStyle name="Output 5 2 2" xfId="2545" xr:uid="{00000000-0005-0000-0000-0000080A0000}"/>
    <cellStyle name="Output 5 2 2 2" xfId="3308" xr:uid="{00000000-0005-0000-0000-0000600B0000}"/>
    <cellStyle name="Output 5 2 3" xfId="3388" xr:uid="{00000000-0005-0000-0000-0000610B0000}"/>
    <cellStyle name="Output 5 2 4" xfId="5004" xr:uid="{915B18D7-F15C-4EFB-81DA-441EA29E3D61}"/>
    <cellStyle name="Output 5 2 5" xfId="5083" xr:uid="{641C37DE-41BF-4186-9BAC-6098ADA8FB50}"/>
    <cellStyle name="Output 5 3" xfId="2349" xr:uid="{00000000-0005-0000-0000-0000090A0000}"/>
    <cellStyle name="Output 5 3 2" xfId="2581" xr:uid="{00000000-0005-0000-0000-00000A0A0000}"/>
    <cellStyle name="Output 5 3 2 2" xfId="3272" xr:uid="{00000000-0005-0000-0000-0000640B0000}"/>
    <cellStyle name="Output 5 3 3" xfId="3387" xr:uid="{00000000-0005-0000-0000-0000650B0000}"/>
    <cellStyle name="Output 5 3 4" xfId="4708" xr:uid="{7E08E208-2D98-41C3-8C6D-735DF04F42D6}"/>
    <cellStyle name="Output 5 3 5" xfId="4859" xr:uid="{3A070624-B491-4F88-AB2B-747465EA864C}"/>
    <cellStyle name="Output 5 4" xfId="2350" xr:uid="{00000000-0005-0000-0000-00000B0A0000}"/>
    <cellStyle name="Output 5 4 2" xfId="2580" xr:uid="{00000000-0005-0000-0000-00000C0A0000}"/>
    <cellStyle name="Output 5 4 2 2" xfId="3273" xr:uid="{00000000-0005-0000-0000-0000680B0000}"/>
    <cellStyle name="Output 5 4 3" xfId="3386" xr:uid="{00000000-0005-0000-0000-0000690B0000}"/>
    <cellStyle name="Output 5 4 4" xfId="4668" xr:uid="{4FCD7E16-3C7A-4F0A-B938-55E02472D6CB}"/>
    <cellStyle name="Output 5 4 5" xfId="4858" xr:uid="{0BE7422F-6829-4B26-B6DC-942D9CDF3076}"/>
    <cellStyle name="Output 5 5" xfId="2351" xr:uid="{00000000-0005-0000-0000-00000D0A0000}"/>
    <cellStyle name="Output 5 5 2" xfId="2579" xr:uid="{00000000-0005-0000-0000-00000E0A0000}"/>
    <cellStyle name="Output 5 5 2 2" xfId="3274" xr:uid="{00000000-0005-0000-0000-00006C0B0000}"/>
    <cellStyle name="Output 5 5 3" xfId="3385" xr:uid="{00000000-0005-0000-0000-00006D0B0000}"/>
    <cellStyle name="Output 5 5 4" xfId="5005" xr:uid="{83A3ADDB-AEBF-4C06-95B4-E8D1C791F22C}"/>
    <cellStyle name="Output 5 5 5" xfId="4857" xr:uid="{6C0DC3E4-B86B-4DC6-A727-9AF287F1D4A1}"/>
    <cellStyle name="Output 5 6" xfId="2352" xr:uid="{00000000-0005-0000-0000-00000F0A0000}"/>
    <cellStyle name="Output 5 6 2" xfId="2578" xr:uid="{00000000-0005-0000-0000-0000100A0000}"/>
    <cellStyle name="Output 5 6 2 2" xfId="3275" xr:uid="{00000000-0005-0000-0000-0000700B0000}"/>
    <cellStyle name="Output 5 6 3" xfId="3384" xr:uid="{00000000-0005-0000-0000-0000710B0000}"/>
    <cellStyle name="Output 5 6 4" xfId="5006" xr:uid="{4CDBD569-8F3C-466C-A99C-D6EE84CDB927}"/>
    <cellStyle name="Output 5 6 5" xfId="4856" xr:uid="{46C4CE17-6269-42B1-9BBD-A733D7B21470}"/>
    <cellStyle name="Output 5 7" xfId="2774" xr:uid="{00000000-0005-0000-0000-0000110A0000}"/>
    <cellStyle name="Output 5 7 2" xfId="3079" xr:uid="{00000000-0005-0000-0000-0000730B0000}"/>
    <cellStyle name="Output 5 8" xfId="3423" xr:uid="{00000000-0005-0000-0000-0000740B0000}"/>
    <cellStyle name="Output 5 9" xfId="4674" xr:uid="{970CC187-3DF1-4205-AF31-981E214B9AEE}"/>
    <cellStyle name="Output 6" xfId="232" xr:uid="{00000000-0005-0000-0000-0000120A0000}"/>
    <cellStyle name="Output 6 10" xfId="4618" xr:uid="{4EF7E30B-F47A-43A2-9FF4-77925F2C211F}"/>
    <cellStyle name="Output 6 2" xfId="2353" xr:uid="{00000000-0005-0000-0000-0000130A0000}"/>
    <cellStyle name="Output 6 2 2" xfId="2577" xr:uid="{00000000-0005-0000-0000-0000140A0000}"/>
    <cellStyle name="Output 6 2 2 2" xfId="3276" xr:uid="{00000000-0005-0000-0000-0000780B0000}"/>
    <cellStyle name="Output 6 2 3" xfId="3383" xr:uid="{00000000-0005-0000-0000-0000790B0000}"/>
    <cellStyle name="Output 6 2 4" xfId="5007" xr:uid="{CDBDBB79-9F36-45A4-85BB-A818DEA777EB}"/>
    <cellStyle name="Output 6 2 5" xfId="4855" xr:uid="{63B686C8-5C06-4FD1-BDBC-3B113E167A08}"/>
    <cellStyle name="Output 6 3" xfId="2354" xr:uid="{00000000-0005-0000-0000-0000150A0000}"/>
    <cellStyle name="Output 6 3 2" xfId="2576" xr:uid="{00000000-0005-0000-0000-0000160A0000}"/>
    <cellStyle name="Output 6 3 2 2" xfId="3277" xr:uid="{00000000-0005-0000-0000-00007C0B0000}"/>
    <cellStyle name="Output 6 3 3" xfId="3382" xr:uid="{00000000-0005-0000-0000-00007D0B0000}"/>
    <cellStyle name="Output 6 3 4" xfId="5125" xr:uid="{EFF8DFF7-DE9E-4FBE-8F37-F19BC8791A9A}"/>
    <cellStyle name="Output 6 3 5" xfId="4621" xr:uid="{31491836-B161-4622-B222-B5E3E88CCBFF}"/>
    <cellStyle name="Output 6 4" xfId="2355" xr:uid="{00000000-0005-0000-0000-0000170A0000}"/>
    <cellStyle name="Output 6 4 2" xfId="2575" xr:uid="{00000000-0005-0000-0000-0000180A0000}"/>
    <cellStyle name="Output 6 4 2 2" xfId="3278" xr:uid="{00000000-0005-0000-0000-0000800B0000}"/>
    <cellStyle name="Output 6 4 3" xfId="3381" xr:uid="{00000000-0005-0000-0000-0000810B0000}"/>
    <cellStyle name="Output 6 4 4" xfId="5168" xr:uid="{CAADF18F-B25A-4E84-8E1D-F899368D836B}"/>
    <cellStyle name="Output 6 4 5" xfId="4854" xr:uid="{FD7C02BD-CF7B-4CD2-9C4A-F19B8747786A}"/>
    <cellStyle name="Output 6 5" xfId="2356" xr:uid="{00000000-0005-0000-0000-0000190A0000}"/>
    <cellStyle name="Output 6 5 2" xfId="2574" xr:uid="{00000000-0005-0000-0000-00001A0A0000}"/>
    <cellStyle name="Output 6 5 2 2" xfId="3279" xr:uid="{00000000-0005-0000-0000-0000840B0000}"/>
    <cellStyle name="Output 6 5 3" xfId="3380" xr:uid="{00000000-0005-0000-0000-0000850B0000}"/>
    <cellStyle name="Output 6 5 4" xfId="5008" xr:uid="{DB91BBB0-A5CE-41E2-9480-4AF635D1C17E}"/>
    <cellStyle name="Output 6 5 5" xfId="5191" xr:uid="{371339B4-9950-4A62-A3D8-79FE47F199A7}"/>
    <cellStyle name="Output 6 6" xfId="2357" xr:uid="{00000000-0005-0000-0000-00001B0A0000}"/>
    <cellStyle name="Output 6 6 2" xfId="2573" xr:uid="{00000000-0005-0000-0000-00001C0A0000}"/>
    <cellStyle name="Output 6 6 2 2" xfId="3280" xr:uid="{00000000-0005-0000-0000-0000880B0000}"/>
    <cellStyle name="Output 6 6 3" xfId="3379" xr:uid="{00000000-0005-0000-0000-0000890B0000}"/>
    <cellStyle name="Output 6 6 4" xfId="4628" xr:uid="{C4DC773A-F556-4B9B-A63E-0A7D29E41933}"/>
    <cellStyle name="Output 6 6 5" xfId="4701" xr:uid="{4F7F5310-B92D-4457-90F0-62036321B787}"/>
    <cellStyle name="Output 6 7" xfId="2773" xr:uid="{00000000-0005-0000-0000-00001D0A0000}"/>
    <cellStyle name="Output 6 7 2" xfId="3080" xr:uid="{00000000-0005-0000-0000-00008B0B0000}"/>
    <cellStyle name="Output 6 8" xfId="3422" xr:uid="{00000000-0005-0000-0000-00008C0B0000}"/>
    <cellStyle name="Output 6 9" xfId="4746" xr:uid="{91DF9047-D5FD-4530-83D2-295286C73F87}"/>
    <cellStyle name="Output 7" xfId="233" xr:uid="{00000000-0005-0000-0000-00001E0A0000}"/>
    <cellStyle name="Output 7 10" xfId="4966" xr:uid="{FEA3A2FA-BE55-4AC0-8B73-A33406434C77}"/>
    <cellStyle name="Output 7 2" xfId="2358" xr:uid="{00000000-0005-0000-0000-00001F0A0000}"/>
    <cellStyle name="Output 7 2 2" xfId="2572" xr:uid="{00000000-0005-0000-0000-0000200A0000}"/>
    <cellStyle name="Output 7 2 2 2" xfId="3281" xr:uid="{00000000-0005-0000-0000-0000900B0000}"/>
    <cellStyle name="Output 7 2 3" xfId="3378" xr:uid="{00000000-0005-0000-0000-0000910B0000}"/>
    <cellStyle name="Output 7 2 4" xfId="4669" xr:uid="{3354628C-70B2-4FB5-8770-CE491A54BF01}"/>
    <cellStyle name="Output 7 2 5" xfId="4982" xr:uid="{DD30AEE1-A6CF-4F98-A4F0-FBFE7CFDEFE7}"/>
    <cellStyle name="Output 7 3" xfId="2359" xr:uid="{00000000-0005-0000-0000-0000210A0000}"/>
    <cellStyle name="Output 7 3 2" xfId="2542" xr:uid="{00000000-0005-0000-0000-0000220A0000}"/>
    <cellStyle name="Output 7 3 2 2" xfId="3311" xr:uid="{00000000-0005-0000-0000-0000940B0000}"/>
    <cellStyle name="Output 7 3 3" xfId="3377" xr:uid="{00000000-0005-0000-0000-0000950B0000}"/>
    <cellStyle name="Output 7 3 4" xfId="5010" xr:uid="{63018012-41D1-40D9-A459-36438A2A8C59}"/>
    <cellStyle name="Output 7 3 5" xfId="4853" xr:uid="{4CC377D7-CC9D-4553-9D1B-1225D8D6F4D1}"/>
    <cellStyle name="Output 7 4" xfId="2360" xr:uid="{00000000-0005-0000-0000-0000230A0000}"/>
    <cellStyle name="Output 7 4 2" xfId="2544" xr:uid="{00000000-0005-0000-0000-0000240A0000}"/>
    <cellStyle name="Output 7 4 2 2" xfId="3309" xr:uid="{00000000-0005-0000-0000-0000980B0000}"/>
    <cellStyle name="Output 7 4 3" xfId="3376" xr:uid="{00000000-0005-0000-0000-0000990B0000}"/>
    <cellStyle name="Output 7 4 4" xfId="5011" xr:uid="{58B11A60-AB5F-4B5D-8045-3512BEFA582B}"/>
    <cellStyle name="Output 7 4 5" xfId="4852" xr:uid="{30F3E46C-2837-42AB-9363-2ECC62C1815F}"/>
    <cellStyle name="Output 7 5" xfId="2361" xr:uid="{00000000-0005-0000-0000-0000250A0000}"/>
    <cellStyle name="Output 7 5 2" xfId="2543" xr:uid="{00000000-0005-0000-0000-0000260A0000}"/>
    <cellStyle name="Output 7 5 2 2" xfId="3310" xr:uid="{00000000-0005-0000-0000-00009C0B0000}"/>
    <cellStyle name="Output 7 5 3" xfId="3375" xr:uid="{00000000-0005-0000-0000-00009D0B0000}"/>
    <cellStyle name="Output 7 5 4" xfId="5012" xr:uid="{795957A1-59E2-4F16-AEAE-9035BE032210}"/>
    <cellStyle name="Output 7 5 5" xfId="4851" xr:uid="{E09DCB6A-DF92-4B88-8388-536835ADDB04}"/>
    <cellStyle name="Output 7 6" xfId="2362" xr:uid="{00000000-0005-0000-0000-0000270A0000}"/>
    <cellStyle name="Output 7 6 2" xfId="2778" xr:uid="{00000000-0005-0000-0000-0000280A0000}"/>
    <cellStyle name="Output 7 6 2 2" xfId="3075" xr:uid="{00000000-0005-0000-0000-0000A00B0000}"/>
    <cellStyle name="Output 7 6 3" xfId="3374" xr:uid="{00000000-0005-0000-0000-0000A10B0000}"/>
    <cellStyle name="Output 7 6 4" xfId="5013" xr:uid="{F0E2BBF1-6167-4022-A57F-F20DF9D41430}"/>
    <cellStyle name="Output 7 6 5" xfId="4850" xr:uid="{5F5FE107-3CDE-41AC-941F-619654821D37}"/>
    <cellStyle name="Output 7 7" xfId="2772" xr:uid="{00000000-0005-0000-0000-0000290A0000}"/>
    <cellStyle name="Output 7 7 2" xfId="3081" xr:uid="{00000000-0005-0000-0000-0000A30B0000}"/>
    <cellStyle name="Output 7 8" xfId="3421" xr:uid="{00000000-0005-0000-0000-0000A40B0000}"/>
    <cellStyle name="Output 7 9" xfId="4747" xr:uid="{7908BD0C-585A-4EE4-8923-40B329369F04}"/>
    <cellStyle name="Output 8 2" xfId="2363" xr:uid="{00000000-0005-0000-0000-00002A0A0000}"/>
    <cellStyle name="Output 8 2 2" xfId="2779" xr:uid="{00000000-0005-0000-0000-00002B0A0000}"/>
    <cellStyle name="Output 8 2 2 2" xfId="3074" xr:uid="{00000000-0005-0000-0000-0000A70B0000}"/>
    <cellStyle name="Output 8 2 3" xfId="3373" xr:uid="{00000000-0005-0000-0000-0000A80B0000}"/>
    <cellStyle name="Output 8 2 4" xfId="4629" xr:uid="{B6E51C86-4485-41F5-B742-EAA5FF5E1D51}"/>
    <cellStyle name="Output 8 2 5" xfId="4849" xr:uid="{5810E41A-7AF2-4AA7-AA5E-1B402E43EE70}"/>
    <cellStyle name="Output 8 3" xfId="2364" xr:uid="{00000000-0005-0000-0000-00002C0A0000}"/>
    <cellStyle name="Output 8 3 2" xfId="2780" xr:uid="{00000000-0005-0000-0000-00002D0A0000}"/>
    <cellStyle name="Output 8 3 2 2" xfId="3073" xr:uid="{00000000-0005-0000-0000-0000AB0B0000}"/>
    <cellStyle name="Output 8 3 3" xfId="3372" xr:uid="{00000000-0005-0000-0000-0000AC0B0000}"/>
    <cellStyle name="Output 8 3 4" xfId="5014" xr:uid="{0D8D2DE0-18F4-4CA1-BD41-8D019DE1F8B8}"/>
    <cellStyle name="Output 8 3 5" xfId="4704" xr:uid="{F3E42CCD-C934-4510-BDCD-58689DB6F295}"/>
    <cellStyle name="Output 8 4" xfId="2365" xr:uid="{00000000-0005-0000-0000-00002E0A0000}"/>
    <cellStyle name="Output 8 4 2" xfId="2781" xr:uid="{00000000-0005-0000-0000-00002F0A0000}"/>
    <cellStyle name="Output 8 4 2 2" xfId="3072" xr:uid="{00000000-0005-0000-0000-0000AF0B0000}"/>
    <cellStyle name="Output 8 4 3" xfId="3371" xr:uid="{00000000-0005-0000-0000-0000B00B0000}"/>
    <cellStyle name="Output 8 4 4" xfId="5009" xr:uid="{FFC05581-D610-4C52-8050-3C0026033D41}"/>
    <cellStyle name="Output 8 4 5" xfId="5111" xr:uid="{32C22A39-192A-4CB6-9C70-0681321FB260}"/>
    <cellStyle name="Output 8 5" xfId="2366" xr:uid="{00000000-0005-0000-0000-0000300A0000}"/>
    <cellStyle name="Output 8 5 2" xfId="2782" xr:uid="{00000000-0005-0000-0000-0000310A0000}"/>
    <cellStyle name="Output 8 5 2 2" xfId="3029" xr:uid="{00000000-0005-0000-0000-0000B30B0000}"/>
    <cellStyle name="Output 8 5 3" xfId="3370" xr:uid="{00000000-0005-0000-0000-0000B40B0000}"/>
    <cellStyle name="Output 8 5 4" xfId="4670" xr:uid="{F757CC78-16F4-4B7A-BAAC-58F06876C6AD}"/>
    <cellStyle name="Output 8 5 5" xfId="5110" xr:uid="{8CA4B07C-BDDF-4C79-9AD9-529374A50217}"/>
    <cellStyle name="Output 8 6" xfId="2367" xr:uid="{00000000-0005-0000-0000-0000320A0000}"/>
    <cellStyle name="Output 8 6 2" xfId="2783" xr:uid="{00000000-0005-0000-0000-0000330A0000}"/>
    <cellStyle name="Output 8 6 2 2" xfId="3070" xr:uid="{00000000-0005-0000-0000-0000B70B0000}"/>
    <cellStyle name="Output 8 6 3" xfId="3369" xr:uid="{00000000-0005-0000-0000-0000B80B0000}"/>
    <cellStyle name="Output 8 6 4" xfId="5015" xr:uid="{505585B4-187B-48D8-897D-0430C3A4817F}"/>
    <cellStyle name="Output 8 6 5" xfId="5109" xr:uid="{784DA8F2-73F0-49E1-93C8-3B85F1B82175}"/>
    <cellStyle name="Output 9 2" xfId="2368" xr:uid="{00000000-0005-0000-0000-0000340A0000}"/>
    <cellStyle name="Output 9 2 2" xfId="2784" xr:uid="{00000000-0005-0000-0000-0000350A0000}"/>
    <cellStyle name="Output 9 2 2 2" xfId="3071" xr:uid="{00000000-0005-0000-0000-0000BB0B0000}"/>
    <cellStyle name="Output 9 2 3" xfId="3368" xr:uid="{00000000-0005-0000-0000-0000BC0B0000}"/>
    <cellStyle name="Output 9 2 4" xfId="5016" xr:uid="{B0B152ED-F258-4E2B-9227-7DD646AF0ACC}"/>
    <cellStyle name="Output 9 2 5" xfId="4640" xr:uid="{6F9D158E-CBE3-4F5F-8085-5613297DC0CB}"/>
    <cellStyle name="Output 9 3" xfId="2369" xr:uid="{00000000-0005-0000-0000-0000360A0000}"/>
    <cellStyle name="Output 9 3 2" xfId="2785" xr:uid="{00000000-0005-0000-0000-0000370A0000}"/>
    <cellStyle name="Output 9 3 2 2" xfId="3031" xr:uid="{00000000-0005-0000-0000-0000BF0B0000}"/>
    <cellStyle name="Output 9 3 3" xfId="3367" xr:uid="{00000000-0005-0000-0000-0000C00B0000}"/>
    <cellStyle name="Output 9 3 4" xfId="5017" xr:uid="{6E8F1CEC-413E-4410-84FB-9FEEFDE37742}"/>
    <cellStyle name="Output 9 3 5" xfId="5106" xr:uid="{8E762D94-5AF9-48AE-900B-5A84E5A7AA54}"/>
    <cellStyle name="Output 9 4" xfId="2370" xr:uid="{00000000-0005-0000-0000-0000380A0000}"/>
    <cellStyle name="Output 9 4 2" xfId="2786" xr:uid="{00000000-0005-0000-0000-0000390A0000}"/>
    <cellStyle name="Output 9 4 2 2" xfId="3028" xr:uid="{00000000-0005-0000-0000-0000C30B0000}"/>
    <cellStyle name="Output 9 4 3" xfId="3366" xr:uid="{00000000-0005-0000-0000-0000C40B0000}"/>
    <cellStyle name="Output 9 4 4" xfId="5018" xr:uid="{F10C3F2C-188A-4A1A-8795-D5074C3B3EF4}"/>
    <cellStyle name="Output 9 4 5" xfId="5108" xr:uid="{48DB0565-263E-44EC-88A4-6D702468A747}"/>
    <cellStyle name="Output 9 5" xfId="2371" xr:uid="{00000000-0005-0000-0000-00003A0A0000}"/>
    <cellStyle name="Output 9 5 2" xfId="2787" xr:uid="{00000000-0005-0000-0000-00003B0A0000}"/>
    <cellStyle name="Output 9 5 2 2" xfId="3027" xr:uid="{00000000-0005-0000-0000-0000C70B0000}"/>
    <cellStyle name="Output 9 5 3" xfId="3365" xr:uid="{00000000-0005-0000-0000-0000C80B0000}"/>
    <cellStyle name="Output 9 5 4" xfId="5019" xr:uid="{305E1225-A375-4E43-B6E5-06C424CC9FC8}"/>
    <cellStyle name="Output 9 5 5" xfId="4848" xr:uid="{93B24CED-CA27-43D1-BC98-1E394FC2D00E}"/>
    <cellStyle name="Output 9 6" xfId="2372" xr:uid="{00000000-0005-0000-0000-00003C0A0000}"/>
    <cellStyle name="Output 9 6 2" xfId="2788" xr:uid="{00000000-0005-0000-0000-00003D0A0000}"/>
    <cellStyle name="Output 9 6 2 2" xfId="3026" xr:uid="{00000000-0005-0000-0000-0000CB0B0000}"/>
    <cellStyle name="Output 9 6 3" xfId="3364" xr:uid="{00000000-0005-0000-0000-0000CC0B0000}"/>
    <cellStyle name="Output 9 6 4" xfId="5020" xr:uid="{D1AB6833-E635-4BD6-9F76-61A6799031F6}"/>
    <cellStyle name="Output 9 6 5" xfId="4666" xr:uid="{A60ACAEF-4E15-4807-BBB9-27471278DC77}"/>
    <cellStyle name="Percent 2" xfId="3489" xr:uid="{F68BA2EB-DEF3-42E7-8499-DAD5238AF9CC}"/>
    <cellStyle name="Percent 2 2" xfId="3666" xr:uid="{F664798F-B1BF-430E-ADA4-56615E2B5018}"/>
    <cellStyle name="Percent 2 2 2" xfId="4147" xr:uid="{BEAC01CC-BCD9-4478-AE68-E6EA5955B56C}"/>
    <cellStyle name="Percent 2 3" xfId="5291" xr:uid="{5E012C5E-FB12-4BDA-A556-91CFC3CA6731}"/>
    <cellStyle name="Percent 2 3 2" xfId="6044" xr:uid="{05D92FE3-C4C1-4D00-8C00-95118A7B8A0B}"/>
    <cellStyle name="Percent 2 4" xfId="5297" xr:uid="{51100D63-91B7-44D5-9ACF-C443EB225D9D}"/>
    <cellStyle name="Percent 2 4 2" xfId="6049" xr:uid="{CD626341-AF56-40B6-A466-F05D8AC50D8C}"/>
    <cellStyle name="Percent 3" xfId="3557" xr:uid="{7FDFB76C-F22F-4A56-AEDC-F509DF810E64}"/>
    <cellStyle name="Percent 3 2" xfId="3665" xr:uid="{737ED058-9273-4A9B-A7C9-5EBF6C745224}"/>
    <cellStyle name="Percent 3 2 2" xfId="3817" xr:uid="{FE608E77-75FF-4409-9172-3A165EC129B3}"/>
    <cellStyle name="Percent 3 2 2 2" xfId="5782" xr:uid="{4C551DC7-49A1-4F75-B531-DBF6CB207B8E}"/>
    <cellStyle name="Percent 3 2 3" xfId="3866" xr:uid="{4538CE54-3817-4A41-AFF6-57C47560C184}"/>
    <cellStyle name="Percent 3 2 3 2" xfId="5831" xr:uid="{735667BD-D5E4-4DC6-87D1-CF019A2E4CAF}"/>
    <cellStyle name="Percent 3 2 4" xfId="5736" xr:uid="{107692B8-3071-4E16-820C-AB5ACC8F4A80}"/>
    <cellStyle name="Percent 3 3" xfId="3794" xr:uid="{1095274F-B10D-460A-A7FA-5620291108D8}"/>
    <cellStyle name="Percent 3 3 2" xfId="5759" xr:uid="{E352FE8B-4B91-4955-A16A-B6073EBCAE2F}"/>
    <cellStyle name="Percent 3 4" xfId="3843" xr:uid="{108377B7-A4CE-4C9C-9A56-8452B9A4D9E9}"/>
    <cellStyle name="Percent 3 4 2" xfId="5808" xr:uid="{B986AED6-6FB4-4F67-8E25-72E01ED0AC96}"/>
    <cellStyle name="Percent 3 5" xfId="5289" xr:uid="{21A7EA0C-5F06-4CAD-BD38-5624F7A7460E}"/>
    <cellStyle name="Percent 3 5 2" xfId="6042" xr:uid="{415B5784-05E2-42C1-8B6D-6F933324C848}"/>
    <cellStyle name="Percent 3 6" xfId="5713" xr:uid="{0615E128-9ED1-4DE5-A17C-DB762C42CE34}"/>
    <cellStyle name="Percent 4" xfId="3571" xr:uid="{24211583-4742-47D5-9CDF-B2BB6C88B831}"/>
    <cellStyle name="Percent 4 2" xfId="3680" xr:uid="{50D386D1-9860-4BE4-8358-931A1BB256D3}"/>
    <cellStyle name="Percent 4 2 2" xfId="3822" xr:uid="{EC9BD735-2AE2-41CA-92D0-578AA320136A}"/>
    <cellStyle name="Percent 4 2 2 2" xfId="5787" xr:uid="{BD88792C-635F-47D9-80DB-8EC75FE665C7}"/>
    <cellStyle name="Percent 4 2 3" xfId="3871" xr:uid="{7B644EE0-E6C5-4E7A-ADFB-77E9D296E02E}"/>
    <cellStyle name="Percent 4 2 3 2" xfId="5836" xr:uid="{1A14486D-0047-4AA2-89B5-81A8B6C8CAE5}"/>
    <cellStyle name="Percent 4 2 4" xfId="5741" xr:uid="{C3C358F6-5DC4-4691-8F51-F008BFBFC964}"/>
    <cellStyle name="Percent 4 3" xfId="3799" xr:uid="{523B996B-FE85-411D-AEB5-7B5B5AD8CD3A}"/>
    <cellStyle name="Percent 4 3 2" xfId="5764" xr:uid="{F504DA08-A7D9-49B2-B608-EBF7F177C470}"/>
    <cellStyle name="Percent 4 4" xfId="3848" xr:uid="{223075EC-3626-4E8A-B61B-F910FC77CDA3}"/>
    <cellStyle name="Percent 4 4 2" xfId="5813" xr:uid="{28D679DC-CD15-4D91-B4C3-2BB354AA2735}"/>
    <cellStyle name="Percent 4 5" xfId="4148" xr:uid="{2BE77B15-A81B-466B-A2D1-D705232939B9}"/>
    <cellStyle name="Percent 4 5 2" xfId="5916" xr:uid="{667FDF91-502C-4515-B6BD-EC194BE56692}"/>
    <cellStyle name="Percent 4 6" xfId="5718" xr:uid="{302BCAD4-E6DF-42DE-B87A-330ECE2E7388}"/>
    <cellStyle name="Percent 5" xfId="3572" xr:uid="{255011E9-B8FA-4F8B-91DA-3D7F836488EB}"/>
    <cellStyle name="Percent 5 2" xfId="3681" xr:uid="{3189FAF9-0BB7-4E68-A5E9-51FC2B971BD4}"/>
    <cellStyle name="Percent 6" xfId="3839" xr:uid="{1BD72F20-AC0C-405D-BDF9-4FF34D08D169}"/>
    <cellStyle name="Percent 6 2" xfId="3888" xr:uid="{EA147B63-A82B-4303-9911-3527A368B76C}"/>
    <cellStyle name="Percent 6 2 2" xfId="5853" xr:uid="{D7E82D2A-D6EC-4656-A31B-56549300F44C}"/>
    <cellStyle name="Percent 6 3" xfId="5804" xr:uid="{90CDF346-62A5-460D-A29A-DF0555DDC47B}"/>
    <cellStyle name="Percent 7" xfId="3553" xr:uid="{2C61054B-EA93-4CF5-A4CD-EC2CCB5D479F}"/>
    <cellStyle name="Rounding" xfId="234" xr:uid="{00000000-0005-0000-0000-00003E0A0000}"/>
    <cellStyle name="Sheet Title" xfId="235" xr:uid="{00000000-0005-0000-0000-00003F0A0000}"/>
    <cellStyle name="Single Border" xfId="236" xr:uid="{00000000-0005-0000-0000-0000400A0000}"/>
    <cellStyle name="Single Underline" xfId="237" xr:uid="{00000000-0005-0000-0000-0000410A0000}"/>
    <cellStyle name="STYLE1" xfId="238" xr:uid="{00000000-0005-0000-0000-0000420A0000}"/>
    <cellStyle name="STYLE2" xfId="239" xr:uid="{00000000-0005-0000-0000-0000430A0000}"/>
    <cellStyle name="Title 10 2" xfId="2373" xr:uid="{00000000-0005-0000-0000-0000440A0000}"/>
    <cellStyle name="Title 10 3" xfId="2374" xr:uid="{00000000-0005-0000-0000-0000450A0000}"/>
    <cellStyle name="Title 10 4" xfId="2375" xr:uid="{00000000-0005-0000-0000-0000460A0000}"/>
    <cellStyle name="Title 10 5" xfId="2376" xr:uid="{00000000-0005-0000-0000-0000470A0000}"/>
    <cellStyle name="Title 10 6" xfId="2377" xr:uid="{00000000-0005-0000-0000-0000480A0000}"/>
    <cellStyle name="Title 11 2" xfId="2378" xr:uid="{00000000-0005-0000-0000-0000490A0000}"/>
    <cellStyle name="Title 11 3" xfId="2379" xr:uid="{00000000-0005-0000-0000-00004A0A0000}"/>
    <cellStyle name="Title 11 4" xfId="2380" xr:uid="{00000000-0005-0000-0000-00004B0A0000}"/>
    <cellStyle name="Title 11 5" xfId="2381" xr:uid="{00000000-0005-0000-0000-00004C0A0000}"/>
    <cellStyle name="Title 11 6" xfId="2382" xr:uid="{00000000-0005-0000-0000-00004D0A0000}"/>
    <cellStyle name="Title 2" xfId="2383" xr:uid="{00000000-0005-0000-0000-00004E0A0000}"/>
    <cellStyle name="Title 2 2" xfId="2384" xr:uid="{00000000-0005-0000-0000-00004F0A0000}"/>
    <cellStyle name="Title 2 3" xfId="2385" xr:uid="{00000000-0005-0000-0000-0000500A0000}"/>
    <cellStyle name="Title 2 4" xfId="2386" xr:uid="{00000000-0005-0000-0000-0000510A0000}"/>
    <cellStyle name="Title 2 5" xfId="2387" xr:uid="{00000000-0005-0000-0000-0000520A0000}"/>
    <cellStyle name="Title 2 6" xfId="2388" xr:uid="{00000000-0005-0000-0000-0000530A0000}"/>
    <cellStyle name="Title 2 7" xfId="4476" xr:uid="{856F7F66-99FB-443B-809E-0E719D437F37}"/>
    <cellStyle name="Title 3" xfId="2389" xr:uid="{00000000-0005-0000-0000-0000540A0000}"/>
    <cellStyle name="Title 3 2" xfId="2390" xr:uid="{00000000-0005-0000-0000-0000550A0000}"/>
    <cellStyle name="Title 3 3" xfId="2391" xr:uid="{00000000-0005-0000-0000-0000560A0000}"/>
    <cellStyle name="Title 3 4" xfId="2392" xr:uid="{00000000-0005-0000-0000-0000570A0000}"/>
    <cellStyle name="Title 3 5" xfId="2393" xr:uid="{00000000-0005-0000-0000-0000580A0000}"/>
    <cellStyle name="Title 3 6" xfId="2394" xr:uid="{00000000-0005-0000-0000-0000590A0000}"/>
    <cellStyle name="Title 4 2" xfId="2395" xr:uid="{00000000-0005-0000-0000-00005A0A0000}"/>
    <cellStyle name="Title 4 3" xfId="2396" xr:uid="{00000000-0005-0000-0000-00005B0A0000}"/>
    <cellStyle name="Title 4 4" xfId="2397" xr:uid="{00000000-0005-0000-0000-00005C0A0000}"/>
    <cellStyle name="Title 4 5" xfId="2398" xr:uid="{00000000-0005-0000-0000-00005D0A0000}"/>
    <cellStyle name="Title 4 6" xfId="2399" xr:uid="{00000000-0005-0000-0000-00005E0A0000}"/>
    <cellStyle name="Title 5 2" xfId="2400" xr:uid="{00000000-0005-0000-0000-00005F0A0000}"/>
    <cellStyle name="Title 5 3" xfId="2401" xr:uid="{00000000-0005-0000-0000-0000600A0000}"/>
    <cellStyle name="Title 5 4" xfId="2402" xr:uid="{00000000-0005-0000-0000-0000610A0000}"/>
    <cellStyle name="Title 5 5" xfId="2403" xr:uid="{00000000-0005-0000-0000-0000620A0000}"/>
    <cellStyle name="Title 5 6" xfId="2404" xr:uid="{00000000-0005-0000-0000-0000630A0000}"/>
    <cellStyle name="Title 6 2" xfId="2405" xr:uid="{00000000-0005-0000-0000-0000640A0000}"/>
    <cellStyle name="Title 6 3" xfId="2406" xr:uid="{00000000-0005-0000-0000-0000650A0000}"/>
    <cellStyle name="Title 6 4" xfId="2407" xr:uid="{00000000-0005-0000-0000-0000660A0000}"/>
    <cellStyle name="Title 6 5" xfId="2408" xr:uid="{00000000-0005-0000-0000-0000670A0000}"/>
    <cellStyle name="Title 6 6" xfId="2409" xr:uid="{00000000-0005-0000-0000-0000680A0000}"/>
    <cellStyle name="Title 7 2" xfId="2410" xr:uid="{00000000-0005-0000-0000-0000690A0000}"/>
    <cellStyle name="Title 7 3" xfId="2411" xr:uid="{00000000-0005-0000-0000-00006A0A0000}"/>
    <cellStyle name="Title 7 4" xfId="2412" xr:uid="{00000000-0005-0000-0000-00006B0A0000}"/>
    <cellStyle name="Title 7 5" xfId="2413" xr:uid="{00000000-0005-0000-0000-00006C0A0000}"/>
    <cellStyle name="Title 7 6" xfId="2414" xr:uid="{00000000-0005-0000-0000-00006D0A0000}"/>
    <cellStyle name="Title 8 2" xfId="2415" xr:uid="{00000000-0005-0000-0000-00006E0A0000}"/>
    <cellStyle name="Title 8 3" xfId="2416" xr:uid="{00000000-0005-0000-0000-00006F0A0000}"/>
    <cellStyle name="Title 8 4" xfId="2417" xr:uid="{00000000-0005-0000-0000-0000700A0000}"/>
    <cellStyle name="Title 8 5" xfId="2418" xr:uid="{00000000-0005-0000-0000-0000710A0000}"/>
    <cellStyle name="Title 8 6" xfId="2419" xr:uid="{00000000-0005-0000-0000-0000720A0000}"/>
    <cellStyle name="Title 9 2" xfId="2420" xr:uid="{00000000-0005-0000-0000-0000730A0000}"/>
    <cellStyle name="Title 9 3" xfId="2421" xr:uid="{00000000-0005-0000-0000-0000740A0000}"/>
    <cellStyle name="Title 9 4" xfId="2422" xr:uid="{00000000-0005-0000-0000-0000750A0000}"/>
    <cellStyle name="Title 9 5" xfId="2423" xr:uid="{00000000-0005-0000-0000-0000760A0000}"/>
    <cellStyle name="Title 9 6" xfId="2424" xr:uid="{00000000-0005-0000-0000-0000770A0000}"/>
    <cellStyle name="Top Bold Border" xfId="240" xr:uid="{00000000-0005-0000-0000-0000780A0000}"/>
    <cellStyle name="Top Bold Border 2" xfId="5259" xr:uid="{C1AE0C9D-F2C6-485B-8D0B-A5EAE1AEDA94}"/>
    <cellStyle name="Top Bold Border 3" xfId="3519" xr:uid="{79F45BF5-472F-41CD-BBA1-B50C30659951}"/>
    <cellStyle name="Top Double Border" xfId="241" xr:uid="{00000000-0005-0000-0000-0000790A0000}"/>
    <cellStyle name="Top Double Border 2" xfId="5260" xr:uid="{D12265BF-FA67-4CF5-8E22-61DEB8BBB655}"/>
    <cellStyle name="Top Double Border 3" xfId="3520" xr:uid="{4B9BD94B-8479-4F32-AB67-8227CBE7C6F5}"/>
    <cellStyle name="Top Single Border" xfId="242" xr:uid="{00000000-0005-0000-0000-00007A0A0000}"/>
    <cellStyle name="Top Single Border 2" xfId="2771" xr:uid="{00000000-0005-0000-0000-00007B0A0000}"/>
    <cellStyle name="Top Single Border 2 2" xfId="3082" xr:uid="{00000000-0005-0000-0000-00000B0C0000}"/>
    <cellStyle name="Top Single Border 2 2 2" xfId="5271" xr:uid="{A0073DE5-77F2-4561-A02A-FA696A4D2F0D}"/>
    <cellStyle name="Top Single Border 2 3" xfId="3532" xr:uid="{2A761557-8847-4C97-BB1E-607A2D0F5DE1}"/>
    <cellStyle name="Top Single Border 3" xfId="3040" xr:uid="{00000000-0005-0000-0000-00000C0C0000}"/>
    <cellStyle name="Top Single Border 3 2" xfId="4587" xr:uid="{5E1FA2ED-8BF1-4CDB-A6DC-7943523CCC3F}"/>
    <cellStyle name="Top Single Border 4" xfId="4748" xr:uid="{A10859DE-DAFE-43A0-8DA9-3212BA65CCD9}"/>
    <cellStyle name="Top Single Border 4 2" xfId="5426" xr:uid="{17025714-8ADC-4E09-AA5B-82CA44ACD723}"/>
    <cellStyle name="Top Single Border 5" xfId="4963" xr:uid="{DBC5B216-66AE-4F8E-A8B7-317416F15D76}"/>
    <cellStyle name="Top Single Border 5 2" xfId="5427" xr:uid="{D00484A6-86EF-453C-A315-9C289FFDCF26}"/>
    <cellStyle name="Top Single Border 6" xfId="5261" xr:uid="{66AEC720-278C-4EE5-8F9F-3DD6D00877EE}"/>
    <cellStyle name="Top Single Border 7" xfId="3521" xr:uid="{8CDC163E-CD2F-4FDB-A7F4-61E160F6664C}"/>
    <cellStyle name="Total 10 2" xfId="2425" xr:uid="{00000000-0005-0000-0000-00007C0A0000}"/>
    <cellStyle name="Total 10 2 2" xfId="2789" xr:uid="{00000000-0005-0000-0000-00007D0A0000}"/>
    <cellStyle name="Total 10 2 2 2" xfId="3025" xr:uid="{00000000-0005-0000-0000-00000F0C0000}"/>
    <cellStyle name="Total 10 2 3" xfId="3363" xr:uid="{00000000-0005-0000-0000-0000100C0000}"/>
    <cellStyle name="Total 10 2 4" xfId="4710" xr:uid="{C49B6EE5-F47A-4558-96A9-33080275FB9A}"/>
    <cellStyle name="Total 10 2 5" xfId="4847" xr:uid="{099939B7-3298-4DDA-8006-EDF16134A81F}"/>
    <cellStyle name="Total 10 3" xfId="2426" xr:uid="{00000000-0005-0000-0000-00007E0A0000}"/>
    <cellStyle name="Total 10 3 2" xfId="2790" xr:uid="{00000000-0005-0000-0000-00007F0A0000}"/>
    <cellStyle name="Total 10 3 2 2" xfId="3024" xr:uid="{00000000-0005-0000-0000-0000130C0000}"/>
    <cellStyle name="Total 10 3 3" xfId="3362" xr:uid="{00000000-0005-0000-0000-0000140C0000}"/>
    <cellStyle name="Total 10 3 4" xfId="4683" xr:uid="{2249D507-E53F-4B1A-8479-D859EF39B2D3}"/>
    <cellStyle name="Total 10 3 5" xfId="4846" xr:uid="{25A66051-DBF5-4747-A3D9-FC905BFA4FA8}"/>
    <cellStyle name="Total 10 4" xfId="2427" xr:uid="{00000000-0005-0000-0000-0000800A0000}"/>
    <cellStyle name="Total 10 4 2" xfId="2791" xr:uid="{00000000-0005-0000-0000-0000810A0000}"/>
    <cellStyle name="Total 10 4 2 2" xfId="3069" xr:uid="{00000000-0005-0000-0000-0000170C0000}"/>
    <cellStyle name="Total 10 4 3" xfId="3361" xr:uid="{00000000-0005-0000-0000-0000180C0000}"/>
    <cellStyle name="Total 10 4 4" xfId="5027" xr:uid="{25B8AB78-16EE-40CF-ADC7-15CA0C3C4CCE}"/>
    <cellStyle name="Total 10 4 5" xfId="4845" xr:uid="{7356576D-2937-4D87-BBD3-81E0B072BB6F}"/>
    <cellStyle name="Total 10 5" xfId="2428" xr:uid="{00000000-0005-0000-0000-0000820A0000}"/>
    <cellStyle name="Total 10 5 2" xfId="2792" xr:uid="{00000000-0005-0000-0000-0000830A0000}"/>
    <cellStyle name="Total 10 5 2 2" xfId="3068" xr:uid="{00000000-0005-0000-0000-00001B0C0000}"/>
    <cellStyle name="Total 10 5 3" xfId="3360" xr:uid="{00000000-0005-0000-0000-00001C0C0000}"/>
    <cellStyle name="Total 10 5 4" xfId="5028" xr:uid="{52394E6F-EE0B-4035-BC15-7D2D12BF89F6}"/>
    <cellStyle name="Total 10 5 5" xfId="4844" xr:uid="{390CD69A-9969-4449-8060-B7009A827234}"/>
    <cellStyle name="Total 10 6" xfId="2429" xr:uid="{00000000-0005-0000-0000-0000840A0000}"/>
    <cellStyle name="Total 10 6 2" xfId="2793" xr:uid="{00000000-0005-0000-0000-0000850A0000}"/>
    <cellStyle name="Total 10 6 2 2" xfId="3067" xr:uid="{00000000-0005-0000-0000-00001F0C0000}"/>
    <cellStyle name="Total 10 6 3" xfId="3359" xr:uid="{00000000-0005-0000-0000-0000200C0000}"/>
    <cellStyle name="Total 10 6 4" xfId="4684" xr:uid="{3178B99E-B95B-426D-8EA3-AF2E0C571A7C}"/>
    <cellStyle name="Total 10 6 5" xfId="5105" xr:uid="{FE2CD880-5F99-461E-AB0C-993DC1F9394E}"/>
    <cellStyle name="Total 11 2" xfId="2430" xr:uid="{00000000-0005-0000-0000-0000860A0000}"/>
    <cellStyle name="Total 11 2 2" xfId="2794" xr:uid="{00000000-0005-0000-0000-0000870A0000}"/>
    <cellStyle name="Total 11 2 2 2" xfId="3066" xr:uid="{00000000-0005-0000-0000-0000230C0000}"/>
    <cellStyle name="Total 11 2 3" xfId="3358" xr:uid="{00000000-0005-0000-0000-0000240C0000}"/>
    <cellStyle name="Total 11 2 4" xfId="4711" xr:uid="{2257FDCE-2F0B-4AEE-BE85-E2D9B4EE1435}"/>
    <cellStyle name="Total 11 2 5" xfId="5076" xr:uid="{8511DD08-FE4E-4E61-8000-69933B456A79}"/>
    <cellStyle name="Total 11 3" xfId="2431" xr:uid="{00000000-0005-0000-0000-0000880A0000}"/>
    <cellStyle name="Total 11 3 2" xfId="2795" xr:uid="{00000000-0005-0000-0000-0000890A0000}"/>
    <cellStyle name="Total 11 3 2 2" xfId="3065" xr:uid="{00000000-0005-0000-0000-0000270C0000}"/>
    <cellStyle name="Total 11 3 3" xfId="3357" xr:uid="{00000000-0005-0000-0000-0000280C0000}"/>
    <cellStyle name="Total 11 3 4" xfId="5030" xr:uid="{587DCCC5-3727-4954-9E3E-BA752339D313}"/>
    <cellStyle name="Total 11 3 5" xfId="5212" xr:uid="{3B01C0D7-4827-47A7-ADAB-DCC6FDDE4635}"/>
    <cellStyle name="Total 11 4" xfId="2432" xr:uid="{00000000-0005-0000-0000-00008A0A0000}"/>
    <cellStyle name="Total 11 4 2" xfId="2796" xr:uid="{00000000-0005-0000-0000-00008B0A0000}"/>
    <cellStyle name="Total 11 4 2 2" xfId="3064" xr:uid="{00000000-0005-0000-0000-00002B0C0000}"/>
    <cellStyle name="Total 11 4 3" xfId="3356" xr:uid="{00000000-0005-0000-0000-00002C0C0000}"/>
    <cellStyle name="Total 11 4 4" xfId="5029" xr:uid="{813EAB71-29BE-4732-9C01-491D05DF074B}"/>
    <cellStyle name="Total 11 4 5" xfId="4703" xr:uid="{1E35D766-ACBC-46D0-87AB-D94230966D63}"/>
    <cellStyle name="Total 11 5" xfId="2433" xr:uid="{00000000-0005-0000-0000-00008C0A0000}"/>
    <cellStyle name="Total 11 5 2" xfId="2797" xr:uid="{00000000-0005-0000-0000-00008D0A0000}"/>
    <cellStyle name="Total 11 5 2 2" xfId="3063" xr:uid="{00000000-0005-0000-0000-00002F0C0000}"/>
    <cellStyle name="Total 11 5 3" xfId="3355" xr:uid="{00000000-0005-0000-0000-0000300C0000}"/>
    <cellStyle name="Total 11 5 4" xfId="5031" xr:uid="{31F940A1-38D9-46C8-ABF2-17A9D69AA3BC}"/>
    <cellStyle name="Total 11 5 5" xfId="4842" xr:uid="{258A04D1-F48C-4425-8A7B-A370C3672645}"/>
    <cellStyle name="Total 11 6" xfId="2434" xr:uid="{00000000-0005-0000-0000-00008E0A0000}"/>
    <cellStyle name="Total 11 6 2" xfId="2798" xr:uid="{00000000-0005-0000-0000-00008F0A0000}"/>
    <cellStyle name="Total 11 6 2 2" xfId="3062" xr:uid="{00000000-0005-0000-0000-0000330C0000}"/>
    <cellStyle name="Total 11 6 3" xfId="3354" xr:uid="{00000000-0005-0000-0000-0000340C0000}"/>
    <cellStyle name="Total 11 6 4" xfId="5026" xr:uid="{018E4A68-89E3-4629-AF33-7168817874E3}"/>
    <cellStyle name="Total 11 6 5" xfId="5211" xr:uid="{AD7AFEAF-9F6B-491F-919A-2B24F1F427AF}"/>
    <cellStyle name="Total 2" xfId="243" xr:uid="{00000000-0005-0000-0000-0000900A0000}"/>
    <cellStyle name="Total 2 10" xfId="4665" xr:uid="{D9797BA3-1036-44C6-8474-C959FFD0392D}"/>
    <cellStyle name="Total 2 2" xfId="2435" xr:uid="{00000000-0005-0000-0000-0000910A0000}"/>
    <cellStyle name="Total 2 2 2" xfId="2799" xr:uid="{00000000-0005-0000-0000-0000920A0000}"/>
    <cellStyle name="Total 2 2 2 2" xfId="3061" xr:uid="{00000000-0005-0000-0000-0000380C0000}"/>
    <cellStyle name="Total 2 2 3" xfId="3353" xr:uid="{00000000-0005-0000-0000-0000390C0000}"/>
    <cellStyle name="Total 2 2 4" xfId="4630" xr:uid="{5114F2BD-BE4E-42B9-94D0-2768175F7F88}"/>
    <cellStyle name="Total 2 2 5" xfId="4974" xr:uid="{AB3E516C-4AC1-4062-A684-9F8B886BA7FB}"/>
    <cellStyle name="Total 2 3" xfId="2436" xr:uid="{00000000-0005-0000-0000-0000930A0000}"/>
    <cellStyle name="Total 2 3 2" xfId="2800" xr:uid="{00000000-0005-0000-0000-0000940A0000}"/>
    <cellStyle name="Total 2 3 2 2" xfId="3023" xr:uid="{00000000-0005-0000-0000-00003C0C0000}"/>
    <cellStyle name="Total 2 3 3" xfId="3352" xr:uid="{00000000-0005-0000-0000-00003D0C0000}"/>
    <cellStyle name="Total 2 3 4" xfId="4671" xr:uid="{40B4BFA2-0E04-48AD-9ACC-A3A6A6B14AE4}"/>
    <cellStyle name="Total 2 3 5" xfId="4840" xr:uid="{030535CE-B26D-4DBF-B3EB-5BCCCF05DADB}"/>
    <cellStyle name="Total 2 3 6" xfId="4569" xr:uid="{84AEA21A-2314-4175-BD63-213A269E2AFE}"/>
    <cellStyle name="Total 2 3 7" xfId="3968" xr:uid="{CD900525-5E88-4E66-B20E-95EE39722EB4}"/>
    <cellStyle name="Total 2 4" xfId="2437" xr:uid="{00000000-0005-0000-0000-0000950A0000}"/>
    <cellStyle name="Total 2 4 2" xfId="2801" xr:uid="{00000000-0005-0000-0000-0000960A0000}"/>
    <cellStyle name="Total 2 4 2 2" xfId="3060" xr:uid="{00000000-0005-0000-0000-0000400C0000}"/>
    <cellStyle name="Total 2 4 3" xfId="3351" xr:uid="{00000000-0005-0000-0000-0000410C0000}"/>
    <cellStyle name="Total 2 4 4" xfId="4685" xr:uid="{D387DF93-3476-4BC2-BD3E-2675AE4943EB}"/>
    <cellStyle name="Total 2 4 5" xfId="4841" xr:uid="{60F574D7-EEBC-42DE-BDCF-8411808DA8CE}"/>
    <cellStyle name="Total 2 4 6" xfId="4570" xr:uid="{4BE919A9-F135-4501-87C5-A31871B6BE12}"/>
    <cellStyle name="Total 2 4 7" xfId="4261" xr:uid="{CEFC0035-1A7D-48F5-9BBC-E77BE78D2645}"/>
    <cellStyle name="Total 2 5" xfId="2438" xr:uid="{00000000-0005-0000-0000-0000970A0000}"/>
    <cellStyle name="Total 2 5 2" xfId="2802" xr:uid="{00000000-0005-0000-0000-0000980A0000}"/>
    <cellStyle name="Total 2 5 2 2" xfId="3059" xr:uid="{00000000-0005-0000-0000-0000440C0000}"/>
    <cellStyle name="Total 2 5 3" xfId="3350" xr:uid="{00000000-0005-0000-0000-0000450C0000}"/>
    <cellStyle name="Total 2 5 4" xfId="5081" xr:uid="{7487B002-EAC0-4DB3-9359-2CF2D914D9BB}"/>
    <cellStyle name="Total 2 5 5" xfId="4839" xr:uid="{18106664-CB6D-45A7-B80C-6CA38EC830FB}"/>
    <cellStyle name="Total 2 5 6" xfId="4571" xr:uid="{4EB380F9-C7CB-4B8B-8F91-A6492EE8CC74}"/>
    <cellStyle name="Total 2 5 7" xfId="4475" xr:uid="{9C8EF0AA-E462-45AE-818E-61D3B36AD584}"/>
    <cellStyle name="Total 2 6" xfId="2439" xr:uid="{00000000-0005-0000-0000-0000990A0000}"/>
    <cellStyle name="Total 2 6 2" xfId="2803" xr:uid="{00000000-0005-0000-0000-00009A0A0000}"/>
    <cellStyle name="Total 2 6 2 2" xfId="3058" xr:uid="{00000000-0005-0000-0000-0000480C0000}"/>
    <cellStyle name="Total 2 6 3" xfId="3349" xr:uid="{00000000-0005-0000-0000-0000490C0000}"/>
    <cellStyle name="Total 2 6 4" xfId="4712" xr:uid="{0D0ECF23-3D07-4B48-B665-5D8E34825425}"/>
    <cellStyle name="Total 2 6 5" xfId="5104" xr:uid="{82AFBD78-DD7F-42E8-B069-28A8E9E7B968}"/>
    <cellStyle name="Total 2 6 6" xfId="4572" xr:uid="{CD566DF9-E716-41E4-81DC-95F8DC009858}"/>
    <cellStyle name="Total 2 6 7" xfId="4146" xr:uid="{ADF8CEA8-9E5B-41EB-81C8-189C7125448F}"/>
    <cellStyle name="Total 2 7" xfId="2770" xr:uid="{00000000-0005-0000-0000-00009B0A0000}"/>
    <cellStyle name="Total 2 7 2" xfId="3083" xr:uid="{00000000-0005-0000-0000-00004B0C0000}"/>
    <cellStyle name="Total 2 8" xfId="3039" xr:uid="{00000000-0005-0000-0000-00004C0C0000}"/>
    <cellStyle name="Total 2 8 2" xfId="4586" xr:uid="{A17DA85C-3F0E-4683-BF56-E83E32B562E0}"/>
    <cellStyle name="Total 2 8 3" xfId="4477" xr:uid="{47D2FE62-0327-40A0-8E19-183EE37D1154}"/>
    <cellStyle name="Total 2 9" xfId="5091" xr:uid="{64D95498-6B33-4181-BC30-2CA3696A05E0}"/>
    <cellStyle name="Total 3" xfId="244" xr:uid="{00000000-0005-0000-0000-00009C0A0000}"/>
    <cellStyle name="Total 3 10" xfId="3038" xr:uid="{00000000-0005-0000-0000-00004E0C0000}"/>
    <cellStyle name="Total 3 11" xfId="5141" xr:uid="{F35C270D-A5D9-48AE-BFF2-465E256269E3}"/>
    <cellStyle name="Total 3 12" xfId="4962" xr:uid="{9AFC074C-76BA-4886-8AFC-7AEFCD33E58C}"/>
    <cellStyle name="Total 3 13" xfId="4547" xr:uid="{3F34E67B-99A2-4EAD-8A14-AC005B8C9F3E}"/>
    <cellStyle name="Total 3 2" xfId="2441" xr:uid="{00000000-0005-0000-0000-00009D0A0000}"/>
    <cellStyle name="Total 3 2 2" xfId="2805" xr:uid="{00000000-0005-0000-0000-00009E0A0000}"/>
    <cellStyle name="Total 3 2 2 2" xfId="3056" xr:uid="{00000000-0005-0000-0000-0000510C0000}"/>
    <cellStyle name="Total 3 2 3" xfId="3347" xr:uid="{00000000-0005-0000-0000-0000520C0000}"/>
    <cellStyle name="Total 3 2 4" xfId="4695" xr:uid="{95BCC762-05EF-421D-97D8-C816E8585C9C}"/>
    <cellStyle name="Total 3 2 5" xfId="4843" xr:uid="{04AB50C3-1966-405A-95FB-384C4A0CB0CB}"/>
    <cellStyle name="Total 3 3" xfId="2442" xr:uid="{00000000-0005-0000-0000-00009F0A0000}"/>
    <cellStyle name="Total 3 3 2" xfId="2806" xr:uid="{00000000-0005-0000-0000-0000A00A0000}"/>
    <cellStyle name="Total 3 3 2 2" xfId="3055" xr:uid="{00000000-0005-0000-0000-0000550C0000}"/>
    <cellStyle name="Total 3 3 3" xfId="3346" xr:uid="{00000000-0005-0000-0000-0000560C0000}"/>
    <cellStyle name="Total 3 3 4" xfId="5086" xr:uid="{7E2282F6-9980-41B4-8BD3-3AECDC27D0A2}"/>
    <cellStyle name="Total 3 3 5" xfId="5210" xr:uid="{B0ACDB50-DBCC-44A7-B524-2305BA982083}"/>
    <cellStyle name="Total 3 4" xfId="2443" xr:uid="{00000000-0005-0000-0000-0000A10A0000}"/>
    <cellStyle name="Total 3 4 2" xfId="2807" xr:uid="{00000000-0005-0000-0000-0000A20A0000}"/>
    <cellStyle name="Total 3 4 2 2" xfId="3054" xr:uid="{00000000-0005-0000-0000-0000590C0000}"/>
    <cellStyle name="Total 3 4 3" xfId="3345" xr:uid="{00000000-0005-0000-0000-00005A0C0000}"/>
    <cellStyle name="Total 3 4 4" xfId="4716" xr:uid="{5BEDAD8B-C1C4-466F-AF36-E371A2D67E74}"/>
    <cellStyle name="Total 3 4 5" xfId="5201" xr:uid="{83068EC9-8E39-492E-B956-C782EA061E9D}"/>
    <cellStyle name="Total 3 5" xfId="2444" xr:uid="{00000000-0005-0000-0000-0000A30A0000}"/>
    <cellStyle name="Total 3 5 2" xfId="2808" xr:uid="{00000000-0005-0000-0000-0000A40A0000}"/>
    <cellStyle name="Total 3 5 2 2" xfId="3053" xr:uid="{00000000-0005-0000-0000-00005D0C0000}"/>
    <cellStyle name="Total 3 5 3" xfId="3344" xr:uid="{00000000-0005-0000-0000-00005E0C0000}"/>
    <cellStyle name="Total 3 5 4" xfId="5078" xr:uid="{F061B4C6-2F05-4580-8FF0-7F319E14EBF5}"/>
    <cellStyle name="Total 3 5 5" xfId="4975" xr:uid="{D3202D0D-E955-427E-8BEC-38275F42566F}"/>
    <cellStyle name="Total 3 6" xfId="2445" xr:uid="{00000000-0005-0000-0000-0000A50A0000}"/>
    <cellStyle name="Total 3 6 2" xfId="2809" xr:uid="{00000000-0005-0000-0000-0000A60A0000}"/>
    <cellStyle name="Total 3 6 2 2" xfId="3052" xr:uid="{00000000-0005-0000-0000-0000610C0000}"/>
    <cellStyle name="Total 3 6 3" xfId="3343" xr:uid="{00000000-0005-0000-0000-0000620C0000}"/>
    <cellStyle name="Total 3 6 4" xfId="5032" xr:uid="{73487837-00F6-4E9D-ABC2-0DF5DF82B805}"/>
    <cellStyle name="Total 3 6 5" xfId="4791" xr:uid="{A57E37A3-0712-42B5-8471-6A537DD1CB3B}"/>
    <cellStyle name="Total 3 7" xfId="2446" xr:uid="{00000000-0005-0000-0000-0000A70A0000}"/>
    <cellStyle name="Total 3 7 2" xfId="2810" xr:uid="{00000000-0005-0000-0000-0000A80A0000}"/>
    <cellStyle name="Total 3 7 2 2" xfId="3051" xr:uid="{00000000-0005-0000-0000-0000650C0000}"/>
    <cellStyle name="Total 3 7 3" xfId="3342" xr:uid="{00000000-0005-0000-0000-0000660C0000}"/>
    <cellStyle name="Total 3 7 4" xfId="5033" xr:uid="{4F09E681-58D6-4D69-9F57-9E85DBD5F19B}"/>
    <cellStyle name="Total 3 7 5" xfId="5198" xr:uid="{0AABFF82-B175-4BD1-9C9D-1DC9A53FFBAB}"/>
    <cellStyle name="Total 3 7 6" xfId="4573" xr:uid="{EC36914C-947F-4116-88B9-41C7CAAABC1C}"/>
    <cellStyle name="Total 3 7 7" xfId="4474" xr:uid="{31AB5C0A-10E6-49E8-9C40-68FC612CAA0C}"/>
    <cellStyle name="Total 3 8" xfId="2440" xr:uid="{00000000-0005-0000-0000-0000A90A0000}"/>
    <cellStyle name="Total 3 8 2" xfId="2804" xr:uid="{00000000-0005-0000-0000-0000AA0A0000}"/>
    <cellStyle name="Total 3 8 2 2" xfId="3057" xr:uid="{00000000-0005-0000-0000-0000690C0000}"/>
    <cellStyle name="Total 3 8 3" xfId="3348" xr:uid="{00000000-0005-0000-0000-00006A0C0000}"/>
    <cellStyle name="Total 3 8 4" xfId="5077" xr:uid="{D4DAE979-39BF-4319-AE5F-066165883504}"/>
    <cellStyle name="Total 3 8 5" xfId="4838" xr:uid="{EAC003DA-2B41-47F6-A434-423A89D3BA05}"/>
    <cellStyle name="Total 3 9" xfId="2769" xr:uid="{00000000-0005-0000-0000-0000AB0A0000}"/>
    <cellStyle name="Total 3 9 2" xfId="3084" xr:uid="{00000000-0005-0000-0000-00006C0C0000}"/>
    <cellStyle name="Total 4" xfId="245" xr:uid="{00000000-0005-0000-0000-0000AC0A0000}"/>
    <cellStyle name="Total 4 10" xfId="3037" xr:uid="{00000000-0005-0000-0000-00006E0C0000}"/>
    <cellStyle name="Total 4 11" xfId="4749" xr:uid="{DC9A587C-2933-42FE-A33E-19D79D5C7542}"/>
    <cellStyle name="Total 4 12" xfId="4759" xr:uid="{2F4E5796-70D4-49FA-A397-A1A9D7D89A42}"/>
    <cellStyle name="Total 4 2" xfId="2448" xr:uid="{00000000-0005-0000-0000-0000AD0A0000}"/>
    <cellStyle name="Total 4 2 2" xfId="2812" xr:uid="{00000000-0005-0000-0000-0000AE0A0000}"/>
    <cellStyle name="Total 4 2 2 2" xfId="3050" xr:uid="{00000000-0005-0000-0000-0000710C0000}"/>
    <cellStyle name="Total 4 2 3" xfId="3340" xr:uid="{00000000-0005-0000-0000-0000720C0000}"/>
    <cellStyle name="Total 4 2 4" xfId="5127" xr:uid="{9DF35E0C-8AEF-48C8-8D4E-EC0CBC6A97E2}"/>
    <cellStyle name="Total 4 2 5" xfId="5090" xr:uid="{0C1CDB07-10F5-4E0A-A1B3-413958037668}"/>
    <cellStyle name="Total 4 2 6" xfId="4574" xr:uid="{F0EE9780-E3BA-4F07-AC2E-007179D0140E}"/>
    <cellStyle name="Total 4 2 7" xfId="4473" xr:uid="{8D26EE6D-9898-4E95-8CD3-6581A845DC91}"/>
    <cellStyle name="Total 4 3" xfId="2449" xr:uid="{00000000-0005-0000-0000-0000AF0A0000}"/>
    <cellStyle name="Total 4 3 2" xfId="2813" xr:uid="{00000000-0005-0000-0000-0000B00A0000}"/>
    <cellStyle name="Total 4 3 2 2" xfId="3049" xr:uid="{00000000-0005-0000-0000-0000750C0000}"/>
    <cellStyle name="Total 4 3 3" xfId="3339" xr:uid="{00000000-0005-0000-0000-0000760C0000}"/>
    <cellStyle name="Total 4 3 4" xfId="5137" xr:uid="{66491BF4-89B5-4E6F-BA33-C46EFB898033}"/>
    <cellStyle name="Total 4 3 5" xfId="4790" xr:uid="{477247EA-594A-4E9C-90BD-370DA1F2C00F}"/>
    <cellStyle name="Total 4 4" xfId="2450" xr:uid="{00000000-0005-0000-0000-0000B10A0000}"/>
    <cellStyle name="Total 4 4 2" xfId="2814" xr:uid="{00000000-0005-0000-0000-0000B20A0000}"/>
    <cellStyle name="Total 4 4 2 2" xfId="3048" xr:uid="{00000000-0005-0000-0000-0000790C0000}"/>
    <cellStyle name="Total 4 4 3" xfId="3338" xr:uid="{00000000-0005-0000-0000-00007A0C0000}"/>
    <cellStyle name="Total 4 4 4" xfId="4693" xr:uid="{D69610D5-63AA-4F95-91ED-3B3C9A1F97DA}"/>
    <cellStyle name="Total 4 4 5" xfId="4979" xr:uid="{6058D9CF-70AE-43C2-A552-D5709256B1A9}"/>
    <cellStyle name="Total 4 5" xfId="2451" xr:uid="{00000000-0005-0000-0000-0000B30A0000}"/>
    <cellStyle name="Total 4 5 2" xfId="2815" xr:uid="{00000000-0005-0000-0000-0000B40A0000}"/>
    <cellStyle name="Total 4 5 2 2" xfId="3047" xr:uid="{00000000-0005-0000-0000-00007D0C0000}"/>
    <cellStyle name="Total 4 5 3" xfId="3337" xr:uid="{00000000-0005-0000-0000-00007E0C0000}"/>
    <cellStyle name="Total 4 5 4" xfId="4713" xr:uid="{77C8A685-B607-4E13-9D7A-FB28F54CCF62}"/>
    <cellStyle name="Total 4 5 5" xfId="4836" xr:uid="{4AB18D63-8588-4093-A575-E068DF3A01DF}"/>
    <cellStyle name="Total 4 6" xfId="2452" xr:uid="{00000000-0005-0000-0000-0000B50A0000}"/>
    <cellStyle name="Total 4 6 2" xfId="2816" xr:uid="{00000000-0005-0000-0000-0000B60A0000}"/>
    <cellStyle name="Total 4 6 2 2" xfId="3046" xr:uid="{00000000-0005-0000-0000-0000810C0000}"/>
    <cellStyle name="Total 4 6 3" xfId="3336" xr:uid="{00000000-0005-0000-0000-0000820C0000}"/>
    <cellStyle name="Total 4 6 4" xfId="5034" xr:uid="{15237717-3EFD-43F4-B84D-C425268EF0CF}"/>
    <cellStyle name="Total 4 6 5" xfId="5192" xr:uid="{E8C8E86C-11D8-41FC-80B2-0E881696DEA0}"/>
    <cellStyle name="Total 4 7" xfId="2453" xr:uid="{00000000-0005-0000-0000-0000B70A0000}"/>
    <cellStyle name="Total 4 7 2" xfId="2817" xr:uid="{00000000-0005-0000-0000-0000B80A0000}"/>
    <cellStyle name="Total 4 7 2 2" xfId="3045" xr:uid="{00000000-0005-0000-0000-0000850C0000}"/>
    <cellStyle name="Total 4 7 3" xfId="3335" xr:uid="{00000000-0005-0000-0000-0000860C0000}"/>
    <cellStyle name="Total 4 7 4" xfId="5080" xr:uid="{DF265FDA-72B0-4D1E-9984-8FD1E3D59C15}"/>
    <cellStyle name="Total 4 7 5" xfId="5214" xr:uid="{47D4AF15-B63D-4E37-93A9-0BBA9A88BC73}"/>
    <cellStyle name="Total 4 8" xfId="2447" xr:uid="{00000000-0005-0000-0000-0000B90A0000}"/>
    <cellStyle name="Total 4 8 2" xfId="2811" xr:uid="{00000000-0005-0000-0000-0000BA0A0000}"/>
    <cellStyle name="Total 4 8 2 2" xfId="3021" xr:uid="{00000000-0005-0000-0000-0000890C0000}"/>
    <cellStyle name="Total 4 8 3" xfId="3341" xr:uid="{00000000-0005-0000-0000-00008A0C0000}"/>
    <cellStyle name="Total 4 8 4" xfId="5079" xr:uid="{43DC8FEB-D121-4922-B7A3-F1762A3BAA4B}"/>
    <cellStyle name="Total 4 8 5" xfId="4622" xr:uid="{A586626D-CCDF-41FB-96A4-FE82EC1E9FA6}"/>
    <cellStyle name="Total 4 9" xfId="2768" xr:uid="{00000000-0005-0000-0000-0000BB0A0000}"/>
    <cellStyle name="Total 4 9 2" xfId="3085" xr:uid="{00000000-0005-0000-0000-00008C0C0000}"/>
    <cellStyle name="Total 5" xfId="246" xr:uid="{00000000-0005-0000-0000-0000BC0A0000}"/>
    <cellStyle name="Total 5 10" xfId="4961" xr:uid="{2FB05ED8-B980-4E15-8CA3-86D5863AD942}"/>
    <cellStyle name="Total 5 2" xfId="2454" xr:uid="{00000000-0005-0000-0000-0000BD0A0000}"/>
    <cellStyle name="Total 5 2 2" xfId="2818" xr:uid="{00000000-0005-0000-0000-0000BE0A0000}"/>
    <cellStyle name="Total 5 2 2 2" xfId="3044" xr:uid="{00000000-0005-0000-0000-0000900C0000}"/>
    <cellStyle name="Total 5 2 3" xfId="3334" xr:uid="{00000000-0005-0000-0000-0000910C0000}"/>
    <cellStyle name="Total 5 2 4" xfId="5185" xr:uid="{5AC4C094-DD22-4938-8EB0-910341F84B43}"/>
    <cellStyle name="Total 5 2 5" xfId="5199" xr:uid="{E1A97A0D-454B-4B23-BD41-D053A4F25A73}"/>
    <cellStyle name="Total 5 3" xfId="2455" xr:uid="{00000000-0005-0000-0000-0000BF0A0000}"/>
    <cellStyle name="Total 5 3 2" xfId="2819" xr:uid="{00000000-0005-0000-0000-0000C00A0000}"/>
    <cellStyle name="Total 5 3 2 2" xfId="3043" xr:uid="{00000000-0005-0000-0000-0000940C0000}"/>
    <cellStyle name="Total 5 3 3" xfId="3333" xr:uid="{00000000-0005-0000-0000-0000950C0000}"/>
    <cellStyle name="Total 5 3 4" xfId="4714" xr:uid="{1503AA89-B8FF-4E31-9C63-0A008ADA5651}"/>
    <cellStyle name="Total 5 3 5" xfId="5200" xr:uid="{C643F6AA-C28A-485B-8F29-8F07DCF46B19}"/>
    <cellStyle name="Total 5 4" xfId="2456" xr:uid="{00000000-0005-0000-0000-0000C10A0000}"/>
    <cellStyle name="Total 5 4 2" xfId="2820" xr:uid="{00000000-0005-0000-0000-0000C20A0000}"/>
    <cellStyle name="Total 5 4 2 2" xfId="3042" xr:uid="{00000000-0005-0000-0000-0000980C0000}"/>
    <cellStyle name="Total 5 4 3" xfId="3332" xr:uid="{00000000-0005-0000-0000-0000990C0000}"/>
    <cellStyle name="Total 5 4 4" xfId="5035" xr:uid="{D85B3290-4B49-486A-8B5A-70A9CFBD18A8}"/>
    <cellStyle name="Total 5 4 5" xfId="5044" xr:uid="{C72983FA-C5A7-45D6-B233-114A72726E09}"/>
    <cellStyle name="Total 5 5" xfId="2457" xr:uid="{00000000-0005-0000-0000-0000C30A0000}"/>
    <cellStyle name="Total 5 5 2" xfId="2821" xr:uid="{00000000-0005-0000-0000-0000C40A0000}"/>
    <cellStyle name="Total 5 5 2 2" xfId="3041" xr:uid="{00000000-0005-0000-0000-00009C0C0000}"/>
    <cellStyle name="Total 5 5 3" xfId="3331" xr:uid="{00000000-0005-0000-0000-00009D0C0000}"/>
    <cellStyle name="Total 5 5 4" xfId="4642" xr:uid="{81BD0493-BFC4-472A-8DEC-A3D2E08A0789}"/>
    <cellStyle name="Total 5 5 5" xfId="5158" xr:uid="{81C307B6-EF78-4946-B49E-D26550C7A84B}"/>
    <cellStyle name="Total 5 6" xfId="2458" xr:uid="{00000000-0005-0000-0000-0000C50A0000}"/>
    <cellStyle name="Total 5 6 2" xfId="2822" xr:uid="{00000000-0005-0000-0000-0000C60A0000}"/>
    <cellStyle name="Total 5 6 2 2" xfId="3018" xr:uid="{00000000-0005-0000-0000-0000A00C0000}"/>
    <cellStyle name="Total 5 6 3" xfId="3330" xr:uid="{00000000-0005-0000-0000-0000A10C0000}"/>
    <cellStyle name="Total 5 6 4" xfId="5036" xr:uid="{4E44E237-E270-4E42-A507-03DBFC2B4351}"/>
    <cellStyle name="Total 5 6 5" xfId="5193" xr:uid="{A18AB6CF-B922-4B67-AAF9-A20FF61A3F62}"/>
    <cellStyle name="Total 5 7" xfId="2767" xr:uid="{00000000-0005-0000-0000-0000C70A0000}"/>
    <cellStyle name="Total 5 7 2" xfId="3086" xr:uid="{00000000-0005-0000-0000-0000A30C0000}"/>
    <cellStyle name="Total 5 8" xfId="3036" xr:uid="{00000000-0005-0000-0000-0000A40C0000}"/>
    <cellStyle name="Total 5 9" xfId="4750" xr:uid="{A35FC503-4EEB-41E9-8F4B-5952811F6831}"/>
    <cellStyle name="Total 6" xfId="247" xr:uid="{00000000-0005-0000-0000-0000C80A0000}"/>
    <cellStyle name="Total 6 10" xfId="5052" xr:uid="{24F2CDED-9943-4787-B552-E5295ABE7F8E}"/>
    <cellStyle name="Total 6 2" xfId="2459" xr:uid="{00000000-0005-0000-0000-0000C90A0000}"/>
    <cellStyle name="Total 6 2 2" xfId="2823" xr:uid="{00000000-0005-0000-0000-0000CA0A0000}"/>
    <cellStyle name="Total 6 2 2 2" xfId="3020" xr:uid="{00000000-0005-0000-0000-0000A80C0000}"/>
    <cellStyle name="Total 6 2 3" xfId="3329" xr:uid="{00000000-0005-0000-0000-0000A90C0000}"/>
    <cellStyle name="Total 6 2 4" xfId="4672" xr:uid="{ED4E33F1-091F-41C0-AA22-AC4E785C7D2C}"/>
    <cellStyle name="Total 6 2 5" xfId="5215" xr:uid="{59918E65-C020-441F-89CF-F03F8C21C225}"/>
    <cellStyle name="Total 6 3" xfId="2460" xr:uid="{00000000-0005-0000-0000-0000CB0A0000}"/>
    <cellStyle name="Total 6 3 2" xfId="2824" xr:uid="{00000000-0005-0000-0000-0000CC0A0000}"/>
    <cellStyle name="Total 6 3 2 2" xfId="3019" xr:uid="{00000000-0005-0000-0000-0000AC0C0000}"/>
    <cellStyle name="Total 6 3 3" xfId="3328" xr:uid="{00000000-0005-0000-0000-0000AD0C0000}"/>
    <cellStyle name="Total 6 3 4" xfId="5037" xr:uid="{A3072A63-B4FF-4F35-816A-ED223DDDF001}"/>
    <cellStyle name="Total 6 3 5" xfId="4619" xr:uid="{DA67F885-4662-4CD8-89D8-1E4BEA0728EF}"/>
    <cellStyle name="Total 6 4" xfId="2461" xr:uid="{00000000-0005-0000-0000-0000CD0A0000}"/>
    <cellStyle name="Total 6 4 2" xfId="2825" xr:uid="{00000000-0005-0000-0000-0000CE0A0000}"/>
    <cellStyle name="Total 6 4 2 2" xfId="3455" xr:uid="{00000000-0005-0000-0000-0000B00C0000}"/>
    <cellStyle name="Total 6 4 3" xfId="3327" xr:uid="{00000000-0005-0000-0000-0000B10C0000}"/>
    <cellStyle name="Total 6 4 4" xfId="5038" xr:uid="{E0298375-3114-4579-9C97-5C543F5ECF76}"/>
    <cellStyle name="Total 6 4 5" xfId="4835" xr:uid="{454DE7E5-0CB0-4F3A-9969-EA20F7EEE9F0}"/>
    <cellStyle name="Total 6 5" xfId="2462" xr:uid="{00000000-0005-0000-0000-0000CF0A0000}"/>
    <cellStyle name="Total 6 5 2" xfId="2826" xr:uid="{00000000-0005-0000-0000-0000D00A0000}"/>
    <cellStyle name="Total 6 5 2 2" xfId="3456" xr:uid="{00000000-0005-0000-0000-0000B40C0000}"/>
    <cellStyle name="Total 6 5 3" xfId="3326" xr:uid="{00000000-0005-0000-0000-0000B50C0000}"/>
    <cellStyle name="Total 6 5 4" xfId="4686" xr:uid="{451C94F5-4343-4DDC-B668-7BF897E70A80}"/>
    <cellStyle name="Total 6 5 5" xfId="5213" xr:uid="{572231AC-43C0-4890-B96E-065B59A9D5B9}"/>
    <cellStyle name="Total 6 6" xfId="2463" xr:uid="{00000000-0005-0000-0000-0000D10A0000}"/>
    <cellStyle name="Total 6 6 2" xfId="2827" xr:uid="{00000000-0005-0000-0000-0000D20A0000}"/>
    <cellStyle name="Total 6 6 2 2" xfId="3457" xr:uid="{00000000-0005-0000-0000-0000B80C0000}"/>
    <cellStyle name="Total 6 6 3" xfId="3325" xr:uid="{00000000-0005-0000-0000-0000B90C0000}"/>
    <cellStyle name="Total 6 6 4" xfId="4687" xr:uid="{3E068E7C-F307-463F-BDA0-83309C44410C}"/>
    <cellStyle name="Total 6 6 5" xfId="4834" xr:uid="{2353755E-7E2B-4DCA-A5F5-3B172CBF0BE7}"/>
    <cellStyle name="Total 6 7" xfId="2766" xr:uid="{00000000-0005-0000-0000-0000D30A0000}"/>
    <cellStyle name="Total 6 7 2" xfId="3087" xr:uid="{00000000-0005-0000-0000-0000BB0C0000}"/>
    <cellStyle name="Total 6 8" xfId="3035" xr:uid="{00000000-0005-0000-0000-0000BC0C0000}"/>
    <cellStyle name="Total 6 9" xfId="4751" xr:uid="{F9CC7853-892B-4BB3-93C1-E702DFB5D86F}"/>
    <cellStyle name="Total 7" xfId="248" xr:uid="{00000000-0005-0000-0000-0000D40A0000}"/>
    <cellStyle name="Total 7 10" xfId="4960" xr:uid="{4B7FDE8B-44B1-4D39-A8F4-6DF0F0628D0C}"/>
    <cellStyle name="Total 7 2" xfId="2464" xr:uid="{00000000-0005-0000-0000-0000D50A0000}"/>
    <cellStyle name="Total 7 2 2" xfId="2828" xr:uid="{00000000-0005-0000-0000-0000D60A0000}"/>
    <cellStyle name="Total 7 2 2 2" xfId="3458" xr:uid="{00000000-0005-0000-0000-0000C00C0000}"/>
    <cellStyle name="Total 7 2 3" xfId="3324" xr:uid="{00000000-0005-0000-0000-0000C10C0000}"/>
    <cellStyle name="Total 7 2 4" xfId="4688" xr:uid="{D7DEA60F-9CF8-4040-ACA0-FF26A9650F45}"/>
    <cellStyle name="Total 7 2 5" xfId="4833" xr:uid="{B3B46C91-30E1-44AC-952F-ECF89168074A}"/>
    <cellStyle name="Total 7 3" xfId="2465" xr:uid="{00000000-0005-0000-0000-0000D70A0000}"/>
    <cellStyle name="Total 7 3 2" xfId="2829" xr:uid="{00000000-0005-0000-0000-0000D80A0000}"/>
    <cellStyle name="Total 7 3 2 2" xfId="3459" xr:uid="{00000000-0005-0000-0000-0000C40C0000}"/>
    <cellStyle name="Total 7 3 3" xfId="3323" xr:uid="{00000000-0005-0000-0000-0000C50C0000}"/>
    <cellStyle name="Total 7 3 4" xfId="5136" xr:uid="{0C9BAD39-F459-4078-86D8-226137C5E170}"/>
    <cellStyle name="Total 7 3 5" xfId="4832" xr:uid="{BC23E458-FAC9-4A73-8408-9C4A0554079B}"/>
    <cellStyle name="Total 7 4" xfId="2466" xr:uid="{00000000-0005-0000-0000-0000D90A0000}"/>
    <cellStyle name="Total 7 4 2" xfId="2830" xr:uid="{00000000-0005-0000-0000-0000DA0A0000}"/>
    <cellStyle name="Total 7 4 2 2" xfId="3460" xr:uid="{00000000-0005-0000-0000-0000C80C0000}"/>
    <cellStyle name="Total 7 4 3" xfId="3322" xr:uid="{00000000-0005-0000-0000-0000C90C0000}"/>
    <cellStyle name="Total 7 4 4" xfId="4689" xr:uid="{51703093-CA47-47BE-ADCC-1E7BB98BE1F5}"/>
    <cellStyle name="Total 7 4 5" xfId="4837" xr:uid="{3925FD7F-6CA9-49A6-B08D-FEE0A441EC5C}"/>
    <cellStyle name="Total 7 5" xfId="2467" xr:uid="{00000000-0005-0000-0000-0000DB0A0000}"/>
    <cellStyle name="Total 7 5 2" xfId="2831" xr:uid="{00000000-0005-0000-0000-0000DC0A0000}"/>
    <cellStyle name="Total 7 5 2 2" xfId="3461" xr:uid="{00000000-0005-0000-0000-0000CC0C0000}"/>
    <cellStyle name="Total 7 5 3" xfId="3321" xr:uid="{00000000-0005-0000-0000-0000CD0C0000}"/>
    <cellStyle name="Total 7 5 4" xfId="4649" xr:uid="{2C749951-0331-409E-9F70-B4FA4C25AED3}"/>
    <cellStyle name="Total 7 5 5" xfId="5209" xr:uid="{559AEFEF-FF49-4ECE-9058-29F72D1EEAE5}"/>
    <cellStyle name="Total 7 6" xfId="2468" xr:uid="{00000000-0005-0000-0000-0000DD0A0000}"/>
    <cellStyle name="Total 7 6 2" xfId="2832" xr:uid="{00000000-0005-0000-0000-0000DE0A0000}"/>
    <cellStyle name="Total 7 6 2 2" xfId="3462" xr:uid="{00000000-0005-0000-0000-0000D00C0000}"/>
    <cellStyle name="Total 7 6 3" xfId="3032" xr:uid="{00000000-0005-0000-0000-0000D10C0000}"/>
    <cellStyle name="Total 7 6 4" xfId="4690" xr:uid="{EE0F5E32-BE3E-41AF-8B0E-A5C889729F9F}"/>
    <cellStyle name="Total 7 6 5" xfId="5208" xr:uid="{7B5EE58C-BC70-407A-BFBA-DE66D3DFAA40}"/>
    <cellStyle name="Total 7 7" xfId="2765" xr:uid="{00000000-0005-0000-0000-0000DF0A0000}"/>
    <cellStyle name="Total 7 7 2" xfId="3088" xr:uid="{00000000-0005-0000-0000-0000D30C0000}"/>
    <cellStyle name="Total 7 8" xfId="3434" xr:uid="{00000000-0005-0000-0000-0000D40C0000}"/>
    <cellStyle name="Total 7 9" xfId="5053" xr:uid="{D7D70BF8-95BB-453F-85C7-325AC0D9F797}"/>
    <cellStyle name="Total 8 2" xfId="2469" xr:uid="{00000000-0005-0000-0000-0000E00A0000}"/>
    <cellStyle name="Total 8 2 2" xfId="2833" xr:uid="{00000000-0005-0000-0000-0000E10A0000}"/>
    <cellStyle name="Total 8 2 2 2" xfId="3463" xr:uid="{00000000-0005-0000-0000-0000D70C0000}"/>
    <cellStyle name="Total 8 2 3" xfId="3030" xr:uid="{00000000-0005-0000-0000-0000D80C0000}"/>
    <cellStyle name="Total 8 2 4" xfId="4691" xr:uid="{A8D480E5-2124-4D0E-B0CA-8956720FF17F}"/>
    <cellStyle name="Total 8 2 5" xfId="5207" xr:uid="{72B8C468-BE13-454B-93F1-B6D044170BA3}"/>
    <cellStyle name="Total 8 3" xfId="2470" xr:uid="{00000000-0005-0000-0000-0000E20A0000}"/>
    <cellStyle name="Total 8 3 2" xfId="2834" xr:uid="{00000000-0005-0000-0000-0000E30A0000}"/>
    <cellStyle name="Total 8 3 2 2" xfId="3464" xr:uid="{00000000-0005-0000-0000-0000DB0C0000}"/>
    <cellStyle name="Total 8 3 3" xfId="3320" xr:uid="{00000000-0005-0000-0000-0000DC0C0000}"/>
    <cellStyle name="Total 8 3 4" xfId="4692" xr:uid="{D1B0E516-CB67-43DB-9967-E586FA7D6FC6}"/>
    <cellStyle name="Total 8 3 5" xfId="5206" xr:uid="{332CFA57-D8CF-4D34-AB34-E4BA2A7CF0C8}"/>
    <cellStyle name="Total 8 4" xfId="2471" xr:uid="{00000000-0005-0000-0000-0000E40A0000}"/>
    <cellStyle name="Total 8 4 2" xfId="2835" xr:uid="{00000000-0005-0000-0000-0000E50A0000}"/>
    <cellStyle name="Total 8 4 2 2" xfId="3465" xr:uid="{00000000-0005-0000-0000-0000DF0C0000}"/>
    <cellStyle name="Total 8 4 3" xfId="3319" xr:uid="{00000000-0005-0000-0000-0000E00C0000}"/>
    <cellStyle name="Total 8 4 4" xfId="5039" xr:uid="{2077FC13-A32D-4D9E-A7E3-A606FC6B87A7}"/>
    <cellStyle name="Total 8 4 5" xfId="5205" xr:uid="{37CDF320-D7CE-4349-BFF2-ED42CC7B727A}"/>
    <cellStyle name="Total 8 5" xfId="2472" xr:uid="{00000000-0005-0000-0000-0000E60A0000}"/>
    <cellStyle name="Total 8 5 2" xfId="2836" xr:uid="{00000000-0005-0000-0000-0000E70A0000}"/>
    <cellStyle name="Total 8 5 2 2" xfId="3466" xr:uid="{00000000-0005-0000-0000-0000E30C0000}"/>
    <cellStyle name="Total 8 5 3" xfId="3318" xr:uid="{00000000-0005-0000-0000-0000E40C0000}"/>
    <cellStyle name="Total 8 5 4" xfId="5040" xr:uid="{FAF2BEA6-0BB5-45CB-AF23-3A352E495FE5}"/>
    <cellStyle name="Total 8 5 5" xfId="5204" xr:uid="{1BDC1F74-2069-498B-A942-79B072364802}"/>
    <cellStyle name="Total 8 6" xfId="2473" xr:uid="{00000000-0005-0000-0000-0000E80A0000}"/>
    <cellStyle name="Total 8 6 2" xfId="2837" xr:uid="{00000000-0005-0000-0000-0000E90A0000}"/>
    <cellStyle name="Total 8 6 2 2" xfId="3467" xr:uid="{00000000-0005-0000-0000-0000E70C0000}"/>
    <cellStyle name="Total 8 6 3" xfId="3317" xr:uid="{00000000-0005-0000-0000-0000E80C0000}"/>
    <cellStyle name="Total 8 6 4" xfId="5041" xr:uid="{A24C7206-C5FC-4294-950A-50CB89208777}"/>
    <cellStyle name="Total 8 6 5" xfId="5048" xr:uid="{DB2A6AA4-F8AC-48C8-A441-F7F5A5DD9E07}"/>
    <cellStyle name="Total 9 2" xfId="2474" xr:uid="{00000000-0005-0000-0000-0000EA0A0000}"/>
    <cellStyle name="Total 9 2 2" xfId="2838" xr:uid="{00000000-0005-0000-0000-0000EB0A0000}"/>
    <cellStyle name="Total 9 2 2 2" xfId="3468" xr:uid="{00000000-0005-0000-0000-0000EB0C0000}"/>
    <cellStyle name="Total 9 2 3" xfId="3316" xr:uid="{00000000-0005-0000-0000-0000EC0C0000}"/>
    <cellStyle name="Total 9 2 4" xfId="4632" xr:uid="{1C6ABC85-95A7-4897-8AD1-7B3FD4A41E88}"/>
    <cellStyle name="Total 9 2 5" xfId="5203" xr:uid="{5E990E1C-7EB5-4D77-9B6C-C1E1BAB41598}"/>
    <cellStyle name="Total 9 3" xfId="2475" xr:uid="{00000000-0005-0000-0000-0000EC0A0000}"/>
    <cellStyle name="Total 9 3 2" xfId="2839" xr:uid="{00000000-0005-0000-0000-0000ED0A0000}"/>
    <cellStyle name="Total 9 3 2 2" xfId="3469" xr:uid="{00000000-0005-0000-0000-0000EF0C0000}"/>
    <cellStyle name="Total 9 3 3" xfId="3315" xr:uid="{00000000-0005-0000-0000-0000F00C0000}"/>
    <cellStyle name="Total 9 3 4" xfId="4631" xr:uid="{730BAAE6-E917-4454-946F-EC9A31AD9B83}"/>
    <cellStyle name="Total 9 3 5" xfId="5202" xr:uid="{8CEDC2CE-991D-4EB5-9540-253CA80FD0CB}"/>
    <cellStyle name="Total 9 4" xfId="2476" xr:uid="{00000000-0005-0000-0000-0000EE0A0000}"/>
    <cellStyle name="Total 9 4 2" xfId="2840" xr:uid="{00000000-0005-0000-0000-0000EF0A0000}"/>
    <cellStyle name="Total 9 4 2 2" xfId="3470" xr:uid="{00000000-0005-0000-0000-0000F30C0000}"/>
    <cellStyle name="Total 9 4 3" xfId="3314" xr:uid="{00000000-0005-0000-0000-0000F40C0000}"/>
    <cellStyle name="Total 9 4 4" xfId="4673" xr:uid="{703C4B35-1716-4415-BB7B-7A0FA493A91A}"/>
    <cellStyle name="Total 9 4 5" xfId="4980" xr:uid="{7DF56C8C-D8A3-44BD-B82A-8918FCC6144D}"/>
    <cellStyle name="Total 9 5" xfId="2477" xr:uid="{00000000-0005-0000-0000-0000F00A0000}"/>
    <cellStyle name="Total 9 5 2" xfId="2841" xr:uid="{00000000-0005-0000-0000-0000F10A0000}"/>
    <cellStyle name="Total 9 5 2 2" xfId="3471" xr:uid="{00000000-0005-0000-0000-0000F70C0000}"/>
    <cellStyle name="Total 9 5 3" xfId="3313" xr:uid="{00000000-0005-0000-0000-0000F80C0000}"/>
    <cellStyle name="Total 9 5 4" xfId="5042" xr:uid="{15B9B0A0-B635-446F-9150-ECAFB4B27566}"/>
    <cellStyle name="Total 9 5 5" xfId="5071" xr:uid="{5D09F910-75FE-4288-8422-142C5D17DB90}"/>
    <cellStyle name="Total 9 6" xfId="2478" xr:uid="{00000000-0005-0000-0000-0000F20A0000}"/>
    <cellStyle name="Total 9 6 2" xfId="2842" xr:uid="{00000000-0005-0000-0000-0000F30A0000}"/>
    <cellStyle name="Total 9 6 2 2" xfId="3472" xr:uid="{00000000-0005-0000-0000-0000FB0C0000}"/>
    <cellStyle name="Total 9 6 3" xfId="3312" xr:uid="{00000000-0005-0000-0000-0000FC0C0000}"/>
    <cellStyle name="Total 9 6 4" xfId="5043" xr:uid="{68E91614-1FB1-4B5E-A56B-7AD046FB529D}"/>
    <cellStyle name="Total 9 6 5" xfId="4831" xr:uid="{8520D91A-21C9-454A-8829-DBBEE3379E43}"/>
    <cellStyle name="Warning Text 10 2" xfId="2479" xr:uid="{00000000-0005-0000-0000-0000F40A0000}"/>
    <cellStyle name="Warning Text 10 3" xfId="2480" xr:uid="{00000000-0005-0000-0000-0000F50A0000}"/>
    <cellStyle name="Warning Text 10 4" xfId="2481" xr:uid="{00000000-0005-0000-0000-0000F60A0000}"/>
    <cellStyle name="Warning Text 10 5" xfId="2482" xr:uid="{00000000-0005-0000-0000-0000F70A0000}"/>
    <cellStyle name="Warning Text 10 6" xfId="2483" xr:uid="{00000000-0005-0000-0000-0000F80A0000}"/>
    <cellStyle name="Warning Text 11 2" xfId="2484" xr:uid="{00000000-0005-0000-0000-0000F90A0000}"/>
    <cellStyle name="Warning Text 11 3" xfId="2485" xr:uid="{00000000-0005-0000-0000-0000FA0A0000}"/>
    <cellStyle name="Warning Text 11 4" xfId="2486" xr:uid="{00000000-0005-0000-0000-0000FB0A0000}"/>
    <cellStyle name="Warning Text 11 5" xfId="2487" xr:uid="{00000000-0005-0000-0000-0000FC0A0000}"/>
    <cellStyle name="Warning Text 11 6" xfId="2488" xr:uid="{00000000-0005-0000-0000-0000FD0A0000}"/>
    <cellStyle name="Warning Text 2" xfId="249" xr:uid="{00000000-0005-0000-0000-0000FE0A0000}"/>
    <cellStyle name="Warning Text 2 2" xfId="2489" xr:uid="{00000000-0005-0000-0000-0000FF0A0000}"/>
    <cellStyle name="Warning Text 2 3" xfId="2490" xr:uid="{00000000-0005-0000-0000-0000000B0000}"/>
    <cellStyle name="Warning Text 2 4" xfId="2491" xr:uid="{00000000-0005-0000-0000-0000010B0000}"/>
    <cellStyle name="Warning Text 2 5" xfId="2492" xr:uid="{00000000-0005-0000-0000-0000020B0000}"/>
    <cellStyle name="Warning Text 2 6" xfId="2493" xr:uid="{00000000-0005-0000-0000-0000030B0000}"/>
    <cellStyle name="Warning Text 2 7" xfId="4472" xr:uid="{8AC9F1B4-BBA9-4779-92C3-902609E95C19}"/>
    <cellStyle name="Warning Text 3" xfId="250" xr:uid="{00000000-0005-0000-0000-0000040B0000}"/>
    <cellStyle name="Warning Text 3 2" xfId="2494" xr:uid="{00000000-0005-0000-0000-0000050B0000}"/>
    <cellStyle name="Warning Text 3 3" xfId="2495" xr:uid="{00000000-0005-0000-0000-0000060B0000}"/>
    <cellStyle name="Warning Text 3 4" xfId="2496" xr:uid="{00000000-0005-0000-0000-0000070B0000}"/>
    <cellStyle name="Warning Text 3 5" xfId="2497" xr:uid="{00000000-0005-0000-0000-0000080B0000}"/>
    <cellStyle name="Warning Text 3 6" xfId="2498" xr:uid="{00000000-0005-0000-0000-0000090B0000}"/>
    <cellStyle name="Warning Text 3 7" xfId="4145" xr:uid="{D8C0FE7B-DE81-450B-921D-700B19D56E60}"/>
    <cellStyle name="Warning Text 4" xfId="251" xr:uid="{00000000-0005-0000-0000-00000A0B0000}"/>
    <cellStyle name="Warning Text 4 2" xfId="2499" xr:uid="{00000000-0005-0000-0000-00000B0B0000}"/>
    <cellStyle name="Warning Text 4 3" xfId="2500" xr:uid="{00000000-0005-0000-0000-00000C0B0000}"/>
    <cellStyle name="Warning Text 4 4" xfId="2501" xr:uid="{00000000-0005-0000-0000-00000D0B0000}"/>
    <cellStyle name="Warning Text 4 5" xfId="2502" xr:uid="{00000000-0005-0000-0000-00000E0B0000}"/>
    <cellStyle name="Warning Text 4 6" xfId="2503" xr:uid="{00000000-0005-0000-0000-00000F0B0000}"/>
    <cellStyle name="Warning Text 5" xfId="252" xr:uid="{00000000-0005-0000-0000-0000100B0000}"/>
    <cellStyle name="Warning Text 5 2" xfId="2504" xr:uid="{00000000-0005-0000-0000-0000110B0000}"/>
    <cellStyle name="Warning Text 5 3" xfId="2505" xr:uid="{00000000-0005-0000-0000-0000120B0000}"/>
    <cellStyle name="Warning Text 5 4" xfId="2506" xr:uid="{00000000-0005-0000-0000-0000130B0000}"/>
    <cellStyle name="Warning Text 5 5" xfId="2507" xr:uid="{00000000-0005-0000-0000-0000140B0000}"/>
    <cellStyle name="Warning Text 5 6" xfId="2508" xr:uid="{00000000-0005-0000-0000-0000150B0000}"/>
    <cellStyle name="Warning Text 6" xfId="253" xr:uid="{00000000-0005-0000-0000-0000160B0000}"/>
    <cellStyle name="Warning Text 6 2" xfId="2509" xr:uid="{00000000-0005-0000-0000-0000170B0000}"/>
    <cellStyle name="Warning Text 6 3" xfId="2510" xr:uid="{00000000-0005-0000-0000-0000180B0000}"/>
    <cellStyle name="Warning Text 6 4" xfId="2511" xr:uid="{00000000-0005-0000-0000-0000190B0000}"/>
    <cellStyle name="Warning Text 6 5" xfId="2512" xr:uid="{00000000-0005-0000-0000-00001A0B0000}"/>
    <cellStyle name="Warning Text 6 6" xfId="2513" xr:uid="{00000000-0005-0000-0000-00001B0B0000}"/>
    <cellStyle name="Warning Text 7" xfId="254" xr:uid="{00000000-0005-0000-0000-00001C0B0000}"/>
    <cellStyle name="Warning Text 7 2" xfId="2514" xr:uid="{00000000-0005-0000-0000-00001D0B0000}"/>
    <cellStyle name="Warning Text 7 3" xfId="2515" xr:uid="{00000000-0005-0000-0000-00001E0B0000}"/>
    <cellStyle name="Warning Text 7 4" xfId="2516" xr:uid="{00000000-0005-0000-0000-00001F0B0000}"/>
    <cellStyle name="Warning Text 7 5" xfId="2517" xr:uid="{00000000-0005-0000-0000-0000200B0000}"/>
    <cellStyle name="Warning Text 7 6" xfId="2518" xr:uid="{00000000-0005-0000-0000-0000210B0000}"/>
    <cellStyle name="Warning Text 8 2" xfId="2519" xr:uid="{00000000-0005-0000-0000-0000220B0000}"/>
    <cellStyle name="Warning Text 8 3" xfId="2520" xr:uid="{00000000-0005-0000-0000-0000230B0000}"/>
    <cellStyle name="Warning Text 8 4" xfId="2521" xr:uid="{00000000-0005-0000-0000-0000240B0000}"/>
    <cellStyle name="Warning Text 8 5" xfId="2522" xr:uid="{00000000-0005-0000-0000-0000250B0000}"/>
    <cellStyle name="Warning Text 8 6" xfId="2523" xr:uid="{00000000-0005-0000-0000-0000260B0000}"/>
    <cellStyle name="Warning Text 9 2" xfId="2524" xr:uid="{00000000-0005-0000-0000-0000270B0000}"/>
    <cellStyle name="Warning Text 9 3" xfId="2525" xr:uid="{00000000-0005-0000-0000-0000280B0000}"/>
    <cellStyle name="Warning Text 9 4" xfId="2526" xr:uid="{00000000-0005-0000-0000-0000290B0000}"/>
    <cellStyle name="Warning Text 9 5" xfId="2527" xr:uid="{00000000-0005-0000-0000-00002A0B0000}"/>
    <cellStyle name="Warning Text 9 6" xfId="2528" xr:uid="{00000000-0005-0000-0000-00002B0B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sharedStrings" Target="sharedStrings.xml"/><Relationship Id="rId45"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914400</xdr:colOff>
          <xdr:row>11</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37235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2038350"/>
          <a:ext cx="76200" cy="199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2038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BOHLEN-PC\Workpapers\Clients\Gavin%20SD%20%2337\Gavinwt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BOHLEN-PC\Workpapers\Audits\VillRichAudW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UC FUND"/>
      <sheetName val="BLDG FUND"/>
      <sheetName val="B &amp; I FUND"/>
      <sheetName val="TRANS FUND"/>
      <sheetName val="IMRF FUND"/>
      <sheetName val="S &amp; C FUND"/>
      <sheetName val="WORKING CASH FUND"/>
      <sheetName val="LIAB INS FUND"/>
      <sheetName val="Cash&amp;Inv"/>
      <sheetName val="CashGen"/>
      <sheetName val="Imprest"/>
      <sheetName val="Investments"/>
      <sheetName val="FixedAssets"/>
      <sheetName val="PropTax"/>
      <sheetName val="ReplaceTax"/>
      <sheetName val="Payroll Anaylsis"/>
      <sheetName val="IMRF"/>
      <sheetName val="Tort"/>
      <sheetName val="SocialSecurity"/>
      <sheetName val="LT Debt"/>
      <sheetName val="Leas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Test"/>
      <sheetName val="Cash&amp;Inv"/>
      <sheetName val="CashGen"/>
      <sheetName val="IPTIP"/>
      <sheetName val="CashDisbAcct"/>
      <sheetName val="InterfundLoan"/>
      <sheetName val="InterfundTrans"/>
      <sheetName val="L-TDebt"/>
      <sheetName val="Sales Tax"/>
      <sheetName val="GCX-8"/>
      <sheetName val="DuefromGov"/>
      <sheetName val="StateIncTax"/>
      <sheetName val="PropTaxRec"/>
      <sheetName val="PropTaxRev"/>
      <sheetName val="MFT"/>
      <sheetName val="AcctPay"/>
      <sheetName val="FixedAssets"/>
      <sheetName val="CopsGrant"/>
      <sheetName val="Cks to Tfr"/>
      <sheetName val="WSFixed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A1" t="str">
            <v>Village of Richmond</v>
          </cell>
        </row>
        <row r="2">
          <cell r="A2" t="str">
            <v>Cops Grants</v>
          </cell>
        </row>
        <row r="3">
          <cell r="A3">
            <v>36280</v>
          </cell>
        </row>
        <row r="5">
          <cell r="C5" t="str">
            <v>Copfast       Grant</v>
          </cell>
          <cell r="D5" t="str">
            <v>Copsmore     Grant</v>
          </cell>
          <cell r="E5" t="str">
            <v>Cops PT      Grant</v>
          </cell>
          <cell r="F5" t="str">
            <v>Cops Universal Grant</v>
          </cell>
          <cell r="G5" t="str">
            <v>Total Adjusted Balance</v>
          </cell>
        </row>
        <row r="7">
          <cell r="A7" t="str">
            <v>ASSETS</v>
          </cell>
        </row>
        <row r="9">
          <cell r="A9" t="str">
            <v>Grant receivable</v>
          </cell>
        </row>
        <row r="11">
          <cell r="A11" t="str">
            <v>IPTIP</v>
          </cell>
        </row>
        <row r="13">
          <cell r="A13" t="str">
            <v>TOTAL ASSETS</v>
          </cell>
        </row>
        <row r="18">
          <cell r="A18" t="str">
            <v>LIABILITIES AND EQUITY</v>
          </cell>
        </row>
        <row r="20">
          <cell r="A20" t="str">
            <v>Due to</v>
          </cell>
        </row>
        <row r="22">
          <cell r="A22" t="str">
            <v>Beginning Fund Balance</v>
          </cell>
        </row>
        <row r="24">
          <cell r="A24" t="str">
            <v>Current +/-</v>
          </cell>
        </row>
        <row r="26">
          <cell r="A26" t="str">
            <v>TOTAL LIAB AND EQUITY</v>
          </cell>
        </row>
        <row r="32">
          <cell r="A32" t="str">
            <v>REVENUE</v>
          </cell>
        </row>
        <row r="34">
          <cell r="A34" t="str">
            <v>Grant Income</v>
          </cell>
        </row>
        <row r="36">
          <cell r="A36" t="str">
            <v>Transfer from Police</v>
          </cell>
        </row>
        <row r="38">
          <cell r="A38" t="str">
            <v>Interest income</v>
          </cell>
        </row>
        <row r="40">
          <cell r="A40" t="str">
            <v>TOTAL REVENUE</v>
          </cell>
        </row>
        <row r="43">
          <cell r="A43" t="str">
            <v>EXPENSES</v>
          </cell>
        </row>
        <row r="45">
          <cell r="A45" t="str">
            <v>Salary</v>
          </cell>
        </row>
        <row r="47">
          <cell r="A47" t="str">
            <v>Court Salary</v>
          </cell>
        </row>
        <row r="49">
          <cell r="A49" t="str">
            <v>Fringe Benefits</v>
          </cell>
        </row>
        <row r="51">
          <cell r="A51" t="str">
            <v>Transfer to Police</v>
          </cell>
        </row>
        <row r="53">
          <cell r="A53" t="str">
            <v>TOTAL EXPENSES</v>
          </cell>
        </row>
        <row r="56">
          <cell r="A56" t="str">
            <v>NET INCOME (LOSS)</v>
          </cell>
        </row>
      </sheetData>
      <sheetData sheetId="18" refreshError="1"/>
      <sheetData sheetId="19" refreshError="1"/>
    </sheetDataSet>
  </externalBook>
</externalLink>
</file>

<file path=xl/persons/person.xml><?xml version="1.0" encoding="utf-8"?>
<personList xmlns="http://schemas.microsoft.com/office/spreadsheetml/2018/threadedcomments" xmlns:x="http://schemas.openxmlformats.org/spreadsheetml/2006/main">
  <person displayName="Joseph G. Rondo" id="{F8F33007-6753-4591-816E-29A41B0AB008}" userId="S::jistvanek@EderCasella.com::50a4e78b-8af1-4545-985d-cbdf47417675"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37" dT="2019-10-04T14:38:15.48" personId="{F8F33007-6753-4591-816E-29A41B0AB008}" id="{4C113903-8B57-4845-AE97-F089D9FD58DF}">
    <text>added $1 that was in 200 object</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1966</v>
      </c>
      <c r="B1" s="45"/>
      <c r="C1" s="45"/>
      <c r="D1" s="46"/>
      <c r="I1" s="2133" t="s">
        <v>404</v>
      </c>
      <c r="J1" s="2134"/>
      <c r="K1" s="2134"/>
      <c r="L1" s="2134"/>
      <c r="M1" s="2134"/>
      <c r="N1" s="2134"/>
      <c r="O1" s="2134"/>
      <c r="P1" s="2134"/>
      <c r="Q1" s="2134"/>
      <c r="R1" s="2134"/>
      <c r="S1" s="2134"/>
    </row>
    <row r="2" spans="1:28" ht="12" customHeight="1" x14ac:dyDescent="0.2">
      <c r="A2" s="47" t="s">
        <v>1967</v>
      </c>
      <c r="D2" s="48"/>
      <c r="I2" s="2135" t="s">
        <v>978</v>
      </c>
      <c r="J2" s="2134"/>
      <c r="K2" s="2134"/>
      <c r="L2" s="2134"/>
      <c r="M2" s="2134"/>
      <c r="N2" s="2134"/>
      <c r="O2" s="2134"/>
      <c r="P2" s="2134"/>
      <c r="Q2" s="2134"/>
      <c r="R2" s="2134"/>
      <c r="S2" s="2134"/>
    </row>
    <row r="3" spans="1:28" ht="12" customHeight="1" x14ac:dyDescent="0.2">
      <c r="A3" s="155" t="s">
        <v>1919</v>
      </c>
      <c r="B3" s="156"/>
      <c r="C3" s="156"/>
      <c r="D3" s="157"/>
      <c r="I3" s="2135" t="s">
        <v>52</v>
      </c>
      <c r="J3" s="2134"/>
      <c r="K3" s="2134"/>
      <c r="L3" s="2134"/>
      <c r="M3" s="2134"/>
      <c r="N3" s="2134"/>
      <c r="O3" s="2134"/>
      <c r="P3" s="2134"/>
      <c r="Q3" s="2134"/>
      <c r="R3" s="2134"/>
      <c r="S3" s="2134"/>
    </row>
    <row r="4" spans="1:28" ht="12" customHeight="1" x14ac:dyDescent="0.2">
      <c r="A4" s="37"/>
      <c r="I4" s="2135" t="s">
        <v>523</v>
      </c>
      <c r="J4" s="2134"/>
      <c r="K4" s="2134"/>
      <c r="L4" s="2134"/>
      <c r="M4" s="2134"/>
      <c r="N4" s="2134"/>
      <c r="O4" s="2134"/>
      <c r="P4" s="2134"/>
      <c r="Q4" s="2134"/>
      <c r="R4" s="2134"/>
      <c r="S4" s="2134"/>
    </row>
    <row r="5" spans="1:28" ht="14.1" customHeight="1" x14ac:dyDescent="0.2">
      <c r="B5" s="104" t="s">
        <v>2101</v>
      </c>
      <c r="C5" s="26" t="s">
        <v>909</v>
      </c>
      <c r="D5" s="84"/>
      <c r="E5" s="84"/>
      <c r="H5" s="38"/>
      <c r="I5" s="2142" t="s">
        <v>679</v>
      </c>
      <c r="J5" s="2087"/>
      <c r="K5" s="2087"/>
      <c r="L5" s="2087"/>
      <c r="M5" s="2087"/>
      <c r="N5" s="2087"/>
      <c r="O5" s="2087"/>
      <c r="P5" s="2087"/>
      <c r="Q5" s="2087"/>
      <c r="R5" s="2087"/>
      <c r="S5" s="2087"/>
    </row>
    <row r="6" spans="1:28" ht="14.1" customHeight="1" x14ac:dyDescent="0.2">
      <c r="B6" s="104"/>
      <c r="C6" s="26" t="s">
        <v>910</v>
      </c>
      <c r="D6" s="84"/>
      <c r="E6" s="84"/>
      <c r="I6" s="2141" t="s">
        <v>882</v>
      </c>
      <c r="J6" s="2087"/>
      <c r="K6" s="2087"/>
      <c r="L6" s="2087"/>
      <c r="M6" s="2087"/>
      <c r="N6" s="2087"/>
      <c r="O6" s="2087"/>
      <c r="P6" s="2087"/>
      <c r="Q6" s="2087"/>
      <c r="R6" s="2087"/>
      <c r="S6" s="2087"/>
    </row>
    <row r="7" spans="1:28" ht="12.2" customHeight="1" x14ac:dyDescent="0.2">
      <c r="I7" s="2136">
        <v>43646</v>
      </c>
      <c r="J7" s="2137"/>
      <c r="K7" s="2137"/>
      <c r="L7" s="2137"/>
      <c r="M7" s="2137"/>
      <c r="N7" s="2137"/>
      <c r="O7" s="2137"/>
      <c r="P7" s="2137"/>
      <c r="Q7" s="2137"/>
      <c r="R7" s="2137"/>
      <c r="S7" s="213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138" t="s">
        <v>673</v>
      </c>
      <c r="J9" s="2139"/>
      <c r="K9" s="2139"/>
      <c r="L9" s="2139"/>
      <c r="M9" s="2139"/>
      <c r="N9" s="2139"/>
      <c r="O9" s="2139"/>
      <c r="P9" s="2139"/>
      <c r="Q9" s="2139"/>
      <c r="R9" s="2139"/>
      <c r="S9" s="2140"/>
      <c r="T9" s="2083" t="s">
        <v>532</v>
      </c>
      <c r="U9" s="2084"/>
      <c r="V9" s="2084"/>
      <c r="W9" s="2084"/>
      <c r="X9" s="2084"/>
      <c r="Y9" s="2084"/>
      <c r="Z9" s="2084"/>
      <c r="AA9" s="2085"/>
    </row>
    <row r="10" spans="1:28" ht="13.5" customHeight="1" x14ac:dyDescent="0.2">
      <c r="A10" s="2092" t="s">
        <v>674</v>
      </c>
      <c r="B10" s="2093"/>
      <c r="C10" s="2093"/>
      <c r="D10" s="2093"/>
      <c r="E10" s="2093"/>
      <c r="F10" s="2093"/>
      <c r="G10" s="2093"/>
      <c r="H10" s="2094"/>
      <c r="I10" s="29"/>
      <c r="J10" s="30"/>
      <c r="K10" s="28"/>
      <c r="R10" s="30"/>
      <c r="S10" s="30"/>
      <c r="T10" s="2086"/>
      <c r="U10" s="2087"/>
      <c r="V10" s="2087"/>
      <c r="W10" s="2087"/>
      <c r="X10" s="2087"/>
      <c r="Y10" s="2087"/>
      <c r="Z10" s="2087"/>
      <c r="AA10" s="2088"/>
    </row>
    <row r="11" spans="1:28" ht="14.25" customHeight="1" x14ac:dyDescent="0.2">
      <c r="A11" s="2095" t="s">
        <v>954</v>
      </c>
      <c r="B11" s="2096"/>
      <c r="C11" s="2096"/>
      <c r="D11" s="2096"/>
      <c r="E11" s="2096"/>
      <c r="F11" s="2096"/>
      <c r="G11" s="2096"/>
      <c r="H11" s="2097"/>
      <c r="I11" s="27"/>
      <c r="J11" s="74"/>
      <c r="K11" s="27"/>
      <c r="O11" s="148" t="s">
        <v>2101</v>
      </c>
      <c r="P11" s="100" t="s">
        <v>201</v>
      </c>
      <c r="Q11" s="30"/>
      <c r="R11" s="28"/>
      <c r="S11" s="27"/>
      <c r="T11" s="2089"/>
      <c r="U11" s="2090"/>
      <c r="V11" s="2090"/>
      <c r="W11" s="2090"/>
      <c r="X11" s="2090"/>
      <c r="Y11" s="2090"/>
      <c r="Z11" s="2090"/>
      <c r="AA11" s="2091"/>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103">
        <v>34049073004</v>
      </c>
      <c r="B13" s="2104"/>
      <c r="C13" s="2104"/>
      <c r="D13" s="2104"/>
      <c r="E13" s="2104"/>
      <c r="F13" s="2104"/>
      <c r="G13" s="2104"/>
      <c r="H13" s="2105"/>
      <c r="I13" s="31"/>
      <c r="J13" s="30"/>
      <c r="K13" s="28"/>
      <c r="L13" s="30"/>
      <c r="M13" s="30"/>
      <c r="N13" s="30"/>
      <c r="O13" s="30"/>
      <c r="P13" s="30"/>
      <c r="Q13" s="30"/>
      <c r="R13" s="30"/>
      <c r="S13" s="30"/>
      <c r="T13" s="2108" t="s">
        <v>2038</v>
      </c>
      <c r="U13" s="2109"/>
      <c r="V13" s="2109"/>
      <c r="W13" s="2109"/>
      <c r="X13" s="2109"/>
      <c r="Y13" s="2110"/>
      <c r="Z13" s="2110"/>
      <c r="AA13" s="2111"/>
    </row>
    <row r="14" spans="1:28" ht="14.1" customHeight="1" x14ac:dyDescent="0.2">
      <c r="A14" s="85" t="s">
        <v>712</v>
      </c>
      <c r="B14" s="76"/>
      <c r="C14" s="76"/>
      <c r="D14" s="76"/>
      <c r="E14" s="76"/>
      <c r="F14" s="76"/>
      <c r="G14" s="76"/>
      <c r="H14" s="53"/>
      <c r="I14" s="116"/>
      <c r="S14" s="48"/>
      <c r="T14" s="85" t="s">
        <v>1316</v>
      </c>
      <c r="U14" s="51"/>
      <c r="V14" s="51"/>
      <c r="W14" s="51"/>
      <c r="X14" s="51"/>
      <c r="Y14" s="45"/>
      <c r="Z14" s="45"/>
      <c r="AA14" s="46"/>
    </row>
    <row r="15" spans="1:28" ht="13.5" customHeight="1" x14ac:dyDescent="0.2">
      <c r="A15" s="2101" t="s">
        <v>2103</v>
      </c>
      <c r="B15" s="2106"/>
      <c r="C15" s="2106"/>
      <c r="D15" s="2106"/>
      <c r="E15" s="2106"/>
      <c r="F15" s="2106"/>
      <c r="G15" s="2106"/>
      <c r="H15" s="2107"/>
      <c r="T15" s="2069" t="s">
        <v>2108</v>
      </c>
      <c r="U15" s="2070"/>
      <c r="V15" s="2070"/>
      <c r="W15" s="2070"/>
      <c r="X15" s="2070"/>
      <c r="Y15" s="2112"/>
      <c r="Z15" s="2112"/>
      <c r="AA15" s="2113"/>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2061" t="s">
        <v>2245</v>
      </c>
      <c r="B17" s="2131"/>
      <c r="C17" s="2131"/>
      <c r="D17" s="2131"/>
      <c r="E17" s="2131"/>
      <c r="F17" s="2131"/>
      <c r="G17" s="2131"/>
      <c r="H17" s="2132"/>
      <c r="T17" s="2118" t="s">
        <v>2039</v>
      </c>
      <c r="U17" s="2119"/>
      <c r="V17" s="2119"/>
      <c r="W17" s="2119"/>
      <c r="X17" s="2119"/>
      <c r="Y17" s="2119"/>
      <c r="Z17" s="2119"/>
      <c r="AA17" s="2120"/>
    </row>
    <row r="18" spans="1:27" ht="13.5" customHeight="1" x14ac:dyDescent="0.2">
      <c r="A18" s="85" t="s">
        <v>529</v>
      </c>
      <c r="B18" s="76"/>
      <c r="C18" s="72"/>
      <c r="D18" s="76"/>
      <c r="E18" s="76"/>
      <c r="F18" s="76"/>
      <c r="G18" s="76"/>
      <c r="H18" s="56"/>
      <c r="I18" s="2128" t="s">
        <v>675</v>
      </c>
      <c r="J18" s="2129"/>
      <c r="K18" s="2129"/>
      <c r="L18" s="2129"/>
      <c r="M18" s="2129"/>
      <c r="N18" s="2129"/>
      <c r="O18" s="2129"/>
      <c r="P18" s="2129"/>
      <c r="Q18" s="2129"/>
      <c r="R18" s="2129"/>
      <c r="S18" s="2130"/>
      <c r="T18" s="85" t="s">
        <v>710</v>
      </c>
      <c r="U18" s="51"/>
      <c r="V18" s="72"/>
      <c r="W18" s="50"/>
      <c r="X18" s="85" t="s">
        <v>265</v>
      </c>
      <c r="Y18" s="81"/>
      <c r="Z18" s="159" t="s">
        <v>676</v>
      </c>
      <c r="AA18" s="46"/>
    </row>
    <row r="19" spans="1:27" ht="13.5" customHeight="1" x14ac:dyDescent="0.2">
      <c r="A19" s="2101" t="s">
        <v>2105</v>
      </c>
      <c r="B19" s="2102"/>
      <c r="C19" s="2102"/>
      <c r="D19" s="2102"/>
      <c r="E19" s="2102"/>
      <c r="F19" s="2102"/>
      <c r="G19" s="2102"/>
      <c r="H19" s="2100"/>
      <c r="I19" s="30"/>
      <c r="J19" s="99"/>
      <c r="K19" s="40"/>
      <c r="L19" s="38"/>
      <c r="M19" s="112" t="s">
        <v>314</v>
      </c>
      <c r="P19" s="27"/>
      <c r="Q19" s="27"/>
      <c r="R19" s="27"/>
      <c r="S19" s="31"/>
      <c r="T19" s="2101" t="s">
        <v>2040</v>
      </c>
      <c r="U19" s="2099"/>
      <c r="V19" s="2099"/>
      <c r="W19" s="2100"/>
      <c r="X19" s="2116" t="s">
        <v>2041</v>
      </c>
      <c r="Y19" s="2117"/>
      <c r="Z19" s="2114">
        <v>60050</v>
      </c>
      <c r="AA19" s="2115"/>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2098" t="s">
        <v>2106</v>
      </c>
      <c r="B21" s="2099"/>
      <c r="C21" s="2099"/>
      <c r="D21" s="2099"/>
      <c r="E21" s="2099"/>
      <c r="F21" s="2099"/>
      <c r="G21" s="2099"/>
      <c r="H21" s="2100"/>
      <c r="I21" s="2124" t="s">
        <v>677</v>
      </c>
      <c r="J21" s="2087"/>
      <c r="K21" s="2087"/>
      <c r="L21" s="2087"/>
      <c r="M21" s="2087"/>
      <c r="N21" s="2087"/>
      <c r="O21" s="2087"/>
      <c r="P21" s="2087"/>
      <c r="Q21" s="2087"/>
      <c r="R21" s="2087"/>
      <c r="S21" s="2088"/>
      <c r="T21" s="2066" t="s">
        <v>2042</v>
      </c>
      <c r="U21" s="2067"/>
      <c r="V21" s="2067"/>
      <c r="W21" s="2067"/>
      <c r="X21" s="2080" t="s">
        <v>2043</v>
      </c>
      <c r="Y21" s="2081"/>
      <c r="Z21" s="2081"/>
      <c r="AA21" s="2082"/>
    </row>
    <row r="22" spans="1:27" ht="13.5" customHeight="1" x14ac:dyDescent="0.2">
      <c r="A22" s="87" t="s">
        <v>530</v>
      </c>
      <c r="B22" s="59"/>
      <c r="C22" s="59"/>
      <c r="D22" s="59"/>
      <c r="E22" s="59"/>
      <c r="F22" s="59"/>
      <c r="G22" s="59"/>
      <c r="H22" s="60"/>
      <c r="I22" s="2125" t="s">
        <v>1416</v>
      </c>
      <c r="J22" s="2126"/>
      <c r="K22" s="2126"/>
      <c r="L22" s="2126"/>
      <c r="M22" s="2126"/>
      <c r="N22" s="2126"/>
      <c r="O22" s="2126"/>
      <c r="P22" s="2126"/>
      <c r="Q22" s="2126"/>
      <c r="R22" s="2126"/>
      <c r="S22" s="2127"/>
      <c r="T22" s="85" t="s">
        <v>1503</v>
      </c>
      <c r="U22" s="51"/>
      <c r="V22" s="72"/>
      <c r="W22" s="51"/>
      <c r="X22" s="160" t="s">
        <v>1305</v>
      </c>
      <c r="Z22" s="45"/>
      <c r="AA22" s="46"/>
    </row>
    <row r="23" spans="1:27" ht="13.5" customHeight="1" x14ac:dyDescent="0.2">
      <c r="A23" s="2121" t="s">
        <v>2107</v>
      </c>
      <c r="B23" s="2122"/>
      <c r="C23" s="2122"/>
      <c r="D23" s="2122"/>
      <c r="E23" s="2122"/>
      <c r="F23" s="2122"/>
      <c r="G23" s="2122"/>
      <c r="H23" s="2123"/>
      <c r="T23" s="2061" t="s">
        <v>2044</v>
      </c>
      <c r="U23" s="2062"/>
      <c r="V23" s="2062"/>
      <c r="W23" s="2062"/>
      <c r="X23" s="2077">
        <v>44530</v>
      </c>
      <c r="Y23" s="2078"/>
      <c r="Z23" s="2078"/>
      <c r="AA23" s="2079"/>
    </row>
    <row r="24" spans="1:27" ht="14.1" customHeight="1" x14ac:dyDescent="0.2">
      <c r="A24" s="88" t="s">
        <v>676</v>
      </c>
      <c r="B24" s="49"/>
      <c r="C24" s="49"/>
      <c r="D24" s="49"/>
      <c r="E24" s="49"/>
      <c r="F24" s="49"/>
      <c r="G24" s="49"/>
      <c r="H24" s="61"/>
      <c r="J24" s="2163">
        <f>IF(B5="x",IF(AUDITCHECK!D29="AFR form Incomplete.","",IF(AUDITCHECK!D29="Deficit reduction plan is required.","School District must complete a deficit reduction plan in the 2019-2020 Budget",)),"")</f>
        <v>0</v>
      </c>
      <c r="K24" s="2163"/>
      <c r="L24" s="2163"/>
      <c r="M24" s="2163"/>
      <c r="N24" s="2163"/>
      <c r="O24" s="2163"/>
      <c r="P24" s="2163"/>
      <c r="Q24" s="2163"/>
      <c r="R24" s="2163"/>
      <c r="S24" s="2164"/>
      <c r="T24" s="105" t="s">
        <v>530</v>
      </c>
      <c r="U24" s="106"/>
      <c r="V24" s="106"/>
      <c r="W24" s="106"/>
      <c r="X24" s="107"/>
      <c r="Y24" s="107"/>
      <c r="Z24" s="107"/>
      <c r="AA24" s="108"/>
    </row>
    <row r="25" spans="1:27" ht="14.1" customHeight="1" x14ac:dyDescent="0.2">
      <c r="A25" s="2098">
        <v>60061</v>
      </c>
      <c r="B25" s="2099"/>
      <c r="C25" s="2099"/>
      <c r="D25" s="2099"/>
      <c r="E25" s="2099"/>
      <c r="F25" s="2099"/>
      <c r="G25" s="2099"/>
      <c r="H25" s="2100"/>
      <c r="I25" s="113"/>
      <c r="J25" s="2165"/>
      <c r="K25" s="2165"/>
      <c r="L25" s="2165"/>
      <c r="M25" s="2165"/>
      <c r="N25" s="2165"/>
      <c r="O25" s="2165"/>
      <c r="P25" s="2165"/>
      <c r="Q25" s="2165"/>
      <c r="R25" s="2165"/>
      <c r="S25" s="2166"/>
      <c r="T25" s="2058" t="s">
        <v>2045</v>
      </c>
      <c r="U25" s="2059"/>
      <c r="V25" s="2059"/>
      <c r="W25" s="2059"/>
      <c r="X25" s="2059"/>
      <c r="Y25" s="2059"/>
      <c r="Z25" s="2059"/>
      <c r="AA25" s="206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156" t="s">
        <v>1498</v>
      </c>
      <c r="J27" s="2129"/>
      <c r="K27" s="2129"/>
      <c r="L27" s="2129"/>
      <c r="M27" s="2129"/>
      <c r="N27" s="2129"/>
      <c r="O27" s="2129"/>
      <c r="P27" s="2129"/>
      <c r="Q27" s="2129"/>
      <c r="R27" s="2129"/>
      <c r="S27" s="2130"/>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t="s">
        <v>2101</v>
      </c>
      <c r="C29" s="124" t="s">
        <v>819</v>
      </c>
      <c r="D29" s="114"/>
      <c r="E29" s="136"/>
      <c r="F29" s="141" t="s">
        <v>1303</v>
      </c>
      <c r="G29" s="114"/>
      <c r="I29" s="54"/>
      <c r="J29" s="148" t="s">
        <v>2101</v>
      </c>
      <c r="K29" s="28" t="s">
        <v>575</v>
      </c>
      <c r="L29" s="102"/>
      <c r="M29" s="40" t="s">
        <v>99</v>
      </c>
      <c r="N29" s="32" t="s">
        <v>1510</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48" t="s">
        <v>2101</v>
      </c>
      <c r="K30" s="28" t="s">
        <v>575</v>
      </c>
      <c r="L30" s="102"/>
      <c r="M30" s="40" t="s">
        <v>99</v>
      </c>
      <c r="N30" s="32" t="s">
        <v>1499</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t="s">
        <v>2101</v>
      </c>
      <c r="K31" s="40" t="s">
        <v>884</v>
      </c>
      <c r="L31" s="102"/>
      <c r="M31" s="40" t="s">
        <v>99</v>
      </c>
      <c r="N31" s="32" t="s">
        <v>1587</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2102"/>
      <c r="Q35" s="2099"/>
      <c r="R35" s="209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2061"/>
      <c r="B38" s="2131"/>
      <c r="C38" s="2131"/>
      <c r="D38" s="2131"/>
      <c r="E38" s="2131"/>
      <c r="F38" s="2099"/>
      <c r="G38" s="2099"/>
      <c r="H38" s="2100"/>
      <c r="I38" s="2150"/>
      <c r="J38" s="2070"/>
      <c r="K38" s="2070"/>
      <c r="L38" s="2070"/>
      <c r="M38" s="2070"/>
      <c r="N38" s="2070"/>
      <c r="O38" s="2070"/>
      <c r="P38" s="2071"/>
      <c r="Q38" s="2071"/>
      <c r="R38" s="2071"/>
      <c r="S38" s="2072"/>
      <c r="T38" s="2069"/>
      <c r="U38" s="2070"/>
      <c r="V38" s="2070"/>
      <c r="W38" s="2070"/>
      <c r="X38" s="2071"/>
      <c r="Y38" s="2071"/>
      <c r="Z38" s="2071"/>
      <c r="AA38" s="2072"/>
    </row>
    <row r="39" spans="1:27" ht="12" customHeight="1" x14ac:dyDescent="0.2">
      <c r="A39" s="2154" t="s">
        <v>530</v>
      </c>
      <c r="B39" s="2155"/>
      <c r="C39" s="72"/>
      <c r="D39" s="69"/>
      <c r="E39" s="69"/>
      <c r="F39" s="79"/>
      <c r="G39" s="69"/>
      <c r="H39" s="56"/>
      <c r="I39" s="2154" t="s">
        <v>530</v>
      </c>
      <c r="J39" s="2155"/>
      <c r="K39" s="2155"/>
      <c r="L39" s="2155"/>
      <c r="M39" s="2155"/>
      <c r="N39" s="67"/>
      <c r="O39" s="72"/>
      <c r="P39" s="72"/>
      <c r="Q39" s="78"/>
      <c r="R39" s="72"/>
      <c r="S39" s="56"/>
      <c r="T39" s="72" t="s">
        <v>530</v>
      </c>
      <c r="U39" s="51"/>
      <c r="V39" s="72"/>
      <c r="W39" s="50"/>
      <c r="X39" s="78"/>
      <c r="Y39" s="45"/>
      <c r="Z39" s="45"/>
      <c r="AA39" s="46"/>
    </row>
    <row r="40" spans="1:27" ht="13.5" customHeight="1" x14ac:dyDescent="0.2">
      <c r="A40" s="2157"/>
      <c r="B40" s="2158"/>
      <c r="C40" s="2159"/>
      <c r="D40" s="2159"/>
      <c r="E40" s="2159"/>
      <c r="F40" s="2160"/>
      <c r="G40" s="2160"/>
      <c r="H40" s="2161"/>
      <c r="I40" s="2073"/>
      <c r="J40" s="2075"/>
      <c r="K40" s="2075"/>
      <c r="L40" s="2075"/>
      <c r="M40" s="2075"/>
      <c r="N40" s="2075"/>
      <c r="O40" s="2075"/>
      <c r="P40" s="2075"/>
      <c r="Q40" s="2075"/>
      <c r="R40" s="2075"/>
      <c r="S40" s="2076"/>
      <c r="T40" s="2073"/>
      <c r="U40" s="2074"/>
      <c r="V40" s="2075"/>
      <c r="W40" s="2075"/>
      <c r="X40" s="2075"/>
      <c r="Y40" s="2075"/>
      <c r="Z40" s="2075"/>
      <c r="AA40" s="2076"/>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147"/>
      <c r="B42" s="2148"/>
      <c r="C42" s="2149"/>
      <c r="D42" s="2162"/>
      <c r="E42" s="2148"/>
      <c r="F42" s="2148"/>
      <c r="G42" s="2148"/>
      <c r="H42" s="2149"/>
      <c r="I42" s="2068"/>
      <c r="J42" s="2064"/>
      <c r="K42" s="2064"/>
      <c r="L42" s="2064"/>
      <c r="M42" s="2064"/>
      <c r="N42" s="2064"/>
      <c r="O42" s="2065"/>
      <c r="P42" s="2063"/>
      <c r="Q42" s="2064"/>
      <c r="R42" s="2064"/>
      <c r="S42" s="2065"/>
      <c r="T42" s="2068"/>
      <c r="U42" s="2064"/>
      <c r="V42" s="2064"/>
      <c r="W42" s="2065"/>
      <c r="X42" s="2063"/>
      <c r="Y42" s="2064"/>
      <c r="Z42" s="2064"/>
      <c r="AA42" s="2065"/>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151"/>
      <c r="B44" s="2152"/>
      <c r="C44" s="2152"/>
      <c r="D44" s="2152"/>
      <c r="E44" s="2152"/>
      <c r="F44" s="2152"/>
      <c r="G44" s="2152"/>
      <c r="H44" s="2153"/>
      <c r="I44" s="2143"/>
      <c r="J44" s="2145"/>
      <c r="K44" s="2145"/>
      <c r="L44" s="2145"/>
      <c r="M44" s="2145"/>
      <c r="N44" s="2145"/>
      <c r="O44" s="2145"/>
      <c r="P44" s="2145"/>
      <c r="Q44" s="2145"/>
      <c r="R44" s="2145"/>
      <c r="S44" s="2146"/>
      <c r="T44" s="2143"/>
      <c r="U44" s="2144"/>
      <c r="V44" s="2144"/>
      <c r="W44" s="2144"/>
      <c r="X44" s="2144"/>
      <c r="Y44" s="2144"/>
      <c r="Z44" s="2145"/>
      <c r="AA44" s="2146"/>
    </row>
    <row r="45" spans="1:27" ht="13.5" customHeight="1" x14ac:dyDescent="0.2">
      <c r="A45" s="41" t="s">
        <v>186</v>
      </c>
      <c r="Q45" s="41" t="s">
        <v>1406</v>
      </c>
      <c r="R45" s="41"/>
      <c r="S45" s="41"/>
      <c r="T45" s="147"/>
      <c r="U45" s="41"/>
      <c r="V45" s="41"/>
      <c r="W45" s="41"/>
      <c r="X45" s="41"/>
      <c r="Y45" s="41"/>
      <c r="Z45" s="41"/>
      <c r="AA45" s="41"/>
    </row>
    <row r="46" spans="1:27" ht="10.5" customHeight="1" x14ac:dyDescent="0.2">
      <c r="A46" s="42" t="s">
        <v>1918</v>
      </c>
      <c r="D46" s="41"/>
      <c r="E46" s="41"/>
      <c r="F46" s="41"/>
      <c r="G46" s="41"/>
      <c r="Q46" s="29" t="s">
        <v>1407</v>
      </c>
      <c r="R46" s="41"/>
      <c r="S46" s="41"/>
      <c r="T46" s="41"/>
      <c r="U46" s="41"/>
      <c r="V46" s="41"/>
      <c r="W46" s="41"/>
      <c r="X46" s="41"/>
      <c r="Y46" s="41"/>
      <c r="Z46" s="41"/>
      <c r="AA46" s="41"/>
    </row>
    <row r="47" spans="1:27" x14ac:dyDescent="0.2">
      <c r="A47" s="137"/>
      <c r="Q47" s="41" t="s">
        <v>1900</v>
      </c>
      <c r="R47" s="41"/>
      <c r="S47" s="41"/>
      <c r="T47" s="41"/>
      <c r="U47" s="41"/>
      <c r="V47" s="41"/>
      <c r="W47" s="41"/>
      <c r="X47" s="41"/>
      <c r="Y47" s="41"/>
      <c r="Z47" s="41"/>
      <c r="AA47" s="41"/>
    </row>
    <row r="48" spans="1:27" x14ac:dyDescent="0.2">
      <c r="Q48" s="41" t="s">
        <v>1901</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9"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colorId="8" zoomScale="110" zoomScaleNormal="110" workbookViewId="0">
      <selection activeCell="E19" sqref="E19"/>
    </sheetView>
  </sheetViews>
  <sheetFormatPr defaultRowHeight="12.75" x14ac:dyDescent="0.2"/>
  <cols>
    <col min="1" max="1" width="41.42578125" style="252" customWidth="1"/>
    <col min="2" max="3" width="17.7109375" style="685" customWidth="1"/>
    <col min="4" max="5" width="17.7109375" style="686"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36" t="s">
        <v>104</v>
      </c>
    </row>
    <row r="2" spans="1:6" ht="39.75" customHeight="1" x14ac:dyDescent="0.2">
      <c r="A2" s="2300" t="s">
        <v>1776</v>
      </c>
      <c r="B2" s="1481" t="s">
        <v>1925</v>
      </c>
      <c r="C2" s="687" t="s">
        <v>1926</v>
      </c>
      <c r="D2" s="687" t="s">
        <v>1927</v>
      </c>
      <c r="E2" s="687" t="s">
        <v>1928</v>
      </c>
      <c r="F2" s="687" t="s">
        <v>1929</v>
      </c>
    </row>
    <row r="3" spans="1:6" ht="12" customHeight="1" x14ac:dyDescent="0.2">
      <c r="A3" s="2301"/>
      <c r="B3" s="1478"/>
      <c r="C3" s="1479"/>
      <c r="D3" s="1480" t="s">
        <v>256</v>
      </c>
      <c r="E3" s="1479"/>
      <c r="F3" s="1480" t="s">
        <v>257</v>
      </c>
    </row>
    <row r="4" spans="1:6" ht="13.7" customHeight="1" x14ac:dyDescent="0.2">
      <c r="A4" s="688" t="s">
        <v>1154</v>
      </c>
      <c r="B4" s="1702">
        <f>'Revenues 9-14'!C5</f>
        <v>34027726</v>
      </c>
      <c r="C4" s="1477">
        <v>18365374</v>
      </c>
      <c r="D4" s="1705">
        <f>B4-C4</f>
        <v>15662352</v>
      </c>
      <c r="E4" s="1477">
        <v>36958249</v>
      </c>
      <c r="F4" s="1705">
        <f>E4-C4</f>
        <v>18592875</v>
      </c>
    </row>
    <row r="5" spans="1:6" ht="13.7" customHeight="1" x14ac:dyDescent="0.2">
      <c r="A5" s="688" t="s">
        <v>869</v>
      </c>
      <c r="B5" s="1703">
        <f>'Revenues 9-14'!D5</f>
        <v>3555917</v>
      </c>
      <c r="C5" s="565">
        <v>1982501</v>
      </c>
      <c r="D5" s="1706">
        <f t="shared" ref="D5:D18" si="0">B5-C5</f>
        <v>1573416</v>
      </c>
      <c r="E5" s="565">
        <v>3989561</v>
      </c>
      <c r="F5" s="1706">
        <f>E5-C5</f>
        <v>2007060</v>
      </c>
    </row>
    <row r="6" spans="1:6" ht="13.7" customHeight="1" x14ac:dyDescent="0.2">
      <c r="A6" s="688" t="s">
        <v>410</v>
      </c>
      <c r="B6" s="1703">
        <f>'Revenues 9-14'!E5</f>
        <v>7542975</v>
      </c>
      <c r="C6" s="565">
        <v>4094411</v>
      </c>
      <c r="D6" s="1706">
        <f t="shared" si="0"/>
        <v>3448564</v>
      </c>
      <c r="E6" s="565">
        <v>8239541</v>
      </c>
      <c r="F6" s="1706">
        <f t="shared" ref="F6:F18" si="1">E6-C6</f>
        <v>4145130</v>
      </c>
    </row>
    <row r="7" spans="1:6" ht="13.7" customHeight="1" x14ac:dyDescent="0.2">
      <c r="A7" s="688" t="s">
        <v>155</v>
      </c>
      <c r="B7" s="1703">
        <f>'Revenues 9-14'!F5</f>
        <v>2278753</v>
      </c>
      <c r="C7" s="565">
        <v>1270454</v>
      </c>
      <c r="D7" s="1706">
        <f t="shared" si="0"/>
        <v>1008299</v>
      </c>
      <c r="E7" s="565">
        <v>2556647</v>
      </c>
      <c r="F7" s="1706">
        <f t="shared" si="1"/>
        <v>1286193</v>
      </c>
    </row>
    <row r="8" spans="1:6" ht="13.7" customHeight="1" x14ac:dyDescent="0.2">
      <c r="A8" s="688" t="s">
        <v>1178</v>
      </c>
      <c r="B8" s="1703">
        <f>'Revenues 9-14'!G5</f>
        <v>0</v>
      </c>
      <c r="C8" s="565">
        <v>0</v>
      </c>
      <c r="D8" s="1706">
        <f t="shared" si="0"/>
        <v>0</v>
      </c>
      <c r="E8" s="565">
        <v>0</v>
      </c>
      <c r="F8" s="1706">
        <f t="shared" si="1"/>
        <v>0</v>
      </c>
    </row>
    <row r="9" spans="1:6" ht="13.7" customHeight="1" x14ac:dyDescent="0.2">
      <c r="A9" s="688" t="s">
        <v>407</v>
      </c>
      <c r="B9" s="1703">
        <f>'Revenues 9-14'!H5</f>
        <v>0</v>
      </c>
      <c r="C9" s="565">
        <v>0</v>
      </c>
      <c r="D9" s="1706">
        <f t="shared" si="0"/>
        <v>0</v>
      </c>
      <c r="E9" s="565">
        <v>0</v>
      </c>
      <c r="F9" s="1706">
        <f t="shared" si="1"/>
        <v>0</v>
      </c>
    </row>
    <row r="10" spans="1:6" ht="13.7" customHeight="1" x14ac:dyDescent="0.2">
      <c r="A10" s="688" t="s">
        <v>406</v>
      </c>
      <c r="B10" s="1703">
        <f>'Revenues 9-14'!I5</f>
        <v>45199</v>
      </c>
      <c r="C10" s="565">
        <v>23631</v>
      </c>
      <c r="D10" s="1706">
        <f t="shared" si="0"/>
        <v>21568</v>
      </c>
      <c r="E10" s="565">
        <v>47554</v>
      </c>
      <c r="F10" s="1706">
        <f t="shared" si="1"/>
        <v>23923</v>
      </c>
    </row>
    <row r="11" spans="1:6" x14ac:dyDescent="0.2">
      <c r="A11" s="688" t="s">
        <v>408</v>
      </c>
      <c r="B11" s="1703">
        <f>'Revenues 9-14'!J5</f>
        <v>219621</v>
      </c>
      <c r="C11" s="565">
        <v>0</v>
      </c>
      <c r="D11" s="1706">
        <f t="shared" si="0"/>
        <v>219621</v>
      </c>
      <c r="E11" s="565">
        <v>0</v>
      </c>
      <c r="F11" s="1706">
        <f t="shared" si="1"/>
        <v>0</v>
      </c>
    </row>
    <row r="12" spans="1:6" ht="13.7" customHeight="1" x14ac:dyDescent="0.2">
      <c r="A12" s="688" t="s">
        <v>157</v>
      </c>
      <c r="B12" s="1703">
        <f>'Revenues 9-14'!K5</f>
        <v>0</v>
      </c>
      <c r="C12" s="565">
        <v>0</v>
      </c>
      <c r="D12" s="1706">
        <f t="shared" si="0"/>
        <v>0</v>
      </c>
      <c r="E12" s="565">
        <v>0</v>
      </c>
      <c r="F12" s="1706">
        <f t="shared" si="1"/>
        <v>0</v>
      </c>
    </row>
    <row r="13" spans="1:6" ht="13.7" customHeight="1" x14ac:dyDescent="0.2">
      <c r="A13" s="688" t="s">
        <v>935</v>
      </c>
      <c r="B13" s="1703">
        <f>SUM('Revenues 9-14'!C6:D6)</f>
        <v>0</v>
      </c>
      <c r="C13" s="565">
        <v>0</v>
      </c>
      <c r="D13" s="1706">
        <f t="shared" si="0"/>
        <v>0</v>
      </c>
      <c r="E13" s="565">
        <v>0</v>
      </c>
      <c r="F13" s="1706">
        <f t="shared" si="1"/>
        <v>0</v>
      </c>
    </row>
    <row r="14" spans="1:6" ht="13.7" customHeight="1" x14ac:dyDescent="0.2">
      <c r="A14" s="688" t="s">
        <v>409</v>
      </c>
      <c r="B14" s="1703">
        <f>SUM('Revenues 9-14'!C7:D7,'Revenues 9-14'!F7:H7)</f>
        <v>346445</v>
      </c>
      <c r="C14" s="565">
        <v>181129</v>
      </c>
      <c r="D14" s="1706">
        <f t="shared" si="0"/>
        <v>165316</v>
      </c>
      <c r="E14" s="565">
        <v>364502</v>
      </c>
      <c r="F14" s="1706">
        <f t="shared" si="1"/>
        <v>183373</v>
      </c>
    </row>
    <row r="15" spans="1:6" ht="13.7" customHeight="1" x14ac:dyDescent="0.2">
      <c r="A15" s="688" t="s">
        <v>1157</v>
      </c>
      <c r="B15" s="1703">
        <f>SUM('Revenues 9-14'!D9:E9,'Revenues 9-14'!H9)</f>
        <v>0</v>
      </c>
      <c r="C15" s="565">
        <v>0</v>
      </c>
      <c r="D15" s="1706">
        <f t="shared" si="0"/>
        <v>0</v>
      </c>
      <c r="E15" s="565">
        <v>0</v>
      </c>
      <c r="F15" s="1706">
        <f t="shared" si="1"/>
        <v>0</v>
      </c>
    </row>
    <row r="16" spans="1:6" ht="13.7" customHeight="1" x14ac:dyDescent="0.2">
      <c r="A16" s="688" t="s">
        <v>1158</v>
      </c>
      <c r="B16" s="1703">
        <f>'Revenues 9-14'!G8</f>
        <v>410214</v>
      </c>
      <c r="C16" s="565">
        <v>0</v>
      </c>
      <c r="D16" s="1706">
        <f t="shared" si="0"/>
        <v>410214</v>
      </c>
      <c r="E16" s="565">
        <v>0</v>
      </c>
      <c r="F16" s="1706">
        <f t="shared" si="1"/>
        <v>0</v>
      </c>
    </row>
    <row r="17" spans="1:6" ht="13.7" customHeight="1" x14ac:dyDescent="0.2">
      <c r="A17" s="688" t="s">
        <v>1159</v>
      </c>
      <c r="B17" s="1703">
        <f>'Revenues 9-14'!C10</f>
        <v>0</v>
      </c>
      <c r="C17" s="565">
        <v>0</v>
      </c>
      <c r="D17" s="1706">
        <f t="shared" si="0"/>
        <v>0</v>
      </c>
      <c r="E17" s="565">
        <v>0</v>
      </c>
      <c r="F17" s="1706">
        <f t="shared" si="1"/>
        <v>0</v>
      </c>
    </row>
    <row r="18" spans="1:6" ht="13.7" customHeight="1" x14ac:dyDescent="0.2">
      <c r="A18" s="688" t="s">
        <v>761</v>
      </c>
      <c r="B18" s="1703">
        <f>SUM('Revenues 9-14'!C11:K11)</f>
        <v>83617</v>
      </c>
      <c r="C18" s="565">
        <v>41222</v>
      </c>
      <c r="D18" s="1706">
        <f t="shared" si="0"/>
        <v>42395</v>
      </c>
      <c r="E18" s="565">
        <v>82954</v>
      </c>
      <c r="F18" s="1706">
        <f t="shared" si="1"/>
        <v>41732</v>
      </c>
    </row>
    <row r="19" spans="1:6" ht="13.7" customHeight="1" thickBot="1" x14ac:dyDescent="0.25">
      <c r="A19" s="1707" t="s">
        <v>1160</v>
      </c>
      <c r="B19" s="1704">
        <f>SUM(B4:B18)</f>
        <v>48510467</v>
      </c>
      <c r="C19" s="1704">
        <f>SUM(C4:C18)</f>
        <v>25958722</v>
      </c>
      <c r="D19" s="1704">
        <f>SUM(D4:D18)</f>
        <v>22551745</v>
      </c>
      <c r="E19" s="1704">
        <f>SUM(E4:E18)</f>
        <v>52239008</v>
      </c>
      <c r="F19" s="1704">
        <f>SUM(F4:F18)</f>
        <v>26280286</v>
      </c>
    </row>
    <row r="20" spans="1:6" ht="13.5" thickTop="1" x14ac:dyDescent="0.2">
      <c r="B20" s="686"/>
      <c r="F20" s="689"/>
    </row>
    <row r="21" spans="1:6" x14ac:dyDescent="0.2">
      <c r="A21" s="690" t="s">
        <v>1782</v>
      </c>
      <c r="B21" s="691"/>
      <c r="F21" s="689"/>
    </row>
    <row r="22" spans="1:6" x14ac:dyDescent="0.2">
      <c r="A22" s="692" t="s">
        <v>627</v>
      </c>
      <c r="B22" s="693"/>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9"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22" colorId="8" zoomScale="110" zoomScaleNormal="110" workbookViewId="0">
      <selection activeCell="J37" sqref="J37:J38"/>
    </sheetView>
  </sheetViews>
  <sheetFormatPr defaultColWidth="9.140625" defaultRowHeight="12.75" x14ac:dyDescent="0.2"/>
  <cols>
    <col min="1" max="1" width="44" style="401" customWidth="1"/>
    <col min="2" max="2" width="12.140625" style="695" customWidth="1"/>
    <col min="3" max="5" width="16.7109375" style="695"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306" t="s">
        <v>628</v>
      </c>
      <c r="B1" s="2307"/>
      <c r="C1" s="694"/>
    </row>
    <row r="2" spans="1:7" ht="33.75" x14ac:dyDescent="0.2">
      <c r="A2" s="2315" t="s">
        <v>1776</v>
      </c>
      <c r="B2" s="2316"/>
      <c r="C2" s="1837" t="s">
        <v>1930</v>
      </c>
      <c r="D2" s="696" t="s">
        <v>1931</v>
      </c>
      <c r="E2" s="696" t="s">
        <v>1932</v>
      </c>
      <c r="F2" s="1837" t="s">
        <v>1933</v>
      </c>
    </row>
    <row r="3" spans="1:7" ht="15.75" customHeight="1" x14ac:dyDescent="0.2">
      <c r="A3" s="2319" t="s">
        <v>1113</v>
      </c>
      <c r="B3" s="2320"/>
      <c r="C3" s="2308"/>
      <c r="D3" s="2309"/>
      <c r="E3" s="2309"/>
      <c r="F3" s="2310"/>
    </row>
    <row r="4" spans="1:7" ht="12.75" customHeight="1" thickBot="1" x14ac:dyDescent="0.25">
      <c r="A4" s="2317" t="s">
        <v>629</v>
      </c>
      <c r="B4" s="2318"/>
      <c r="C4" s="562"/>
      <c r="D4" s="562"/>
      <c r="E4" s="562"/>
      <c r="F4" s="1708">
        <f>SUM(C4+D4)-E4</f>
        <v>0</v>
      </c>
    </row>
    <row r="5" spans="1:7" ht="15.75" customHeight="1" thickTop="1" x14ac:dyDescent="0.2">
      <c r="A5" s="2302" t="s">
        <v>1109</v>
      </c>
      <c r="B5" s="2303"/>
      <c r="C5" s="2311"/>
      <c r="D5" s="2312"/>
      <c r="E5" s="2312"/>
      <c r="F5" s="2313"/>
    </row>
    <row r="6" spans="1:7" ht="12.75" customHeight="1" thickBot="1" x14ac:dyDescent="0.25">
      <c r="A6" s="697" t="s">
        <v>64</v>
      </c>
      <c r="B6" s="698"/>
      <c r="C6" s="699"/>
      <c r="D6" s="565"/>
      <c r="E6" s="699"/>
      <c r="F6" s="1708">
        <f t="shared" ref="F6:F14" si="0">SUM(C6+D6)-E6</f>
        <v>0</v>
      </c>
    </row>
    <row r="7" spans="1:7" ht="12.75" customHeight="1" thickTop="1" thickBot="1" x14ac:dyDescent="0.25">
      <c r="A7" s="697" t="s">
        <v>6</v>
      </c>
      <c r="B7" s="698"/>
      <c r="C7" s="699"/>
      <c r="D7" s="565"/>
      <c r="E7" s="699"/>
      <c r="F7" s="1708">
        <f t="shared" si="0"/>
        <v>0</v>
      </c>
    </row>
    <row r="8" spans="1:7" ht="12.75" customHeight="1" thickTop="1" thickBot="1" x14ac:dyDescent="0.25">
      <c r="A8" s="697" t="s">
        <v>507</v>
      </c>
      <c r="B8" s="698"/>
      <c r="C8" s="699"/>
      <c r="D8" s="565"/>
      <c r="E8" s="699"/>
      <c r="F8" s="1708">
        <f t="shared" si="0"/>
        <v>0</v>
      </c>
    </row>
    <row r="9" spans="1:7" ht="12.75" customHeight="1" thickTop="1" thickBot="1" x14ac:dyDescent="0.25">
      <c r="A9" s="697" t="s">
        <v>508</v>
      </c>
      <c r="B9" s="698"/>
      <c r="C9" s="699"/>
      <c r="D9" s="565"/>
      <c r="E9" s="699"/>
      <c r="F9" s="1708">
        <f t="shared" si="0"/>
        <v>0</v>
      </c>
    </row>
    <row r="10" spans="1:7" ht="12.75" customHeight="1" thickTop="1" thickBot="1" x14ac:dyDescent="0.25">
      <c r="A10" s="697" t="s">
        <v>509</v>
      </c>
      <c r="B10" s="698"/>
      <c r="C10" s="699"/>
      <c r="D10" s="565"/>
      <c r="E10" s="699"/>
      <c r="F10" s="1708">
        <f t="shared" si="0"/>
        <v>0</v>
      </c>
    </row>
    <row r="11" spans="1:7" ht="12.75" customHeight="1" thickTop="1" thickBot="1" x14ac:dyDescent="0.25">
      <c r="A11" s="697" t="s">
        <v>340</v>
      </c>
      <c r="B11" s="698"/>
      <c r="C11" s="699"/>
      <c r="D11" s="565"/>
      <c r="E11" s="699"/>
      <c r="F11" s="1708">
        <f t="shared" si="0"/>
        <v>0</v>
      </c>
    </row>
    <row r="12" spans="1:7" ht="12.75" customHeight="1" thickTop="1" thickBot="1" x14ac:dyDescent="0.25">
      <c r="A12" s="697" t="s">
        <v>1156</v>
      </c>
      <c r="B12" s="698"/>
      <c r="C12" s="699"/>
      <c r="D12" s="565"/>
      <c r="E12" s="699"/>
      <c r="F12" s="1708">
        <f t="shared" si="0"/>
        <v>0</v>
      </c>
    </row>
    <row r="13" spans="1:7" ht="12.75" customHeight="1" thickTop="1" thickBot="1" x14ac:dyDescent="0.25">
      <c r="A13" s="697" t="s">
        <v>387</v>
      </c>
      <c r="B13" s="698"/>
      <c r="C13" s="699"/>
      <c r="D13" s="565"/>
      <c r="E13" s="699"/>
      <c r="F13" s="1708">
        <f t="shared" si="0"/>
        <v>0</v>
      </c>
    </row>
    <row r="14" spans="1:7" ht="12.75" customHeight="1" thickTop="1" thickBot="1" x14ac:dyDescent="0.25">
      <c r="A14" s="697" t="s">
        <v>447</v>
      </c>
      <c r="B14" s="698"/>
      <c r="C14" s="699"/>
      <c r="D14" s="565"/>
      <c r="E14" s="699"/>
      <c r="F14" s="1708">
        <f t="shared" si="0"/>
        <v>0</v>
      </c>
    </row>
    <row r="15" spans="1:7" ht="14.25" thickTop="1" thickBot="1" x14ac:dyDescent="0.25">
      <c r="A15" s="2304" t="s">
        <v>630</v>
      </c>
      <c r="B15" s="2305"/>
      <c r="C15" s="1708">
        <f>SUM(C6:C14)</f>
        <v>0</v>
      </c>
      <c r="D15" s="1708">
        <f>SUM(D6:D14)</f>
        <v>0</v>
      </c>
      <c r="E15" s="1708">
        <f>SUM(E6:E14)</f>
        <v>0</v>
      </c>
      <c r="F15" s="1708">
        <f>SUM(F6:F14)</f>
        <v>0</v>
      </c>
      <c r="G15" s="540"/>
    </row>
    <row r="16" spans="1:7" s="202" customFormat="1" ht="15.75" customHeight="1" thickTop="1" x14ac:dyDescent="0.2">
      <c r="A16" s="2314" t="s">
        <v>1110</v>
      </c>
      <c r="B16" s="2303"/>
      <c r="C16" s="2311"/>
      <c r="D16" s="2312"/>
      <c r="E16" s="2312"/>
      <c r="F16" s="2313"/>
    </row>
    <row r="17" spans="1:11" ht="12.75" customHeight="1" thickBot="1" x14ac:dyDescent="0.25">
      <c r="A17" s="2327" t="s">
        <v>64</v>
      </c>
      <c r="B17" s="2328"/>
      <c r="C17" s="699"/>
      <c r="D17" s="565"/>
      <c r="E17" s="699"/>
      <c r="F17" s="1708">
        <f>SUM(C17+D17)-E17</f>
        <v>0</v>
      </c>
    </row>
    <row r="18" spans="1:11" ht="12.75" customHeight="1" thickTop="1" thickBot="1" x14ac:dyDescent="0.25">
      <c r="A18" s="2327" t="s">
        <v>6</v>
      </c>
      <c r="B18" s="2328"/>
      <c r="C18" s="699"/>
      <c r="D18" s="565"/>
      <c r="E18" s="699"/>
      <c r="F18" s="1708">
        <f>SUM(C18+D18)-E18</f>
        <v>0</v>
      </c>
    </row>
    <row r="19" spans="1:11" ht="12.75" customHeight="1" thickTop="1" thickBot="1" x14ac:dyDescent="0.25">
      <c r="A19" s="2327" t="s">
        <v>387</v>
      </c>
      <c r="B19" s="2328"/>
      <c r="C19" s="699"/>
      <c r="D19" s="565"/>
      <c r="E19" s="699"/>
      <c r="F19" s="1708">
        <f>SUM(C19+D19)-E19</f>
        <v>0</v>
      </c>
    </row>
    <row r="20" spans="1:11" ht="12.75" customHeight="1" thickTop="1" thickBot="1" x14ac:dyDescent="0.25">
      <c r="A20" s="2327" t="s">
        <v>447</v>
      </c>
      <c r="B20" s="2328"/>
      <c r="C20" s="699"/>
      <c r="D20" s="565"/>
      <c r="E20" s="699"/>
      <c r="F20" s="1708">
        <f>SUM(C20+D20)-E20</f>
        <v>0</v>
      </c>
    </row>
    <row r="21" spans="1:11" ht="14.25" thickTop="1" thickBot="1" x14ac:dyDescent="0.25">
      <c r="A21" s="2304" t="s">
        <v>631</v>
      </c>
      <c r="B21" s="2305"/>
      <c r="C21" s="1708">
        <f>SUM(C17:C20)</f>
        <v>0</v>
      </c>
      <c r="D21" s="1708">
        <f>SUM(D17:D20)</f>
        <v>0</v>
      </c>
      <c r="E21" s="1708">
        <f>SUM(E17:E20)</f>
        <v>0</v>
      </c>
      <c r="F21" s="1708">
        <f>SUM(F17:F20)</f>
        <v>0</v>
      </c>
      <c r="G21" s="540"/>
    </row>
    <row r="22" spans="1:11" ht="15.75" customHeight="1" thickTop="1" x14ac:dyDescent="0.2">
      <c r="A22" s="2329" t="s">
        <v>1111</v>
      </c>
      <c r="B22" s="2303"/>
      <c r="C22" s="2311"/>
      <c r="D22" s="2312"/>
      <c r="E22" s="2312"/>
      <c r="F22" s="2313"/>
    </row>
    <row r="23" spans="1:11" ht="13.5" thickBot="1" x14ac:dyDescent="0.25">
      <c r="A23" s="2317" t="s">
        <v>632</v>
      </c>
      <c r="B23" s="2318"/>
      <c r="C23" s="562"/>
      <c r="D23" s="562"/>
      <c r="E23" s="562"/>
      <c r="F23" s="1708">
        <f>SUM(C23+D23)-E23</f>
        <v>0</v>
      </c>
      <c r="G23" s="540"/>
    </row>
    <row r="24" spans="1:11" ht="15.75" customHeight="1" thickTop="1" x14ac:dyDescent="0.2">
      <c r="A24" s="2329" t="s">
        <v>1112</v>
      </c>
      <c r="B24" s="2303"/>
      <c r="C24" s="2311"/>
      <c r="D24" s="2312"/>
      <c r="E24" s="2312"/>
      <c r="F24" s="2313"/>
    </row>
    <row r="25" spans="1:11" ht="13.5" thickBot="1" x14ac:dyDescent="0.25">
      <c r="A25" s="2317" t="s">
        <v>633</v>
      </c>
      <c r="B25" s="2318"/>
      <c r="C25" s="562"/>
      <c r="D25" s="562"/>
      <c r="E25" s="562"/>
      <c r="F25" s="1708">
        <f>SUM(C25+D25)-E25</f>
        <v>0</v>
      </c>
      <c r="G25" s="540"/>
    </row>
    <row r="26" spans="1:11" ht="15.75" customHeight="1" thickTop="1" x14ac:dyDescent="0.2">
      <c r="A26" s="2302" t="s">
        <v>656</v>
      </c>
      <c r="B26" s="2303"/>
      <c r="C26" s="700"/>
      <c r="D26" s="700"/>
      <c r="E26" s="700"/>
      <c r="F26" s="701"/>
    </row>
    <row r="27" spans="1:11" ht="13.5" thickBot="1" x14ac:dyDescent="0.25">
      <c r="A27" s="2304" t="s">
        <v>1069</v>
      </c>
      <c r="B27" s="2305"/>
      <c r="C27" s="565"/>
      <c r="D27" s="565"/>
      <c r="E27" s="565"/>
      <c r="F27" s="1708">
        <f>SUM(C27+D27)-E27</f>
        <v>0</v>
      </c>
      <c r="G27" s="540"/>
    </row>
    <row r="28" spans="1:11" ht="7.5" customHeight="1" thickTop="1" x14ac:dyDescent="0.2">
      <c r="A28" s="570"/>
    </row>
    <row r="29" spans="1:11" ht="23.25" customHeight="1" x14ac:dyDescent="0.2">
      <c r="A29" s="2330" t="s">
        <v>581</v>
      </c>
      <c r="B29" s="2307"/>
      <c r="C29" s="702"/>
      <c r="D29" s="702"/>
      <c r="E29" s="702"/>
      <c r="F29" s="702"/>
      <c r="G29" s="702"/>
      <c r="H29" s="702"/>
      <c r="I29" s="702"/>
      <c r="J29" s="702"/>
    </row>
    <row r="30" spans="1:11" ht="33.75" x14ac:dyDescent="0.2">
      <c r="A30" s="1482" t="s">
        <v>1070</v>
      </c>
      <c r="B30" s="703" t="s">
        <v>1123</v>
      </c>
      <c r="C30" s="1838" t="s">
        <v>582</v>
      </c>
      <c r="D30" s="1838" t="s">
        <v>1660</v>
      </c>
      <c r="E30" s="1838" t="s">
        <v>1934</v>
      </c>
      <c r="F30" s="1838" t="s">
        <v>1935</v>
      </c>
      <c r="G30" s="1838" t="s">
        <v>1885</v>
      </c>
      <c r="H30" s="1838" t="s">
        <v>1936</v>
      </c>
      <c r="I30" s="1838" t="s">
        <v>1937</v>
      </c>
      <c r="J30" s="1839" t="s">
        <v>2</v>
      </c>
      <c r="K30" s="704"/>
    </row>
    <row r="31" spans="1:11" ht="12" customHeight="1" x14ac:dyDescent="0.2">
      <c r="A31" s="705" t="s">
        <v>2110</v>
      </c>
      <c r="B31" s="706">
        <v>37606</v>
      </c>
      <c r="C31" s="707">
        <v>26516682</v>
      </c>
      <c r="D31" s="708">
        <v>6</v>
      </c>
      <c r="E31" s="707">
        <v>4700167</v>
      </c>
      <c r="F31" s="707"/>
      <c r="G31" s="707">
        <v>-646861</v>
      </c>
      <c r="H31" s="707">
        <v>1220815</v>
      </c>
      <c r="I31" s="1709">
        <f>((E31+F31)-H31)+G31</f>
        <v>2832491</v>
      </c>
      <c r="J31" s="707">
        <v>404159</v>
      </c>
      <c r="K31" s="709"/>
    </row>
    <row r="32" spans="1:11" ht="12" customHeight="1" x14ac:dyDescent="0.2">
      <c r="A32" s="705" t="s">
        <v>2111</v>
      </c>
      <c r="B32" s="706">
        <v>38026</v>
      </c>
      <c r="C32" s="707">
        <v>7439111</v>
      </c>
      <c r="D32" s="708">
        <v>6</v>
      </c>
      <c r="E32" s="707">
        <v>4532618</v>
      </c>
      <c r="F32" s="707"/>
      <c r="G32" s="707">
        <v>-1868095</v>
      </c>
      <c r="H32" s="707">
        <v>366485</v>
      </c>
      <c r="I32" s="1709">
        <f>((E32+F32)-H32)+G32</f>
        <v>2298038</v>
      </c>
      <c r="J32" s="707">
        <v>993804</v>
      </c>
      <c r="K32" s="709"/>
    </row>
    <row r="33" spans="1:11" ht="12" customHeight="1" x14ac:dyDescent="0.2">
      <c r="A33" s="705" t="s">
        <v>2112</v>
      </c>
      <c r="B33" s="706">
        <v>40001</v>
      </c>
      <c r="C33" s="707">
        <v>15645000</v>
      </c>
      <c r="D33" s="708">
        <v>3</v>
      </c>
      <c r="E33" s="707">
        <v>15645000</v>
      </c>
      <c r="F33" s="707"/>
      <c r="G33" s="707">
        <v>-15645000</v>
      </c>
      <c r="H33" s="707"/>
      <c r="I33" s="1709">
        <f t="shared" ref="I33:I48" si="1">((E33+F33)-H33)+G33</f>
        <v>0</v>
      </c>
      <c r="J33" s="707"/>
      <c r="K33" s="709"/>
    </row>
    <row r="34" spans="1:11" ht="12" customHeight="1" x14ac:dyDescent="0.2">
      <c r="A34" s="705" t="s">
        <v>2113</v>
      </c>
      <c r="B34" s="706">
        <v>40001</v>
      </c>
      <c r="C34" s="707">
        <v>6865000</v>
      </c>
      <c r="D34" s="708">
        <v>1</v>
      </c>
      <c r="E34" s="707">
        <v>5140000</v>
      </c>
      <c r="F34" s="707"/>
      <c r="G34" s="707">
        <v>-4805000</v>
      </c>
      <c r="H34" s="707">
        <v>335000</v>
      </c>
      <c r="I34" s="1709">
        <f t="shared" si="1"/>
        <v>0</v>
      </c>
      <c r="J34" s="707"/>
      <c r="K34" s="710"/>
    </row>
    <row r="35" spans="1:11" ht="12" customHeight="1" x14ac:dyDescent="0.2">
      <c r="A35" s="705" t="s">
        <v>2243</v>
      </c>
      <c r="B35" s="706">
        <v>43377</v>
      </c>
      <c r="C35" s="711">
        <v>6240000</v>
      </c>
      <c r="D35" s="708">
        <v>1</v>
      </c>
      <c r="E35" s="711"/>
      <c r="F35" s="711">
        <v>6240000</v>
      </c>
      <c r="G35" s="711"/>
      <c r="H35" s="711"/>
      <c r="I35" s="1709">
        <f t="shared" si="1"/>
        <v>6240000</v>
      </c>
      <c r="J35" s="711">
        <v>5651333</v>
      </c>
      <c r="K35" s="710"/>
    </row>
    <row r="36" spans="1:11" ht="12" customHeight="1" x14ac:dyDescent="0.2">
      <c r="A36" s="705" t="s">
        <v>2244</v>
      </c>
      <c r="B36" s="706">
        <v>43502</v>
      </c>
      <c r="C36" s="707">
        <v>12180000</v>
      </c>
      <c r="D36" s="708">
        <v>3</v>
      </c>
      <c r="E36" s="707"/>
      <c r="F36" s="707">
        <v>12180000</v>
      </c>
      <c r="G36" s="707"/>
      <c r="H36" s="707"/>
      <c r="I36" s="1709">
        <f t="shared" si="1"/>
        <v>12180000</v>
      </c>
      <c r="J36" s="707">
        <v>12177765</v>
      </c>
      <c r="K36" s="712"/>
    </row>
    <row r="37" spans="1:11" ht="12" customHeight="1" x14ac:dyDescent="0.2">
      <c r="A37" s="705" t="s">
        <v>2218</v>
      </c>
      <c r="B37" s="706">
        <v>43502</v>
      </c>
      <c r="C37" s="1969">
        <f>26250000-13500000</f>
        <v>12750000</v>
      </c>
      <c r="D37" s="713">
        <v>3</v>
      </c>
      <c r="E37" s="466"/>
      <c r="F37" s="466">
        <v>12750000</v>
      </c>
      <c r="G37" s="466"/>
      <c r="H37" s="466"/>
      <c r="I37" s="1709">
        <f t="shared" si="1"/>
        <v>12750000</v>
      </c>
      <c r="J37" s="466">
        <v>12439830</v>
      </c>
      <c r="K37" s="710"/>
    </row>
    <row r="38" spans="1:11" ht="12" customHeight="1" x14ac:dyDescent="0.2">
      <c r="A38" s="705" t="s">
        <v>2218</v>
      </c>
      <c r="B38" s="706">
        <v>43502</v>
      </c>
      <c r="C38" s="715">
        <v>13500000</v>
      </c>
      <c r="D38" s="714">
        <v>6</v>
      </c>
      <c r="E38" s="715"/>
      <c r="F38" s="715">
        <v>13500000</v>
      </c>
      <c r="G38" s="715"/>
      <c r="H38" s="715"/>
      <c r="I38" s="1709">
        <f t="shared" si="1"/>
        <v>13500000</v>
      </c>
      <c r="J38" s="716">
        <v>13171585</v>
      </c>
      <c r="K38" s="717"/>
    </row>
    <row r="39" spans="1:11" ht="12" customHeight="1" x14ac:dyDescent="0.2">
      <c r="A39" s="705" t="s">
        <v>2115</v>
      </c>
      <c r="B39" s="706">
        <v>42510</v>
      </c>
      <c r="C39" s="707">
        <v>384640</v>
      </c>
      <c r="D39" s="714">
        <v>7</v>
      </c>
      <c r="E39" s="715">
        <v>192629</v>
      </c>
      <c r="F39" s="715"/>
      <c r="G39" s="715"/>
      <c r="H39" s="715">
        <v>95792</v>
      </c>
      <c r="I39" s="1709">
        <f t="shared" si="1"/>
        <v>96837</v>
      </c>
      <c r="J39" s="716">
        <v>96837</v>
      </c>
      <c r="K39" s="717"/>
    </row>
    <row r="40" spans="1:11" ht="12" customHeight="1" x14ac:dyDescent="0.2">
      <c r="A40" s="705" t="s">
        <v>2116</v>
      </c>
      <c r="B40" s="706">
        <v>43003</v>
      </c>
      <c r="C40" s="707">
        <v>427773</v>
      </c>
      <c r="D40" s="714">
        <v>7</v>
      </c>
      <c r="E40" s="715">
        <v>278854</v>
      </c>
      <c r="F40" s="715"/>
      <c r="G40" s="715"/>
      <c r="H40" s="715">
        <v>136356</v>
      </c>
      <c r="I40" s="1709">
        <f t="shared" si="1"/>
        <v>142498</v>
      </c>
      <c r="J40" s="716">
        <v>142498</v>
      </c>
      <c r="K40" s="717"/>
    </row>
    <row r="41" spans="1:11" ht="12" customHeight="1" x14ac:dyDescent="0.2">
      <c r="A41" s="705"/>
      <c r="B41" s="706"/>
      <c r="C41" s="707"/>
      <c r="D41" s="714"/>
      <c r="E41" s="715"/>
      <c r="F41" s="715"/>
      <c r="G41" s="715"/>
      <c r="H41" s="715"/>
      <c r="I41" s="1709">
        <f t="shared" si="1"/>
        <v>0</v>
      </c>
      <c r="J41" s="716"/>
      <c r="K41" s="717"/>
    </row>
    <row r="42" spans="1:11" ht="12" customHeight="1" x14ac:dyDescent="0.2">
      <c r="A42" s="705"/>
      <c r="B42" s="706"/>
      <c r="C42" s="707"/>
      <c r="D42" s="714"/>
      <c r="E42" s="715"/>
      <c r="F42" s="715"/>
      <c r="G42" s="715"/>
      <c r="H42" s="715"/>
      <c r="I42" s="1709">
        <f t="shared" si="1"/>
        <v>0</v>
      </c>
      <c r="J42" s="716"/>
      <c r="K42" s="717"/>
    </row>
    <row r="43" spans="1:11" ht="12" customHeight="1" x14ac:dyDescent="0.2">
      <c r="A43" s="705"/>
      <c r="B43" s="706"/>
      <c r="C43" s="707"/>
      <c r="D43" s="714"/>
      <c r="E43" s="715"/>
      <c r="F43" s="715"/>
      <c r="G43" s="715"/>
      <c r="H43" s="715"/>
      <c r="I43" s="1709">
        <f t="shared" si="1"/>
        <v>0</v>
      </c>
      <c r="J43" s="716"/>
      <c r="K43" s="717"/>
    </row>
    <row r="44" spans="1:11" ht="12" customHeight="1" x14ac:dyDescent="0.2">
      <c r="A44" s="705"/>
      <c r="B44" s="706"/>
      <c r="C44" s="707"/>
      <c r="D44" s="708"/>
      <c r="E44" s="707"/>
      <c r="F44" s="707"/>
      <c r="G44" s="707"/>
      <c r="H44" s="707"/>
      <c r="I44" s="1709">
        <f t="shared" si="1"/>
        <v>0</v>
      </c>
      <c r="J44" s="707"/>
      <c r="K44" s="710"/>
    </row>
    <row r="45" spans="1:11" ht="12" customHeight="1" x14ac:dyDescent="0.2">
      <c r="A45" s="705"/>
      <c r="B45" s="706"/>
      <c r="C45" s="707"/>
      <c r="D45" s="708"/>
      <c r="E45" s="707"/>
      <c r="F45" s="707"/>
      <c r="G45" s="707"/>
      <c r="H45" s="707"/>
      <c r="I45" s="1709">
        <f t="shared" si="1"/>
        <v>0</v>
      </c>
      <c r="J45" s="707"/>
      <c r="K45" s="710"/>
    </row>
    <row r="46" spans="1:11" ht="12" customHeight="1" x14ac:dyDescent="0.2">
      <c r="A46" s="705"/>
      <c r="B46" s="706"/>
      <c r="C46" s="707"/>
      <c r="D46" s="708"/>
      <c r="E46" s="707"/>
      <c r="F46" s="707"/>
      <c r="G46" s="707"/>
      <c r="H46" s="707"/>
      <c r="I46" s="1709">
        <f t="shared" si="1"/>
        <v>0</v>
      </c>
      <c r="J46" s="707"/>
      <c r="K46" s="710"/>
    </row>
    <row r="47" spans="1:11" ht="12" customHeight="1" x14ac:dyDescent="0.2">
      <c r="A47" s="705"/>
      <c r="B47" s="706"/>
      <c r="C47" s="711"/>
      <c r="D47" s="708"/>
      <c r="E47" s="711"/>
      <c r="F47" s="711"/>
      <c r="G47" s="711"/>
      <c r="H47" s="711"/>
      <c r="I47" s="1709">
        <f t="shared" si="1"/>
        <v>0</v>
      </c>
      <c r="J47" s="711"/>
      <c r="K47" s="710"/>
    </row>
    <row r="48" spans="1:11" ht="12" customHeight="1" x14ac:dyDescent="0.2">
      <c r="A48" s="705"/>
      <c r="B48" s="706"/>
      <c r="C48" s="707"/>
      <c r="D48" s="708"/>
      <c r="E48" s="707"/>
      <c r="F48" s="707"/>
      <c r="G48" s="707"/>
      <c r="H48" s="707"/>
      <c r="I48" s="1709">
        <f t="shared" si="1"/>
        <v>0</v>
      </c>
      <c r="J48" s="707"/>
      <c r="K48" s="710"/>
    </row>
    <row r="49" spans="1:11" ht="12" customHeight="1" x14ac:dyDescent="0.2">
      <c r="A49" s="705"/>
      <c r="B49" s="706"/>
      <c r="C49" s="1709">
        <f>SUM(C31:C48)</f>
        <v>101948206</v>
      </c>
      <c r="D49" s="718"/>
      <c r="E49" s="1709">
        <f t="shared" ref="E49:J49" si="2">SUM(E31:E48)</f>
        <v>30489268</v>
      </c>
      <c r="F49" s="1709">
        <f t="shared" si="2"/>
        <v>44670000</v>
      </c>
      <c r="G49" s="1709">
        <f t="shared" si="2"/>
        <v>-22964956</v>
      </c>
      <c r="H49" s="1709">
        <f t="shared" si="2"/>
        <v>2154448</v>
      </c>
      <c r="I49" s="1709">
        <f t="shared" si="2"/>
        <v>50039864</v>
      </c>
      <c r="J49" s="1709">
        <f t="shared" si="2"/>
        <v>45077811</v>
      </c>
      <c r="K49" s="710"/>
    </row>
    <row r="50" spans="1:11" ht="6" customHeight="1" x14ac:dyDescent="0.2">
      <c r="A50" s="719"/>
      <c r="B50" s="709"/>
      <c r="C50" s="709"/>
      <c r="D50" s="709"/>
      <c r="E50" s="709"/>
      <c r="F50" s="709"/>
      <c r="G50" s="709"/>
      <c r="H50" s="709"/>
      <c r="I50" s="709"/>
      <c r="J50" s="719"/>
    </row>
    <row r="51" spans="1:11" x14ac:dyDescent="0.2">
      <c r="A51" s="720" t="s">
        <v>1781</v>
      </c>
      <c r="B51" s="719"/>
      <c r="C51" s="710"/>
      <c r="D51" s="710"/>
      <c r="E51" s="710"/>
      <c r="F51" s="710"/>
      <c r="G51" s="710"/>
      <c r="H51" s="709"/>
      <c r="I51" s="709"/>
      <c r="J51" s="719"/>
    </row>
    <row r="52" spans="1:11" ht="11.25" customHeight="1" x14ac:dyDescent="0.2">
      <c r="A52" s="721" t="s">
        <v>911</v>
      </c>
      <c r="B52" s="2321" t="s">
        <v>583</v>
      </c>
      <c r="C52" s="2322"/>
      <c r="D52" s="2322"/>
      <c r="E52" s="722" t="s">
        <v>844</v>
      </c>
      <c r="F52" s="2323" t="s">
        <v>2114</v>
      </c>
      <c r="G52" s="2324"/>
      <c r="H52" s="709"/>
      <c r="I52" s="709"/>
      <c r="J52" s="719"/>
    </row>
    <row r="53" spans="1:11" ht="11.25" customHeight="1" x14ac:dyDescent="0.2">
      <c r="A53" s="723" t="s">
        <v>912</v>
      </c>
      <c r="B53" s="724" t="s">
        <v>950</v>
      </c>
      <c r="C53" s="719"/>
      <c r="D53" s="710"/>
      <c r="E53" s="722" t="s">
        <v>496</v>
      </c>
      <c r="F53" s="2325"/>
      <c r="G53" s="2326"/>
      <c r="H53" s="709"/>
      <c r="I53" s="709"/>
      <c r="J53" s="719"/>
    </row>
    <row r="54" spans="1:11" ht="11.25" customHeight="1" x14ac:dyDescent="0.2">
      <c r="A54" s="725" t="s">
        <v>913</v>
      </c>
      <c r="B54" s="720" t="s">
        <v>951</v>
      </c>
      <c r="C54" s="719"/>
      <c r="D54" s="710"/>
      <c r="E54" s="722" t="s">
        <v>497</v>
      </c>
      <c r="F54" s="2325"/>
      <c r="G54" s="2326"/>
      <c r="H54" s="709"/>
      <c r="I54" s="709"/>
      <c r="J54" s="719"/>
    </row>
    <row r="55" spans="1:11" ht="6" customHeight="1" x14ac:dyDescent="0.2">
      <c r="A55" s="710"/>
      <c r="B55" s="726"/>
      <c r="C55" s="727"/>
      <c r="D55" s="728"/>
      <c r="E55" s="729"/>
      <c r="F55" s="730"/>
      <c r="G55" s="719"/>
      <c r="H55" s="709"/>
      <c r="I55" s="709"/>
      <c r="J55" s="719"/>
    </row>
    <row r="56" spans="1:11" ht="11.25" customHeight="1" x14ac:dyDescent="0.2">
      <c r="A56" s="726"/>
      <c r="B56" s="731"/>
      <c r="C56" s="710"/>
      <c r="D56" s="710"/>
      <c r="E56" s="710"/>
      <c r="F56" s="710"/>
      <c r="G56" s="709"/>
      <c r="H56" s="709"/>
      <c r="I56" s="709"/>
      <c r="J56" s="719"/>
    </row>
    <row r="57" spans="1:11" ht="11.25" customHeight="1" x14ac:dyDescent="0.2">
      <c r="A57" s="710"/>
      <c r="B57" s="732"/>
      <c r="C57" s="710"/>
      <c r="D57" s="710"/>
      <c r="E57" s="710"/>
      <c r="F57" s="710"/>
      <c r="G57" s="709"/>
      <c r="H57" s="709"/>
      <c r="I57" s="709"/>
      <c r="J57" s="719"/>
    </row>
    <row r="58" spans="1:11" ht="11.25" customHeight="1" x14ac:dyDescent="0.2">
      <c r="A58" s="726"/>
      <c r="B58" s="731"/>
      <c r="C58" s="710"/>
      <c r="D58" s="710"/>
      <c r="E58" s="710"/>
      <c r="F58" s="710"/>
      <c r="G58" s="709"/>
      <c r="H58" s="709"/>
      <c r="I58" s="709"/>
      <c r="J58" s="719"/>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9"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colorId="8" zoomScale="110" zoomScaleNormal="110" workbookViewId="0">
      <selection activeCell="E29" sqref="E2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55" t="s">
        <v>855</v>
      </c>
      <c r="B1" s="2356"/>
      <c r="C1" s="2356"/>
      <c r="D1" s="2356"/>
      <c r="E1" s="2356"/>
      <c r="F1" s="2356"/>
      <c r="G1" s="2357"/>
      <c r="H1" s="1483"/>
      <c r="I1" s="733"/>
      <c r="J1" s="433"/>
    </row>
    <row r="2" spans="1:11" ht="26.25" x14ac:dyDescent="0.2">
      <c r="A2" s="2334" t="s">
        <v>1664</v>
      </c>
      <c r="B2" s="2335"/>
      <c r="C2" s="2335"/>
      <c r="D2" s="2335"/>
      <c r="E2" s="2336"/>
      <c r="F2" s="734" t="s">
        <v>903</v>
      </c>
      <c r="G2" s="735" t="s">
        <v>1661</v>
      </c>
      <c r="H2" s="735" t="s">
        <v>409</v>
      </c>
      <c r="I2" s="735" t="s">
        <v>1157</v>
      </c>
      <c r="J2" s="735" t="s">
        <v>1786</v>
      </c>
      <c r="K2" s="735" t="s">
        <v>138</v>
      </c>
    </row>
    <row r="3" spans="1:11" x14ac:dyDescent="0.2">
      <c r="A3" s="2337" t="s">
        <v>1938</v>
      </c>
      <c r="B3" s="2338"/>
      <c r="C3" s="2338"/>
      <c r="D3" s="2338"/>
      <c r="E3" s="2339"/>
      <c r="F3" s="736"/>
      <c r="G3" s="737"/>
      <c r="H3" s="737"/>
      <c r="I3" s="737"/>
      <c r="J3" s="738"/>
      <c r="K3" s="738"/>
    </row>
    <row r="4" spans="1:11" x14ac:dyDescent="0.2">
      <c r="A4" s="2340" t="s">
        <v>368</v>
      </c>
      <c r="B4" s="2341"/>
      <c r="C4" s="2341"/>
      <c r="D4" s="2341"/>
      <c r="E4" s="2322"/>
      <c r="F4" s="739"/>
      <c r="G4" s="740"/>
      <c r="H4" s="741"/>
      <c r="I4" s="740"/>
      <c r="J4" s="742"/>
      <c r="K4" s="742"/>
    </row>
    <row r="5" spans="1:11" x14ac:dyDescent="0.2">
      <c r="A5" s="2358" t="s">
        <v>1068</v>
      </c>
      <c r="B5" s="2331"/>
      <c r="C5" s="2331"/>
      <c r="D5" s="2331"/>
      <c r="E5" s="2359"/>
      <c r="F5" s="743" t="s">
        <v>847</v>
      </c>
      <c r="G5" s="744"/>
      <c r="H5" s="737">
        <v>346445</v>
      </c>
      <c r="I5" s="745"/>
      <c r="J5" s="746"/>
      <c r="K5" s="746"/>
    </row>
    <row r="6" spans="1:11" x14ac:dyDescent="0.2">
      <c r="A6" s="747" t="s">
        <v>719</v>
      </c>
      <c r="B6" s="748"/>
      <c r="C6" s="748"/>
      <c r="D6" s="748"/>
      <c r="E6" s="749"/>
      <c r="F6" s="750" t="s">
        <v>848</v>
      </c>
      <c r="G6" s="737"/>
      <c r="H6" s="737"/>
      <c r="I6" s="737"/>
      <c r="J6" s="738"/>
      <c r="K6" s="738"/>
    </row>
    <row r="7" spans="1:11" x14ac:dyDescent="0.2">
      <c r="A7" s="751" t="s">
        <v>246</v>
      </c>
      <c r="B7" s="752"/>
      <c r="C7" s="752"/>
      <c r="D7" s="752"/>
      <c r="E7" s="753"/>
      <c r="F7" s="743" t="s">
        <v>849</v>
      </c>
      <c r="G7" s="740"/>
      <c r="H7" s="740"/>
      <c r="I7" s="740"/>
      <c r="J7" s="754"/>
      <c r="K7" s="738"/>
    </row>
    <row r="8" spans="1:11" x14ac:dyDescent="0.2">
      <c r="A8" s="751" t="s">
        <v>344</v>
      </c>
      <c r="B8" s="752"/>
      <c r="C8" s="752"/>
      <c r="D8" s="752"/>
      <c r="E8" s="753"/>
      <c r="F8" s="743" t="s">
        <v>850</v>
      </c>
      <c r="G8" s="755"/>
      <c r="H8" s="755"/>
      <c r="I8" s="755"/>
      <c r="J8" s="738"/>
      <c r="K8" s="742"/>
    </row>
    <row r="9" spans="1:11" x14ac:dyDescent="0.2">
      <c r="A9" s="751" t="s">
        <v>138</v>
      </c>
      <c r="B9" s="752"/>
      <c r="C9" s="752"/>
      <c r="D9" s="752"/>
      <c r="E9" s="753"/>
      <c r="F9" s="750" t="s">
        <v>852</v>
      </c>
      <c r="G9" s="755"/>
      <c r="H9" s="744"/>
      <c r="I9" s="744"/>
      <c r="J9" s="754"/>
      <c r="K9" s="738"/>
    </row>
    <row r="10" spans="1:11" x14ac:dyDescent="0.2">
      <c r="A10" s="2358" t="s">
        <v>1787</v>
      </c>
      <c r="B10" s="2331"/>
      <c r="C10" s="2331"/>
      <c r="D10" s="2331"/>
      <c r="E10" s="2360"/>
      <c r="F10" s="756" t="s">
        <v>861</v>
      </c>
      <c r="G10" s="755"/>
      <c r="H10" s="757"/>
      <c r="I10" s="737"/>
      <c r="J10" s="738"/>
      <c r="K10" s="738"/>
    </row>
    <row r="11" spans="1:11" x14ac:dyDescent="0.2">
      <c r="A11" s="2358" t="s">
        <v>160</v>
      </c>
      <c r="B11" s="2331"/>
      <c r="C11" s="2331"/>
      <c r="D11" s="2331"/>
      <c r="E11" s="2359"/>
      <c r="F11" s="743" t="s">
        <v>851</v>
      </c>
      <c r="G11" s="744"/>
      <c r="H11" s="737"/>
      <c r="I11" s="737"/>
      <c r="J11" s="738"/>
      <c r="K11" s="746"/>
    </row>
    <row r="12" spans="1:11" ht="13.5" thickBot="1" x14ac:dyDescent="0.25">
      <c r="A12" s="2348" t="s">
        <v>904</v>
      </c>
      <c r="B12" s="2349"/>
      <c r="C12" s="2349"/>
      <c r="D12" s="2349"/>
      <c r="E12" s="2350"/>
      <c r="F12" s="1710"/>
      <c r="G12" s="1711">
        <f>SUM(G5:G11)</f>
        <v>0</v>
      </c>
      <c r="H12" s="1711">
        <f>SUM(H5:H11)</f>
        <v>346445</v>
      </c>
      <c r="I12" s="1711">
        <f>SUM(I5:I11)</f>
        <v>0</v>
      </c>
      <c r="J12" s="1711">
        <f>SUM(J5:J11)</f>
        <v>0</v>
      </c>
      <c r="K12" s="1711">
        <f>SUM(K5:K11)</f>
        <v>0</v>
      </c>
    </row>
    <row r="13" spans="1:11" ht="13.5" thickTop="1" x14ac:dyDescent="0.2">
      <c r="A13" s="2342" t="s">
        <v>369</v>
      </c>
      <c r="B13" s="2343"/>
      <c r="C13" s="2343"/>
      <c r="D13" s="2343"/>
      <c r="E13" s="2344"/>
      <c r="F13" s="758"/>
      <c r="G13" s="759"/>
      <c r="H13" s="760"/>
      <c r="I13" s="761"/>
      <c r="J13" s="761"/>
      <c r="K13" s="761"/>
    </row>
    <row r="14" spans="1:11" x14ac:dyDescent="0.2">
      <c r="A14" s="2364" t="s">
        <v>455</v>
      </c>
      <c r="B14" s="2364"/>
      <c r="C14" s="2364"/>
      <c r="D14" s="2364"/>
      <c r="E14" s="2365"/>
      <c r="F14" s="762" t="s">
        <v>853</v>
      </c>
      <c r="G14" s="755"/>
      <c r="H14" s="737">
        <v>346445</v>
      </c>
      <c r="I14" s="744"/>
      <c r="J14" s="746"/>
      <c r="K14" s="738"/>
    </row>
    <row r="15" spans="1:11" x14ac:dyDescent="0.2">
      <c r="A15" s="2331" t="s">
        <v>4</v>
      </c>
      <c r="B15" s="2331"/>
      <c r="C15" s="2331"/>
      <c r="D15" s="2331"/>
      <c r="E15" s="2359"/>
      <c r="F15" s="762" t="s">
        <v>854</v>
      </c>
      <c r="G15" s="744"/>
      <c r="H15" s="737"/>
      <c r="I15" s="737"/>
      <c r="J15" s="738"/>
      <c r="K15" s="738"/>
    </row>
    <row r="16" spans="1:11" x14ac:dyDescent="0.2">
      <c r="A16" s="2331" t="s">
        <v>297</v>
      </c>
      <c r="B16" s="2331"/>
      <c r="C16" s="2331"/>
      <c r="D16" s="2331"/>
      <c r="E16" s="2359"/>
      <c r="F16" s="762" t="s">
        <v>922</v>
      </c>
      <c r="G16" s="745"/>
      <c r="H16" s="740"/>
      <c r="I16" s="740"/>
      <c r="J16" s="742"/>
      <c r="K16" s="742"/>
    </row>
    <row r="17" spans="1:11" x14ac:dyDescent="0.2">
      <c r="A17" s="2353" t="s">
        <v>934</v>
      </c>
      <c r="B17" s="2353"/>
      <c r="C17" s="2353"/>
      <c r="D17" s="2353"/>
      <c r="E17" s="2354"/>
      <c r="F17" s="763"/>
      <c r="G17" s="764"/>
      <c r="H17" s="765"/>
      <c r="I17" s="765"/>
      <c r="J17" s="766"/>
      <c r="K17" s="767"/>
    </row>
    <row r="18" spans="1:11" x14ac:dyDescent="0.2">
      <c r="A18" s="2345" t="s">
        <v>367</v>
      </c>
      <c r="B18" s="2346"/>
      <c r="C18" s="2346"/>
      <c r="D18" s="2346"/>
      <c r="E18" s="2347"/>
      <c r="F18" s="762" t="s">
        <v>931</v>
      </c>
      <c r="G18" s="755"/>
      <c r="H18" s="755"/>
      <c r="I18" s="755"/>
      <c r="J18" s="738"/>
      <c r="K18" s="768"/>
    </row>
    <row r="19" spans="1:11" ht="21.75" customHeight="1" x14ac:dyDescent="0.2">
      <c r="A19" s="2366" t="s">
        <v>1783</v>
      </c>
      <c r="B19" s="2366"/>
      <c r="C19" s="2366"/>
      <c r="D19" s="2366"/>
      <c r="E19" s="2367"/>
      <c r="F19" s="762" t="s">
        <v>932</v>
      </c>
      <c r="G19" s="755"/>
      <c r="H19" s="755"/>
      <c r="I19" s="755"/>
      <c r="J19" s="738"/>
      <c r="K19" s="768"/>
    </row>
    <row r="20" spans="1:11" x14ac:dyDescent="0.2">
      <c r="A20" s="2345" t="s">
        <v>1788</v>
      </c>
      <c r="B20" s="2346"/>
      <c r="C20" s="2346"/>
      <c r="D20" s="2346"/>
      <c r="E20" s="2347"/>
      <c r="F20" s="762" t="s">
        <v>933</v>
      </c>
      <c r="G20" s="755"/>
      <c r="H20" s="755"/>
      <c r="I20" s="755"/>
      <c r="J20" s="738"/>
      <c r="K20" s="768"/>
    </row>
    <row r="21" spans="1:11" ht="13.5" thickBot="1" x14ac:dyDescent="0.25">
      <c r="A21" s="2351" t="s">
        <v>637</v>
      </c>
      <c r="B21" s="2351"/>
      <c r="C21" s="2351"/>
      <c r="D21" s="2351"/>
      <c r="E21" s="2351"/>
      <c r="F21" s="1712"/>
      <c r="G21" s="765"/>
      <c r="H21" s="769"/>
      <c r="I21" s="769"/>
      <c r="J21" s="1713">
        <f>SUM(J18:J20)</f>
        <v>0</v>
      </c>
      <c r="K21" s="766"/>
    </row>
    <row r="22" spans="1:11" ht="13.5" thickTop="1" x14ac:dyDescent="0.2">
      <c r="A22" s="2331" t="s">
        <v>1789</v>
      </c>
      <c r="B22" s="2331"/>
      <c r="C22" s="2331"/>
      <c r="D22" s="2331"/>
      <c r="E22" s="2359"/>
      <c r="F22" s="762" t="s">
        <v>861</v>
      </c>
      <c r="G22" s="755"/>
      <c r="H22" s="737"/>
      <c r="I22" s="737"/>
      <c r="J22" s="770"/>
      <c r="K22" s="738"/>
    </row>
    <row r="23" spans="1:11" ht="13.5" thickBot="1" x14ac:dyDescent="0.25">
      <c r="A23" s="2352" t="s">
        <v>905</v>
      </c>
      <c r="B23" s="2351"/>
      <c r="C23" s="2351"/>
      <c r="D23" s="2351"/>
      <c r="E23" s="2351"/>
      <c r="F23" s="1714"/>
      <c r="G23" s="1711">
        <f>SUM(G14:G16,G21,G22)</f>
        <v>0</v>
      </c>
      <c r="H23" s="1711">
        <f>SUM(H14:H16,H21,H22)</f>
        <v>346445</v>
      </c>
      <c r="I23" s="1711">
        <f>SUM(I14:I16,I21,I22)</f>
        <v>0</v>
      </c>
      <c r="J23" s="1711">
        <f>SUM(J14:J16,J21,J22)</f>
        <v>0</v>
      </c>
      <c r="K23" s="1711">
        <f>SUM(K14:K16,K21,K22)</f>
        <v>0</v>
      </c>
    </row>
    <row r="24" spans="1:11" ht="14.25" thickTop="1" thickBot="1" x14ac:dyDescent="0.25">
      <c r="A24" s="2352" t="s">
        <v>1939</v>
      </c>
      <c r="B24" s="2351"/>
      <c r="C24" s="2351"/>
      <c r="D24" s="2351"/>
      <c r="E24" s="2351"/>
      <c r="F24" s="1715"/>
      <c r="G24" s="1716">
        <f>SUM(G3,G12)-G23</f>
        <v>0</v>
      </c>
      <c r="H24" s="1716">
        <f>SUM(H3,H12)-H23</f>
        <v>0</v>
      </c>
      <c r="I24" s="1716">
        <f>SUM(I3,I12)-I23</f>
        <v>0</v>
      </c>
      <c r="J24" s="1716">
        <f>SUM(J3,J12)-J23</f>
        <v>0</v>
      </c>
      <c r="K24" s="1716">
        <f>SUM(K3,K12)-K23</f>
        <v>0</v>
      </c>
    </row>
    <row r="25" spans="1:11" ht="13.5" thickTop="1" x14ac:dyDescent="0.2">
      <c r="A25" s="771" t="s">
        <v>419</v>
      </c>
      <c r="B25" s="772"/>
      <c r="C25" s="772"/>
      <c r="D25" s="772"/>
      <c r="E25" s="773"/>
      <c r="F25" s="774">
        <v>714</v>
      </c>
      <c r="G25" s="775"/>
      <c r="H25" s="775"/>
      <c r="I25" s="775"/>
      <c r="J25" s="770"/>
      <c r="K25" s="770"/>
    </row>
    <row r="26" spans="1:11" ht="13.5" thickBot="1" x14ac:dyDescent="0.25">
      <c r="A26" s="771" t="s">
        <v>341</v>
      </c>
      <c r="B26" s="772"/>
      <c r="C26" s="772"/>
      <c r="D26" s="772"/>
      <c r="E26" s="773"/>
      <c r="F26" s="774">
        <v>730</v>
      </c>
      <c r="G26" s="1711">
        <f>G24-G25</f>
        <v>0</v>
      </c>
      <c r="H26" s="1711">
        <f>H24-H25</f>
        <v>0</v>
      </c>
      <c r="I26" s="1711">
        <f>I24-I25</f>
        <v>0</v>
      </c>
      <c r="J26" s="1711">
        <f>J24-J25</f>
        <v>0</v>
      </c>
      <c r="K26" s="1711">
        <f>K24-K25</f>
        <v>0</v>
      </c>
    </row>
    <row r="27" spans="1:11" ht="5.25" customHeight="1" thickTop="1" x14ac:dyDescent="0.2">
      <c r="I27" s="202"/>
      <c r="J27" s="202"/>
    </row>
    <row r="28" spans="1:11" ht="29.25" customHeight="1" x14ac:dyDescent="0.2">
      <c r="A28" s="1833" t="s">
        <v>1884</v>
      </c>
      <c r="B28" s="1834"/>
      <c r="C28" s="1834"/>
      <c r="D28" s="1834"/>
      <c r="E28" s="1835"/>
      <c r="F28" s="776"/>
      <c r="G28" s="777"/>
    </row>
    <row r="29" spans="1:11" x14ac:dyDescent="0.2">
      <c r="B29" s="494"/>
      <c r="C29" s="494"/>
      <c r="D29" s="494"/>
      <c r="F29" s="202"/>
      <c r="G29" s="778"/>
    </row>
    <row r="30" spans="1:11" x14ac:dyDescent="0.2">
      <c r="A30" s="779" t="s">
        <v>571</v>
      </c>
      <c r="B30" s="780"/>
      <c r="C30" s="779" t="s">
        <v>382</v>
      </c>
      <c r="D30" s="780" t="s">
        <v>2101</v>
      </c>
      <c r="E30" s="781" t="s">
        <v>767</v>
      </c>
      <c r="F30" s="202"/>
      <c r="G30" s="778"/>
    </row>
    <row r="31" spans="1:11" x14ac:dyDescent="0.2">
      <c r="A31" s="782"/>
      <c r="D31" s="237"/>
      <c r="E31" s="783" t="s">
        <v>768</v>
      </c>
      <c r="F31" s="784" t="s">
        <v>538</v>
      </c>
      <c r="G31" s="737"/>
      <c r="H31" s="2361"/>
      <c r="I31" s="2362"/>
      <c r="J31" s="2362"/>
      <c r="K31" s="2362"/>
    </row>
    <row r="32" spans="1:11" x14ac:dyDescent="0.2">
      <c r="A32" s="782"/>
      <c r="B32" s="237"/>
      <c r="C32" s="237"/>
      <c r="D32" s="237"/>
      <c r="E32" s="778"/>
      <c r="F32" s="784" t="s">
        <v>539</v>
      </c>
      <c r="G32" s="737"/>
      <c r="H32" s="2363"/>
      <c r="I32" s="2362"/>
      <c r="J32" s="2362"/>
      <c r="K32" s="2362"/>
    </row>
    <row r="33" spans="1:11" ht="1.5" customHeight="1" x14ac:dyDescent="0.2">
      <c r="A33" s="785" t="s">
        <v>1168</v>
      </c>
      <c r="B33" s="364"/>
      <c r="C33" s="364"/>
      <c r="D33" s="364"/>
      <c r="E33" s="364"/>
      <c r="F33" s="364"/>
      <c r="G33" s="786"/>
      <c r="H33" s="2363"/>
      <c r="I33" s="2362"/>
      <c r="J33" s="2362"/>
      <c r="K33" s="2362"/>
    </row>
    <row r="34" spans="1:11" x14ac:dyDescent="0.2">
      <c r="A34" s="787" t="s">
        <v>1790</v>
      </c>
      <c r="B34" s="364"/>
      <c r="C34" s="364"/>
      <c r="D34" s="364"/>
      <c r="E34" s="364"/>
      <c r="F34" s="364"/>
      <c r="G34" s="786"/>
    </row>
    <row r="35" spans="1:11" ht="15" x14ac:dyDescent="0.2">
      <c r="A35" s="798" t="s">
        <v>906</v>
      </c>
      <c r="B35" s="788"/>
      <c r="C35" s="788"/>
      <c r="D35" s="788"/>
      <c r="E35" s="788"/>
      <c r="F35" s="788"/>
      <c r="G35" s="789"/>
      <c r="H35" s="790"/>
    </row>
    <row r="36" spans="1:11" x14ac:dyDescent="0.2">
      <c r="A36" s="751" t="s">
        <v>1108</v>
      </c>
      <c r="B36" s="791"/>
      <c r="C36" s="791"/>
      <c r="D36" s="791"/>
      <c r="E36" s="791"/>
      <c r="F36" s="792"/>
      <c r="G36" s="738"/>
    </row>
    <row r="37" spans="1:11" x14ac:dyDescent="0.2">
      <c r="A37" s="793" t="s">
        <v>895</v>
      </c>
      <c r="B37" s="791"/>
      <c r="C37" s="791"/>
      <c r="D37" s="791"/>
      <c r="E37" s="791"/>
      <c r="F37" s="792"/>
      <c r="G37" s="738"/>
    </row>
    <row r="38" spans="1:11" x14ac:dyDescent="0.2">
      <c r="A38" s="793" t="s">
        <v>992</v>
      </c>
      <c r="B38" s="791"/>
      <c r="C38" s="791"/>
      <c r="D38" s="791"/>
      <c r="E38" s="791"/>
      <c r="F38" s="792"/>
      <c r="G38" s="738"/>
    </row>
    <row r="39" spans="1:11" x14ac:dyDescent="0.2">
      <c r="A39" s="793" t="s">
        <v>993</v>
      </c>
      <c r="B39" s="791"/>
      <c r="C39" s="791"/>
      <c r="D39" s="791"/>
      <c r="E39" s="791"/>
      <c r="F39" s="792"/>
      <c r="G39" s="738"/>
    </row>
    <row r="40" spans="1:11" x14ac:dyDescent="0.2">
      <c r="A40" s="793" t="s">
        <v>994</v>
      </c>
      <c r="B40" s="791"/>
      <c r="C40" s="791"/>
      <c r="D40" s="791"/>
      <c r="E40" s="791"/>
      <c r="F40" s="792"/>
      <c r="G40" s="738"/>
    </row>
    <row r="41" spans="1:11" x14ac:dyDescent="0.2">
      <c r="A41" s="2331" t="s">
        <v>540</v>
      </c>
      <c r="B41" s="2332"/>
      <c r="C41" s="2332"/>
      <c r="D41" s="2332"/>
      <c r="E41" s="2332"/>
      <c r="F41" s="2333"/>
      <c r="G41" s="738"/>
    </row>
    <row r="42" spans="1:11" x14ac:dyDescent="0.2">
      <c r="A42" s="793" t="s">
        <v>969</v>
      </c>
      <c r="B42" s="791"/>
      <c r="C42" s="791"/>
      <c r="D42" s="791"/>
      <c r="E42" s="791"/>
      <c r="F42" s="792"/>
      <c r="G42" s="738"/>
    </row>
    <row r="43" spans="1:11" x14ac:dyDescent="0.2">
      <c r="A43" s="793" t="s">
        <v>970</v>
      </c>
      <c r="B43" s="791"/>
      <c r="C43" s="791"/>
      <c r="D43" s="791"/>
      <c r="E43" s="791"/>
      <c r="F43" s="792"/>
      <c r="G43" s="738"/>
    </row>
    <row r="44" spans="1:11" x14ac:dyDescent="0.2">
      <c r="A44" s="793" t="s">
        <v>971</v>
      </c>
      <c r="B44" s="791"/>
      <c r="C44" s="791"/>
      <c r="D44" s="791"/>
      <c r="E44" s="791"/>
      <c r="F44" s="792"/>
      <c r="G44" s="738"/>
    </row>
    <row r="45" spans="1:11" ht="6.75" customHeight="1" x14ac:dyDescent="0.2"/>
    <row r="46" spans="1:11" ht="15" x14ac:dyDescent="0.2">
      <c r="A46" s="1484" t="s">
        <v>1784</v>
      </c>
      <c r="B46" s="408" t="s">
        <v>1662</v>
      </c>
    </row>
    <row r="47" spans="1:11" s="796" customFormat="1" ht="12.75" customHeight="1" x14ac:dyDescent="0.2">
      <c r="A47" s="794"/>
      <c r="B47" s="795" t="s">
        <v>1663</v>
      </c>
      <c r="E47" s="795"/>
      <c r="K47" s="797"/>
    </row>
    <row r="48" spans="1:11" ht="12.75" customHeight="1" x14ac:dyDescent="0.2">
      <c r="A48" s="1485" t="s">
        <v>1785</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9"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I18" sqref="I18"/>
    </sheetView>
  </sheetViews>
  <sheetFormatPr defaultColWidth="9.140625" defaultRowHeight="12.75" x14ac:dyDescent="0.2"/>
  <cols>
    <col min="1" max="1" width="28.85546875" style="781"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70" t="s">
        <v>1883</v>
      </c>
      <c r="B1" s="2371"/>
      <c r="C1" s="2372"/>
      <c r="D1" s="799"/>
      <c r="E1" s="800"/>
      <c r="F1" s="800"/>
      <c r="G1" s="801"/>
      <c r="H1" s="802"/>
      <c r="I1" s="803"/>
      <c r="J1" s="2368"/>
      <c r="K1" s="2369"/>
      <c r="L1" s="2369"/>
    </row>
    <row r="2" spans="1:14" ht="69.75" customHeight="1" x14ac:dyDescent="0.2">
      <c r="A2" s="804" t="s">
        <v>1665</v>
      </c>
      <c r="B2" s="805" t="s">
        <v>377</v>
      </c>
      <c r="C2" s="806" t="s">
        <v>1940</v>
      </c>
      <c r="D2" s="806" t="s">
        <v>1941</v>
      </c>
      <c r="E2" s="806" t="s">
        <v>1942</v>
      </c>
      <c r="F2" s="806" t="s">
        <v>1943</v>
      </c>
      <c r="G2" s="806" t="s">
        <v>604</v>
      </c>
      <c r="H2" s="806" t="s">
        <v>1944</v>
      </c>
      <c r="I2" s="806" t="s">
        <v>1945</v>
      </c>
      <c r="J2" s="806" t="s">
        <v>1946</v>
      </c>
      <c r="K2" s="806" t="s">
        <v>1947</v>
      </c>
      <c r="L2" s="806" t="s">
        <v>1948</v>
      </c>
      <c r="M2" s="807"/>
      <c r="N2" s="807"/>
    </row>
    <row r="3" spans="1:14" ht="13.5" thickBot="1" x14ac:dyDescent="0.25">
      <c r="A3" s="1582" t="s">
        <v>891</v>
      </c>
      <c r="B3" s="1583">
        <v>210</v>
      </c>
      <c r="C3" s="808"/>
      <c r="D3" s="808"/>
      <c r="E3" s="808"/>
      <c r="F3" s="1713">
        <f>(C3+D3)-E3</f>
        <v>0</v>
      </c>
      <c r="G3" s="809"/>
      <c r="H3" s="808"/>
      <c r="I3" s="808"/>
      <c r="J3" s="808"/>
      <c r="K3" s="1722">
        <f>(H3+I3)-J3</f>
        <v>0</v>
      </c>
      <c r="L3" s="1722">
        <f>F3-K3</f>
        <v>0</v>
      </c>
      <c r="M3" s="807"/>
      <c r="N3" s="807"/>
    </row>
    <row r="4" spans="1:14" ht="15" customHeight="1" thickTop="1" x14ac:dyDescent="0.2">
      <c r="A4" s="1584" t="s">
        <v>158</v>
      </c>
      <c r="B4" s="1583">
        <v>220</v>
      </c>
      <c r="C4" s="754"/>
      <c r="D4" s="754"/>
      <c r="E4" s="754"/>
      <c r="F4" s="746"/>
      <c r="G4" s="810"/>
      <c r="H4" s="811"/>
      <c r="I4" s="811"/>
      <c r="J4" s="811"/>
      <c r="K4" s="812"/>
      <c r="L4" s="746"/>
    </row>
    <row r="5" spans="1:14" ht="13.5" thickBot="1" x14ac:dyDescent="0.25">
      <c r="A5" s="751" t="s">
        <v>892</v>
      </c>
      <c r="B5" s="813">
        <v>221</v>
      </c>
      <c r="C5" s="814">
        <v>1480528</v>
      </c>
      <c r="D5" s="814"/>
      <c r="E5" s="814"/>
      <c r="F5" s="1713">
        <f>(C5+D5)-E5</f>
        <v>1480528</v>
      </c>
      <c r="G5" s="810"/>
      <c r="H5" s="815"/>
      <c r="I5" s="815"/>
      <c r="J5" s="815"/>
      <c r="K5" s="766"/>
      <c r="L5" s="1722">
        <f>F5-K5</f>
        <v>1480528</v>
      </c>
    </row>
    <row r="6" spans="1:14" ht="14.25" thickTop="1" thickBot="1" x14ac:dyDescent="0.25">
      <c r="A6" s="751" t="s">
        <v>1116</v>
      </c>
      <c r="B6" s="813">
        <v>222</v>
      </c>
      <c r="C6" s="738"/>
      <c r="D6" s="738"/>
      <c r="E6" s="738"/>
      <c r="F6" s="1713">
        <f>(C6+D6)-E6</f>
        <v>0</v>
      </c>
      <c r="G6" s="810">
        <v>50</v>
      </c>
      <c r="H6" s="738"/>
      <c r="I6" s="738"/>
      <c r="J6" s="738"/>
      <c r="K6" s="1722">
        <f>(H6+I6)-J6</f>
        <v>0</v>
      </c>
      <c r="L6" s="1722">
        <f>F6-K6</f>
        <v>0</v>
      </c>
    </row>
    <row r="7" spans="1:14" ht="15" customHeight="1" thickTop="1" x14ac:dyDescent="0.2">
      <c r="A7" s="1584" t="s">
        <v>159</v>
      </c>
      <c r="B7" s="1583">
        <v>230</v>
      </c>
      <c r="C7" s="754"/>
      <c r="D7" s="754"/>
      <c r="E7" s="754"/>
      <c r="F7" s="746"/>
      <c r="G7" s="816"/>
      <c r="H7" s="754"/>
      <c r="I7" s="754"/>
      <c r="J7" s="754"/>
      <c r="K7" s="746"/>
      <c r="L7" s="746"/>
    </row>
    <row r="8" spans="1:14" ht="13.5" thickBot="1" x14ac:dyDescent="0.25">
      <c r="A8" s="751" t="s">
        <v>1117</v>
      </c>
      <c r="B8" s="813">
        <v>231</v>
      </c>
      <c r="C8" s="817">
        <v>91090274</v>
      </c>
      <c r="D8" s="817"/>
      <c r="E8" s="817"/>
      <c r="F8" s="1713">
        <f>(C8+D8)-E8</f>
        <v>91090274</v>
      </c>
      <c r="G8" s="816">
        <v>50</v>
      </c>
      <c r="H8" s="738">
        <v>33793447</v>
      </c>
      <c r="I8" s="738">
        <v>1819883</v>
      </c>
      <c r="J8" s="738"/>
      <c r="K8" s="1722">
        <f>(H8+I8)-J8</f>
        <v>35613330</v>
      </c>
      <c r="L8" s="1722">
        <f>F8-K8</f>
        <v>55476944</v>
      </c>
    </row>
    <row r="9" spans="1:14" ht="14.25" thickTop="1" thickBot="1" x14ac:dyDescent="0.25">
      <c r="A9" s="751" t="s">
        <v>1118</v>
      </c>
      <c r="B9" s="813">
        <v>232</v>
      </c>
      <c r="C9" s="738"/>
      <c r="D9" s="738"/>
      <c r="E9" s="738"/>
      <c r="F9" s="1713">
        <f>(C9+D9)-E9</f>
        <v>0</v>
      </c>
      <c r="G9" s="816">
        <v>20</v>
      </c>
      <c r="H9" s="738"/>
      <c r="I9" s="738"/>
      <c r="J9" s="738"/>
      <c r="K9" s="1722">
        <f>(H9+I9)-J9</f>
        <v>0</v>
      </c>
      <c r="L9" s="1722">
        <f>F9-K9</f>
        <v>0</v>
      </c>
    </row>
    <row r="10" spans="1:14" ht="24" thickTop="1" thickBot="1" x14ac:dyDescent="0.25">
      <c r="A10" s="818" t="s">
        <v>1119</v>
      </c>
      <c r="B10" s="813">
        <v>240</v>
      </c>
      <c r="C10" s="819">
        <v>1969703</v>
      </c>
      <c r="D10" s="819">
        <v>44310</v>
      </c>
      <c r="E10" s="819"/>
      <c r="F10" s="1717">
        <f>(C10+D10)-E10</f>
        <v>2014013</v>
      </c>
      <c r="G10" s="816">
        <v>20</v>
      </c>
      <c r="H10" s="820">
        <v>1608590</v>
      </c>
      <c r="I10" s="820">
        <v>66344</v>
      </c>
      <c r="J10" s="820"/>
      <c r="K10" s="1722">
        <f>(H10+I10)-J10</f>
        <v>1674934</v>
      </c>
      <c r="L10" s="1722">
        <f>F10-K10</f>
        <v>339079</v>
      </c>
    </row>
    <row r="11" spans="1:14" ht="13.5" thickTop="1" x14ac:dyDescent="0.2">
      <c r="A11" s="1585" t="s">
        <v>1135</v>
      </c>
      <c r="B11" s="1583">
        <v>250</v>
      </c>
      <c r="C11" s="754"/>
      <c r="D11" s="754"/>
      <c r="E11" s="754"/>
      <c r="F11" s="746"/>
      <c r="G11" s="816"/>
      <c r="H11" s="754"/>
      <c r="I11" s="754"/>
      <c r="J11" s="754"/>
      <c r="K11" s="746"/>
      <c r="L11" s="746"/>
    </row>
    <row r="12" spans="1:14" ht="13.5" thickBot="1" x14ac:dyDescent="0.25">
      <c r="A12" s="821" t="s">
        <v>1120</v>
      </c>
      <c r="B12" s="813">
        <v>251</v>
      </c>
      <c r="C12" s="817">
        <v>2468130</v>
      </c>
      <c r="D12" s="817">
        <v>22785</v>
      </c>
      <c r="E12" s="817"/>
      <c r="F12" s="1713">
        <f>(C12+D12)-E12</f>
        <v>2490915</v>
      </c>
      <c r="G12" s="816">
        <v>10</v>
      </c>
      <c r="H12" s="738">
        <v>1188257</v>
      </c>
      <c r="I12" s="738">
        <v>214806</v>
      </c>
      <c r="J12" s="738"/>
      <c r="K12" s="1722">
        <f>(H12+I12)-J12</f>
        <v>1403063</v>
      </c>
      <c r="L12" s="1722">
        <f>F12-K12</f>
        <v>1087852</v>
      </c>
    </row>
    <row r="13" spans="1:14" ht="14.25" thickTop="1" thickBot="1" x14ac:dyDescent="0.25">
      <c r="A13" s="821" t="s">
        <v>1121</v>
      </c>
      <c r="B13" s="813">
        <v>252</v>
      </c>
      <c r="C13" s="817">
        <v>935435</v>
      </c>
      <c r="D13" s="817"/>
      <c r="E13" s="817"/>
      <c r="F13" s="1713">
        <f>(C13+D13)-E13</f>
        <v>935435</v>
      </c>
      <c r="G13" s="816">
        <v>5</v>
      </c>
      <c r="H13" s="738">
        <v>844187</v>
      </c>
      <c r="I13" s="738">
        <v>36815</v>
      </c>
      <c r="J13" s="738"/>
      <c r="K13" s="1722">
        <f>(H13+I13)-J13</f>
        <v>881002</v>
      </c>
      <c r="L13" s="1722">
        <f>F13-K13</f>
        <v>54433</v>
      </c>
    </row>
    <row r="14" spans="1:14" ht="14.25" thickTop="1" thickBot="1" x14ac:dyDescent="0.25">
      <c r="A14" s="821" t="s">
        <v>1122</v>
      </c>
      <c r="B14" s="813">
        <v>253</v>
      </c>
      <c r="C14" s="738"/>
      <c r="D14" s="738"/>
      <c r="E14" s="738"/>
      <c r="F14" s="1713">
        <f>(C14+D14)-E14</f>
        <v>0</v>
      </c>
      <c r="G14" s="816">
        <v>3</v>
      </c>
      <c r="H14" s="738"/>
      <c r="I14" s="738"/>
      <c r="J14" s="738"/>
      <c r="K14" s="1722">
        <f>(H14+I14)-J14</f>
        <v>0</v>
      </c>
      <c r="L14" s="1722">
        <f>F14-K14</f>
        <v>0</v>
      </c>
    </row>
    <row r="15" spans="1:14" ht="15" customHeight="1" thickTop="1" thickBot="1" x14ac:dyDescent="0.25">
      <c r="A15" s="1584" t="s">
        <v>527</v>
      </c>
      <c r="B15" s="1583">
        <v>260</v>
      </c>
      <c r="C15" s="817">
        <v>800000</v>
      </c>
      <c r="D15" s="817">
        <v>4795664</v>
      </c>
      <c r="E15" s="817"/>
      <c r="F15" s="1713">
        <f>(C15+D15)-E15</f>
        <v>5595664</v>
      </c>
      <c r="G15" s="822" t="s">
        <v>861</v>
      </c>
      <c r="H15" s="754"/>
      <c r="I15" s="754"/>
      <c r="J15" s="754"/>
      <c r="K15" s="754"/>
      <c r="L15" s="1722">
        <f>F15-K15</f>
        <v>5595664</v>
      </c>
    </row>
    <row r="16" spans="1:14" ht="15" customHeight="1" thickTop="1" thickBot="1" x14ac:dyDescent="0.25">
      <c r="A16" s="1718" t="s">
        <v>642</v>
      </c>
      <c r="B16" s="1719">
        <v>200</v>
      </c>
      <c r="C16" s="1713">
        <f>SUM(C3,C5:C6,C8:C10,C12:C15)</f>
        <v>98744070</v>
      </c>
      <c r="D16" s="1713">
        <f>SUM(D3,D5:D6,D8:D10,D12:D15)</f>
        <v>4862759</v>
      </c>
      <c r="E16" s="1713">
        <f>SUM(E3,E5:E6,E8:E10,E12:E15)</f>
        <v>0</v>
      </c>
      <c r="F16" s="1713">
        <f>SUM(F3,F5:F6,F8:F10,F12:F15)</f>
        <v>103606829</v>
      </c>
      <c r="G16" s="816"/>
      <c r="H16" s="1713">
        <f>SUM(H3,H6,H8:H10,H12:H14,)</f>
        <v>37434481</v>
      </c>
      <c r="I16" s="1713">
        <f>SUM(I3,I6,I8:I10,I12:I14,)</f>
        <v>2137848</v>
      </c>
      <c r="J16" s="1713">
        <f>SUM(J3,J6,J8:J10,J12:J14,)</f>
        <v>0</v>
      </c>
      <c r="K16" s="1713">
        <f>(H16+I16)-J16</f>
        <v>39572329</v>
      </c>
      <c r="L16" s="1713">
        <f>F16-K16</f>
        <v>64034500</v>
      </c>
    </row>
    <row r="17" spans="1:12" ht="15" customHeight="1" thickTop="1" thickBot="1" x14ac:dyDescent="0.25">
      <c r="A17" s="1586" t="s">
        <v>290</v>
      </c>
      <c r="B17" s="1583">
        <v>700</v>
      </c>
      <c r="C17" s="742"/>
      <c r="D17" s="742"/>
      <c r="E17" s="742"/>
      <c r="F17" s="1713">
        <f>SUM('Expenditures 15-22'!I114,'Expenditures 15-22'!I151,'Expenditures 15-22'!I210,'Expenditures 15-22'!I312,'Expenditures 15-22'!I342,'Expenditures 15-22'!I367)</f>
        <v>363538</v>
      </c>
      <c r="G17" s="810">
        <v>10</v>
      </c>
      <c r="H17" s="742"/>
      <c r="I17" s="1722">
        <f>F17/G17</f>
        <v>36353.800000000003</v>
      </c>
      <c r="J17" s="742"/>
      <c r="K17" s="768"/>
      <c r="L17" s="768"/>
    </row>
    <row r="18" spans="1:12" ht="14.25" thickTop="1" thickBot="1" x14ac:dyDescent="0.25">
      <c r="A18" s="1720" t="s">
        <v>684</v>
      </c>
      <c r="B18" s="1721"/>
      <c r="C18" s="744"/>
      <c r="D18" s="744"/>
      <c r="E18" s="744"/>
      <c r="F18" s="823"/>
      <c r="G18" s="824"/>
      <c r="H18" s="746"/>
      <c r="I18" s="1713">
        <f>SUM(I16,I17)</f>
        <v>2174201.7999999998</v>
      </c>
      <c r="J18" s="746"/>
      <c r="K18" s="746"/>
      <c r="L18" s="746"/>
    </row>
    <row r="19" spans="1:12" ht="12" customHeight="1" thickTop="1" x14ac:dyDescent="0.2">
      <c r="F19" s="496"/>
      <c r="L19" s="496"/>
    </row>
    <row r="20" spans="1:12" ht="12" customHeight="1" x14ac:dyDescent="0.2">
      <c r="A20" s="825"/>
      <c r="B20" s="494"/>
      <c r="F20" s="496"/>
      <c r="L20" s="496"/>
    </row>
    <row r="21" spans="1:12" ht="12" customHeight="1" x14ac:dyDescent="0.2">
      <c r="B21" s="494"/>
      <c r="F21" s="496"/>
      <c r="L21" s="496"/>
    </row>
    <row r="22" spans="1:12" ht="12" customHeight="1" x14ac:dyDescent="0.2">
      <c r="B22" s="494"/>
      <c r="F22" s="496"/>
      <c r="L22" s="496"/>
    </row>
    <row r="23" spans="1:12" ht="12" customHeight="1" x14ac:dyDescent="0.2">
      <c r="A23" s="826"/>
      <c r="B23" s="494"/>
      <c r="F23" s="496"/>
      <c r="L23" s="496"/>
    </row>
    <row r="24" spans="1:12" ht="12" customHeight="1" x14ac:dyDescent="0.2">
      <c r="B24" s="494"/>
      <c r="F24" s="496"/>
      <c r="L24" s="496"/>
    </row>
    <row r="25" spans="1:12" x14ac:dyDescent="0.2">
      <c r="F25" s="496"/>
      <c r="L25" s="496"/>
    </row>
    <row r="26" spans="1:12" ht="10.9" customHeight="1" x14ac:dyDescent="0.2">
      <c r="A26" s="827"/>
      <c r="B26" s="247"/>
      <c r="D26" s="347"/>
    </row>
    <row r="27" spans="1:12" x14ac:dyDescent="0.2">
      <c r="A27" s="827"/>
      <c r="B27" s="247"/>
      <c r="D27" s="347"/>
    </row>
  </sheetData>
  <sheetProtection password="F60E" sheet="1" objects="1" scenarios="1"/>
  <mergeCells count="2">
    <mergeCell ref="J1:L1"/>
    <mergeCell ref="A1:C1"/>
  </mergeCells>
  <phoneticPr fontId="19"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colorId="8" zoomScale="110" zoomScaleNormal="110" workbookViewId="0">
      <pane ySplit="5" topLeftCell="A27" activePane="bottomLeft" state="frozen"/>
      <selection activeCell="AF22" sqref="AF22"/>
      <selection pane="bottomLeft" activeCell="F8" sqref="F8"/>
    </sheetView>
  </sheetViews>
  <sheetFormatPr defaultColWidth="8.7109375" defaultRowHeight="11.25" x14ac:dyDescent="0.2"/>
  <cols>
    <col min="1" max="1" width="22.140625" style="829" customWidth="1"/>
    <col min="2" max="2" width="31.85546875" style="829" customWidth="1"/>
    <col min="3" max="3" width="6.7109375" style="836" customWidth="1"/>
    <col min="4" max="4" width="55.7109375" style="829" customWidth="1"/>
    <col min="5" max="5" width="3.140625" style="836" customWidth="1"/>
    <col min="6" max="6" width="17.42578125" style="829" customWidth="1"/>
    <col min="7" max="7" width="0.85546875" style="829" customWidth="1"/>
    <col min="8" max="8" width="2.28515625" style="829" customWidth="1"/>
    <col min="9" max="16384" width="8.7109375" style="829"/>
  </cols>
  <sheetData>
    <row r="1" spans="1:7" ht="19.5" customHeight="1" thickTop="1" x14ac:dyDescent="0.2">
      <c r="A1" s="2376" t="s">
        <v>1949</v>
      </c>
      <c r="B1" s="2377"/>
      <c r="C1" s="2377"/>
      <c r="D1" s="2377"/>
      <c r="E1" s="2377"/>
      <c r="F1" s="2378"/>
      <c r="G1" s="828"/>
    </row>
    <row r="2" spans="1:7" ht="15" customHeight="1" thickBot="1" x14ac:dyDescent="0.25">
      <c r="A2" s="2379" t="s">
        <v>476</v>
      </c>
      <c r="B2" s="2380"/>
      <c r="C2" s="2380"/>
      <c r="D2" s="2380"/>
      <c r="E2" s="2380"/>
      <c r="F2" s="2381"/>
      <c r="G2" s="830"/>
    </row>
    <row r="3" spans="1:7" ht="5.25" customHeight="1" thickTop="1" x14ac:dyDescent="0.2">
      <c r="A3" s="831"/>
      <c r="B3" s="832"/>
      <c r="C3" s="833"/>
      <c r="D3" s="832"/>
      <c r="E3" s="833"/>
      <c r="F3" s="832"/>
      <c r="G3" s="832"/>
    </row>
    <row r="4" spans="1:7" ht="12.2" customHeight="1" x14ac:dyDescent="0.2">
      <c r="A4" s="834" t="s">
        <v>1076</v>
      </c>
      <c r="B4" s="835" t="s">
        <v>115</v>
      </c>
      <c r="D4" s="837" t="s">
        <v>510</v>
      </c>
      <c r="F4" s="835" t="s">
        <v>864</v>
      </c>
    </row>
    <row r="5" spans="1:7" ht="7.5" customHeight="1" x14ac:dyDescent="0.2">
      <c r="A5" s="2382"/>
      <c r="B5" s="2383"/>
      <c r="C5" s="2383"/>
      <c r="D5" s="2383"/>
      <c r="E5" s="2383"/>
      <c r="F5" s="2383"/>
    </row>
    <row r="6" spans="1:7" ht="13.5" customHeight="1" thickBot="1" x14ac:dyDescent="0.25">
      <c r="A6" s="2373" t="s">
        <v>1103</v>
      </c>
      <c r="B6" s="2374"/>
      <c r="C6" s="2374"/>
      <c r="D6" s="2374"/>
      <c r="E6" s="2374"/>
      <c r="F6" s="2375"/>
      <c r="G6" s="838"/>
    </row>
    <row r="7" spans="1:7" s="838" customFormat="1" ht="12" thickTop="1" x14ac:dyDescent="0.2">
      <c r="A7" s="839" t="s">
        <v>501</v>
      </c>
      <c r="B7" s="840"/>
      <c r="C7" s="841"/>
      <c r="D7" s="840"/>
      <c r="E7" s="841"/>
      <c r="F7" s="840"/>
    </row>
    <row r="8" spans="1:7" x14ac:dyDescent="0.2">
      <c r="A8" s="842" t="s">
        <v>458</v>
      </c>
      <c r="B8" s="843" t="s">
        <v>1455</v>
      </c>
      <c r="C8" s="844"/>
      <c r="D8" s="842" t="s">
        <v>500</v>
      </c>
      <c r="E8" s="841" t="s">
        <v>957</v>
      </c>
      <c r="F8" s="1861">
        <f>'Expenditures 15-22'!K114</f>
        <v>42516323</v>
      </c>
      <c r="G8" s="838"/>
    </row>
    <row r="9" spans="1:7" x14ac:dyDescent="0.2">
      <c r="A9" s="842" t="s">
        <v>459</v>
      </c>
      <c r="B9" s="843" t="s">
        <v>1851</v>
      </c>
      <c r="C9" s="844"/>
      <c r="D9" s="842" t="s">
        <v>500</v>
      </c>
      <c r="E9" s="841"/>
      <c r="F9" s="1862">
        <f>'Expenditures 15-22'!K151</f>
        <v>3688892</v>
      </c>
      <c r="G9" s="845"/>
    </row>
    <row r="10" spans="1:7" x14ac:dyDescent="0.2">
      <c r="A10" s="842" t="s">
        <v>498</v>
      </c>
      <c r="B10" s="843" t="s">
        <v>1852</v>
      </c>
      <c r="C10" s="844"/>
      <c r="D10" s="842" t="s">
        <v>500</v>
      </c>
      <c r="E10" s="841"/>
      <c r="F10" s="1862">
        <f>'Expenditures 15-22'!K174</f>
        <v>7618056</v>
      </c>
      <c r="G10" s="845"/>
    </row>
    <row r="11" spans="1:7" x14ac:dyDescent="0.2">
      <c r="A11" s="842" t="s">
        <v>460</v>
      </c>
      <c r="B11" s="843" t="s">
        <v>1853</v>
      </c>
      <c r="C11" s="844"/>
      <c r="D11" s="842" t="s">
        <v>500</v>
      </c>
      <c r="E11" s="841"/>
      <c r="F11" s="1862">
        <f>'Expenditures 15-22'!K210</f>
        <v>3483324</v>
      </c>
      <c r="G11" s="845"/>
    </row>
    <row r="12" spans="1:7" x14ac:dyDescent="0.2">
      <c r="A12" s="842" t="s">
        <v>461</v>
      </c>
      <c r="B12" s="843" t="s">
        <v>1854</v>
      </c>
      <c r="C12" s="844"/>
      <c r="D12" s="842" t="s">
        <v>500</v>
      </c>
      <c r="E12" s="841"/>
      <c r="F12" s="1862">
        <f>'Expenditures 15-22'!K295</f>
        <v>1437119</v>
      </c>
      <c r="G12" s="845"/>
    </row>
    <row r="13" spans="1:7" x14ac:dyDescent="0.2">
      <c r="A13" s="842" t="s">
        <v>106</v>
      </c>
      <c r="B13" s="843" t="s">
        <v>1855</v>
      </c>
      <c r="C13" s="844"/>
      <c r="D13" s="842" t="s">
        <v>500</v>
      </c>
      <c r="E13" s="841"/>
      <c r="F13" s="1862">
        <f>'Expenditures 15-22'!K342</f>
        <v>351239</v>
      </c>
      <c r="G13" s="846"/>
    </row>
    <row r="14" spans="1:7" ht="12" customHeight="1" thickBot="1" x14ac:dyDescent="0.25">
      <c r="A14" s="1723"/>
      <c r="B14" s="1724"/>
      <c r="C14" s="1725"/>
      <c r="D14" s="1726" t="s">
        <v>500</v>
      </c>
      <c r="E14" s="1727" t="s">
        <v>957</v>
      </c>
      <c r="F14" s="1728">
        <f>SUM(F8:F13)</f>
        <v>59094953</v>
      </c>
      <c r="G14" s="838"/>
    </row>
    <row r="15" spans="1:7" ht="3.75" customHeight="1" thickTop="1" x14ac:dyDescent="0.2">
      <c r="A15" s="838"/>
      <c r="B15" s="838"/>
      <c r="C15" s="844"/>
      <c r="D15" s="838"/>
      <c r="E15" s="841"/>
      <c r="F15" s="838"/>
      <c r="G15" s="838"/>
    </row>
    <row r="16" spans="1:7" ht="12" customHeight="1" x14ac:dyDescent="0.2">
      <c r="A16" s="847" t="s">
        <v>511</v>
      </c>
      <c r="B16" s="231"/>
      <c r="C16" s="231"/>
      <c r="D16" s="840"/>
      <c r="E16" s="841"/>
      <c r="F16" s="840"/>
      <c r="G16" s="838"/>
    </row>
    <row r="17" spans="1:7" ht="4.5" customHeight="1" x14ac:dyDescent="0.2">
      <c r="A17" s="847"/>
      <c r="B17" s="231"/>
      <c r="C17" s="231"/>
      <c r="D17" s="840"/>
      <c r="E17" s="841"/>
      <c r="F17" s="840"/>
      <c r="G17" s="838"/>
    </row>
    <row r="18" spans="1:7" x14ac:dyDescent="0.2">
      <c r="A18" s="842" t="s">
        <v>460</v>
      </c>
      <c r="B18" s="843" t="s">
        <v>1009</v>
      </c>
      <c r="C18" s="848">
        <f>'Revenues 9-14'!B43</f>
        <v>1412</v>
      </c>
      <c r="D18" s="849" t="str">
        <f>'Revenues 9-14'!A43</f>
        <v>Regular - Transp Fees from Other Districts (In State)</v>
      </c>
      <c r="E18" s="841" t="s">
        <v>957</v>
      </c>
      <c r="F18" s="1863">
        <f>'Revenues 9-14'!F43</f>
        <v>0</v>
      </c>
      <c r="G18" s="838"/>
    </row>
    <row r="19" spans="1:7" x14ac:dyDescent="0.2">
      <c r="A19" s="842" t="s">
        <v>460</v>
      </c>
      <c r="B19" s="843" t="s">
        <v>1010</v>
      </c>
      <c r="C19" s="850">
        <f>'Revenues 9-14'!B47</f>
        <v>1421</v>
      </c>
      <c r="D19" s="851" t="str">
        <f>'Revenues 9-14'!A47</f>
        <v>Summer Sch - Transp. Fees from Pupils or Parents (In State)</v>
      </c>
      <c r="E19" s="852"/>
      <c r="F19" s="1864">
        <f>'Revenues 9-14'!F47</f>
        <v>0</v>
      </c>
      <c r="G19" s="838"/>
    </row>
    <row r="20" spans="1:7" x14ac:dyDescent="0.2">
      <c r="A20" s="842" t="s">
        <v>460</v>
      </c>
      <c r="B20" s="843" t="s">
        <v>1011</v>
      </c>
      <c r="C20" s="848">
        <f>'Revenues 9-14'!B48</f>
        <v>1422</v>
      </c>
      <c r="D20" s="849" t="str">
        <f>'Revenues 9-14'!A48</f>
        <v>Summer Sch - Transp. Fees from Other Districts (In State)</v>
      </c>
      <c r="E20" s="841"/>
      <c r="F20" s="1865">
        <f>'Revenues 9-14'!F48</f>
        <v>0</v>
      </c>
      <c r="G20" s="838"/>
    </row>
    <row r="21" spans="1:7" x14ac:dyDescent="0.2">
      <c r="A21" s="842" t="s">
        <v>460</v>
      </c>
      <c r="B21" s="843" t="s">
        <v>1012</v>
      </c>
      <c r="C21" s="850">
        <f>'Revenues 9-14'!B49</f>
        <v>1423</v>
      </c>
      <c r="D21" s="849" t="str">
        <f>'Revenues 9-14'!A49</f>
        <v>Summer Sch - Transp. Fees from Other Sources (In State)</v>
      </c>
      <c r="E21" s="841"/>
      <c r="F21" s="1866">
        <f>'Revenues 9-14'!F49</f>
        <v>0</v>
      </c>
      <c r="G21" s="838"/>
    </row>
    <row r="22" spans="1:7" x14ac:dyDescent="0.2">
      <c r="A22" s="842" t="s">
        <v>460</v>
      </c>
      <c r="B22" s="843" t="s">
        <v>1013</v>
      </c>
      <c r="C22" s="850">
        <f>'Revenues 9-14'!B50</f>
        <v>1424</v>
      </c>
      <c r="D22" s="849" t="str">
        <f>'Revenues 9-14'!A50</f>
        <v>Summer Sch - Transp. Fees from Other Sources (Out of State)</v>
      </c>
      <c r="E22" s="841"/>
      <c r="F22" s="1866">
        <f>'Revenues 9-14'!F50</f>
        <v>0</v>
      </c>
      <c r="G22" s="838"/>
    </row>
    <row r="23" spans="1:7" x14ac:dyDescent="0.2">
      <c r="A23" s="842" t="s">
        <v>460</v>
      </c>
      <c r="B23" s="843" t="s">
        <v>1014</v>
      </c>
      <c r="C23" s="848">
        <f>'Revenues 9-14'!B52</f>
        <v>1432</v>
      </c>
      <c r="D23" s="849" t="str">
        <f>'Revenues 9-14'!A52</f>
        <v>CTE - Transp Fees from Other Districts (In State)</v>
      </c>
      <c r="E23" s="841"/>
      <c r="F23" s="1866">
        <f>'Revenues 9-14'!F52</f>
        <v>0</v>
      </c>
      <c r="G23" s="838"/>
    </row>
    <row r="24" spans="1:7" x14ac:dyDescent="0.2">
      <c r="A24" s="842" t="s">
        <v>460</v>
      </c>
      <c r="B24" s="843" t="s">
        <v>1015</v>
      </c>
      <c r="C24" s="848">
        <f>'Revenues 9-14'!B56</f>
        <v>1442</v>
      </c>
      <c r="D24" s="849" t="str">
        <f>'Revenues 9-14'!A56</f>
        <v>Special Ed - Transp Fees from Other Districts (In State)</v>
      </c>
      <c r="E24" s="841"/>
      <c r="F24" s="1866">
        <f>'Revenues 9-14'!F56</f>
        <v>0</v>
      </c>
      <c r="G24" s="838"/>
    </row>
    <row r="25" spans="1:7" x14ac:dyDescent="0.2">
      <c r="A25" s="842" t="s">
        <v>460</v>
      </c>
      <c r="B25" s="843" t="s">
        <v>1016</v>
      </c>
      <c r="C25" s="848">
        <f>'Revenues 9-14'!B59</f>
        <v>1451</v>
      </c>
      <c r="D25" s="849" t="str">
        <f>'Revenues 9-14'!A59</f>
        <v>Adult - Transp Fees from Pupils or Parents (In State)</v>
      </c>
      <c r="E25" s="841"/>
      <c r="F25" s="1866">
        <f>'Revenues 9-14'!F59</f>
        <v>0</v>
      </c>
      <c r="G25" s="838"/>
    </row>
    <row r="26" spans="1:7" x14ac:dyDescent="0.2">
      <c r="A26" s="842" t="s">
        <v>460</v>
      </c>
      <c r="B26" s="843" t="s">
        <v>1017</v>
      </c>
      <c r="C26" s="848">
        <f>'Revenues 9-14'!B60</f>
        <v>1452</v>
      </c>
      <c r="D26" s="849" t="str">
        <f>'Revenues 9-14'!A60</f>
        <v>Adult - Transp Fees from Other Districts (In State)</v>
      </c>
      <c r="E26" s="841"/>
      <c r="F26" s="1866">
        <f>'Revenues 9-14'!F60</f>
        <v>0</v>
      </c>
      <c r="G26" s="838"/>
    </row>
    <row r="27" spans="1:7" x14ac:dyDescent="0.2">
      <c r="A27" s="842" t="s">
        <v>460</v>
      </c>
      <c r="B27" s="843" t="s">
        <v>1018</v>
      </c>
      <c r="C27" s="848">
        <f>'Revenues 9-14'!B61</f>
        <v>1453</v>
      </c>
      <c r="D27" s="849" t="str">
        <f>'Revenues 9-14'!A61</f>
        <v>Adult - Transp Fees from Other Sources (In State)</v>
      </c>
      <c r="E27" s="841"/>
      <c r="F27" s="1866">
        <f>'Revenues 9-14'!F61</f>
        <v>0</v>
      </c>
      <c r="G27" s="838"/>
    </row>
    <row r="28" spans="1:7" x14ac:dyDescent="0.2">
      <c r="A28" s="842" t="s">
        <v>460</v>
      </c>
      <c r="B28" s="843" t="s">
        <v>1019</v>
      </c>
      <c r="C28" s="848">
        <f>'Revenues 9-14'!B62</f>
        <v>1454</v>
      </c>
      <c r="D28" s="849" t="str">
        <f>'Revenues 9-14'!A62</f>
        <v>Adult - Transp Fees from Other Sources (Out of State)</v>
      </c>
      <c r="E28" s="841"/>
      <c r="F28" s="1866">
        <f>'Revenues 9-14'!F62</f>
        <v>0</v>
      </c>
      <c r="G28" s="838"/>
    </row>
    <row r="29" spans="1:7" x14ac:dyDescent="0.2">
      <c r="A29" s="842" t="s">
        <v>1096</v>
      </c>
      <c r="B29" s="843" t="s">
        <v>809</v>
      </c>
      <c r="C29" s="853">
        <f>'Revenues 9-14'!B149</f>
        <v>3410</v>
      </c>
      <c r="D29" s="854" t="str">
        <f>'Revenues 9-14'!A149</f>
        <v>Adult Ed (from ICCB)</v>
      </c>
      <c r="E29" s="841"/>
      <c r="F29" s="1866">
        <f>SUM('Revenues 9-14'!D149,'Revenues 9-14'!F149)</f>
        <v>0</v>
      </c>
      <c r="G29" s="838"/>
    </row>
    <row r="30" spans="1:7" x14ac:dyDescent="0.2">
      <c r="A30" s="842" t="s">
        <v>1096</v>
      </c>
      <c r="B30" s="843" t="s">
        <v>1973</v>
      </c>
      <c r="C30" s="853">
        <f>'Revenues 9-14'!B150</f>
        <v>3499</v>
      </c>
      <c r="D30" s="854" t="str">
        <f>'Revenues 9-14'!A150</f>
        <v>Adult Ed - Other (Describe &amp; Itemize)</v>
      </c>
      <c r="E30" s="841"/>
      <c r="F30" s="1867">
        <f>('Revenues 9-14'!D150+'Revenues 9-14'!F150)</f>
        <v>0</v>
      </c>
      <c r="G30" s="838"/>
    </row>
    <row r="31" spans="1:7" x14ac:dyDescent="0.2">
      <c r="A31" s="842" t="s">
        <v>1096</v>
      </c>
      <c r="B31" s="843" t="s">
        <v>1974</v>
      </c>
      <c r="C31" s="848">
        <f>'Revenues 9-14'!B211</f>
        <v>4600</v>
      </c>
      <c r="D31" s="856" t="str">
        <f>'Revenues 9-14'!A211</f>
        <v>Fed - Spec Education - Preschool Flow-Through</v>
      </c>
      <c r="E31" s="857"/>
      <c r="F31" s="1866">
        <f>SUM('Revenues 9-14'!D211,'Revenues 9-14'!F211)</f>
        <v>0</v>
      </c>
      <c r="G31" s="838"/>
    </row>
    <row r="32" spans="1:7" x14ac:dyDescent="0.2">
      <c r="A32" s="842" t="s">
        <v>1096</v>
      </c>
      <c r="B32" s="843" t="s">
        <v>1975</v>
      </c>
      <c r="C32" s="848">
        <f>'Revenues 9-14'!B212</f>
        <v>4605</v>
      </c>
      <c r="D32" s="858" t="str">
        <f>'Revenues 9-14'!A212</f>
        <v>Fed - Spec Education - Preschool Discretionary</v>
      </c>
      <c r="E32" s="857"/>
      <c r="F32" s="1866">
        <f>SUM('Revenues 9-14'!D212,'Revenues 9-14'!F212)</f>
        <v>0</v>
      </c>
      <c r="G32" s="838"/>
    </row>
    <row r="33" spans="1:7" x14ac:dyDescent="0.2">
      <c r="A33" s="842" t="s">
        <v>459</v>
      </c>
      <c r="B33" s="843" t="s">
        <v>1976</v>
      </c>
      <c r="C33" s="848">
        <f>'Revenues 9-14'!B222</f>
        <v>4810</v>
      </c>
      <c r="D33" s="856" t="str">
        <f>'Revenues 9-14'!A222</f>
        <v>Federal - Adult Education</v>
      </c>
      <c r="E33" s="841"/>
      <c r="F33" s="1866">
        <f>'Revenues 9-14'!D222</f>
        <v>0</v>
      </c>
      <c r="G33" s="838"/>
    </row>
    <row r="34" spans="1:7" x14ac:dyDescent="0.2">
      <c r="A34" s="842" t="s">
        <v>458</v>
      </c>
      <c r="B34" s="842" t="s">
        <v>1456</v>
      </c>
      <c r="C34" s="859" t="str">
        <f>'Expenditures 15-22'!B7</f>
        <v>1125</v>
      </c>
      <c r="D34" s="860" t="str">
        <f>'Expenditures 15-22'!A7</f>
        <v>Pre-K Programs</v>
      </c>
      <c r="E34" s="841"/>
      <c r="F34" s="1866">
        <f>'Expenditures 15-22'!K7-SUM('Expenditures 15-22'!G7,'Expenditures 15-22'!I7)</f>
        <v>529297</v>
      </c>
      <c r="G34" s="838"/>
    </row>
    <row r="35" spans="1:7" x14ac:dyDescent="0.2">
      <c r="A35" s="842" t="s">
        <v>458</v>
      </c>
      <c r="B35" s="842" t="s">
        <v>1457</v>
      </c>
      <c r="C35" s="859" t="str">
        <f>'Expenditures 15-22'!B9</f>
        <v>1225</v>
      </c>
      <c r="D35" s="860" t="str">
        <f>'Expenditures 15-22'!A9</f>
        <v>Special Education Programs Pre-K</v>
      </c>
      <c r="E35" s="841"/>
      <c r="F35" s="1866">
        <f>'Expenditures 15-22'!K9-SUM('Expenditures 15-22'!G9+'Expenditures 15-22'!I9)</f>
        <v>287215</v>
      </c>
      <c r="G35" s="838"/>
    </row>
    <row r="36" spans="1:7" x14ac:dyDescent="0.2">
      <c r="A36" s="842" t="s">
        <v>458</v>
      </c>
      <c r="B36" s="842" t="s">
        <v>116</v>
      </c>
      <c r="C36" s="859" t="str">
        <f>'Expenditures 15-22'!B11</f>
        <v>1275</v>
      </c>
      <c r="D36" s="860" t="str">
        <f>'Expenditures 15-22'!A11</f>
        <v>Remedial and Supplemental Programs Pre-K</v>
      </c>
      <c r="E36" s="841"/>
      <c r="F36" s="1866">
        <f>'Expenditures 15-22'!K11-SUM('Expenditures 15-22'!G11,'Expenditures 15-22'!I11)</f>
        <v>0</v>
      </c>
      <c r="G36" s="838"/>
    </row>
    <row r="37" spans="1:7" x14ac:dyDescent="0.2">
      <c r="A37" s="842" t="s">
        <v>458</v>
      </c>
      <c r="B37" s="842" t="s">
        <v>1458</v>
      </c>
      <c r="C37" s="859">
        <f>'Expenditures 15-22'!B12</f>
        <v>1300</v>
      </c>
      <c r="D37" s="861" t="str">
        <f>'Expenditures 15-22'!A12</f>
        <v>Adult/Continuing Education Programs</v>
      </c>
      <c r="E37" s="841"/>
      <c r="F37" s="1866">
        <f>'Expenditures 15-22'!K12-SUM('Expenditures 15-22'!G12+'Expenditures 15-22'!I12)</f>
        <v>0</v>
      </c>
      <c r="G37" s="838"/>
    </row>
    <row r="38" spans="1:7" x14ac:dyDescent="0.2">
      <c r="A38" s="842" t="s">
        <v>458</v>
      </c>
      <c r="B38" s="842" t="s">
        <v>1459</v>
      </c>
      <c r="C38" s="859">
        <f>'Expenditures 15-22'!B15</f>
        <v>1600</v>
      </c>
      <c r="D38" s="861" t="str">
        <f>'Expenditures 15-22'!A15</f>
        <v>Summer School Programs</v>
      </c>
      <c r="E38" s="841"/>
      <c r="F38" s="1866">
        <f>'Expenditures 15-22'!K15-SUM('Expenditures 15-22'!G15,'Expenditures 15-22'!I15)</f>
        <v>262283</v>
      </c>
      <c r="G38" s="838"/>
    </row>
    <row r="39" spans="1:7" x14ac:dyDescent="0.2">
      <c r="A39" s="842" t="s">
        <v>458</v>
      </c>
      <c r="B39" s="842" t="s">
        <v>117</v>
      </c>
      <c r="C39" s="859" t="str">
        <f>'Expenditures 15-22'!B20</f>
        <v>1910</v>
      </c>
      <c r="D39" s="861" t="str">
        <f>'Expenditures 15-22'!A20</f>
        <v>Pre-K Programs - Private Tuition</v>
      </c>
      <c r="E39" s="841"/>
      <c r="F39" s="1866">
        <f>'Expenditures 15-22'!K20</f>
        <v>0</v>
      </c>
      <c r="G39" s="838"/>
    </row>
    <row r="40" spans="1:7" x14ac:dyDescent="0.2">
      <c r="A40" s="842" t="s">
        <v>458</v>
      </c>
      <c r="B40" s="842" t="s">
        <v>118</v>
      </c>
      <c r="C40" s="859" t="str">
        <f>'Expenditures 15-22'!B21</f>
        <v>1911</v>
      </c>
      <c r="D40" s="861" t="str">
        <f>'Expenditures 15-22'!A21</f>
        <v>Regular K-12 Programs - Private Tuition</v>
      </c>
      <c r="E40" s="841"/>
      <c r="F40" s="1866">
        <f>'Expenditures 15-22'!K21</f>
        <v>0</v>
      </c>
      <c r="G40" s="838"/>
    </row>
    <row r="41" spans="1:7" x14ac:dyDescent="0.2">
      <c r="A41" s="842" t="s">
        <v>458</v>
      </c>
      <c r="B41" s="842" t="s">
        <v>119</v>
      </c>
      <c r="C41" s="859" t="str">
        <f>'Expenditures 15-22'!B22</f>
        <v>1912</v>
      </c>
      <c r="D41" s="861" t="str">
        <f>'Expenditures 15-22'!A22</f>
        <v>Special Education Programs K-12 - Private Tuition</v>
      </c>
      <c r="E41" s="841"/>
      <c r="F41" s="1866">
        <f>'Expenditures 15-22'!K22</f>
        <v>1073815</v>
      </c>
      <c r="G41" s="838"/>
    </row>
    <row r="42" spans="1:7" x14ac:dyDescent="0.2">
      <c r="A42" s="842" t="s">
        <v>458</v>
      </c>
      <c r="B42" s="842" t="s">
        <v>120</v>
      </c>
      <c r="C42" s="862" t="str">
        <f>'Expenditures 15-22'!B23</f>
        <v>1913</v>
      </c>
      <c r="D42" s="861" t="str">
        <f>'Expenditures 15-22'!A23</f>
        <v>Special Education Programs Pre-K - Tuition</v>
      </c>
      <c r="E42" s="841"/>
      <c r="F42" s="1866">
        <f>'Expenditures 15-22'!K23</f>
        <v>0</v>
      </c>
      <c r="G42" s="838"/>
    </row>
    <row r="43" spans="1:7" x14ac:dyDescent="0.2">
      <c r="A43" s="842" t="s">
        <v>458</v>
      </c>
      <c r="B43" s="842" t="s">
        <v>121</v>
      </c>
      <c r="C43" s="859" t="str">
        <f>'Expenditures 15-22'!B24</f>
        <v>1914</v>
      </c>
      <c r="D43" s="861" t="str">
        <f>'Expenditures 15-22'!A24</f>
        <v>Remedial/Supplemental Programs K-12 - Private Tuition</v>
      </c>
      <c r="E43" s="841"/>
      <c r="F43" s="1866">
        <f>'Expenditures 15-22'!K24</f>
        <v>0</v>
      </c>
      <c r="G43" s="838"/>
    </row>
    <row r="44" spans="1:7" x14ac:dyDescent="0.2">
      <c r="A44" s="842" t="s">
        <v>458</v>
      </c>
      <c r="B44" s="842" t="s">
        <v>122</v>
      </c>
      <c r="C44" s="862" t="str">
        <f>'Expenditures 15-22'!B25</f>
        <v>1915</v>
      </c>
      <c r="D44" s="861" t="str">
        <f>'Expenditures 15-22'!A25</f>
        <v>Remedial/Supplemental Programs Pre-K - Private Tuition</v>
      </c>
      <c r="E44" s="841"/>
      <c r="F44" s="1866">
        <f>'Expenditures 15-22'!K25</f>
        <v>0</v>
      </c>
      <c r="G44" s="838"/>
    </row>
    <row r="45" spans="1:7" x14ac:dyDescent="0.2">
      <c r="A45" s="842" t="s">
        <v>458</v>
      </c>
      <c r="B45" s="842" t="s">
        <v>123</v>
      </c>
      <c r="C45" s="862" t="str">
        <f>'Expenditures 15-22'!B26</f>
        <v>1916</v>
      </c>
      <c r="D45" s="861" t="str">
        <f>'Expenditures 15-22'!A26</f>
        <v>Adult/Continuing Education Programs - Private Tuition</v>
      </c>
      <c r="E45" s="841"/>
      <c r="F45" s="1866">
        <f>'Expenditures 15-22'!K26</f>
        <v>0</v>
      </c>
      <c r="G45" s="838"/>
    </row>
    <row r="46" spans="1:7" x14ac:dyDescent="0.2">
      <c r="A46" s="842" t="s">
        <v>458</v>
      </c>
      <c r="B46" s="842" t="s">
        <v>124</v>
      </c>
      <c r="C46" s="859" t="str">
        <f>'Expenditures 15-22'!B27</f>
        <v>1917</v>
      </c>
      <c r="D46" s="861" t="str">
        <f>'Expenditures 15-22'!A27</f>
        <v>CTE Programs - Private Tuition</v>
      </c>
      <c r="E46" s="841"/>
      <c r="F46" s="1866">
        <f>'Expenditures 15-22'!K27</f>
        <v>0</v>
      </c>
      <c r="G46" s="838"/>
    </row>
    <row r="47" spans="1:7" x14ac:dyDescent="0.2">
      <c r="A47" s="842" t="s">
        <v>458</v>
      </c>
      <c r="B47" s="842" t="s">
        <v>125</v>
      </c>
      <c r="C47" s="863" t="str">
        <f>'Expenditures 15-22'!B28</f>
        <v>1918</v>
      </c>
      <c r="D47" s="864" t="str">
        <f>'Expenditures 15-22'!A28</f>
        <v>Interscholastic Programs - Private Tuition</v>
      </c>
      <c r="E47" s="841"/>
      <c r="F47" s="1866">
        <f>'Expenditures 15-22'!K28</f>
        <v>0</v>
      </c>
      <c r="G47" s="838"/>
    </row>
    <row r="48" spans="1:7" x14ac:dyDescent="0.2">
      <c r="A48" s="842" t="s">
        <v>458</v>
      </c>
      <c r="B48" s="842" t="s">
        <v>126</v>
      </c>
      <c r="C48" s="862" t="str">
        <f>'Expenditures 15-22'!B29</f>
        <v>1919</v>
      </c>
      <c r="D48" s="861" t="str">
        <f>'Expenditures 15-22'!A29</f>
        <v>Summer School Programs - Private Tuition</v>
      </c>
      <c r="E48" s="841"/>
      <c r="F48" s="1866">
        <f>'Expenditures 15-22'!K29</f>
        <v>0</v>
      </c>
      <c r="G48" s="838"/>
    </row>
    <row r="49" spans="1:7" x14ac:dyDescent="0.2">
      <c r="A49" s="842" t="s">
        <v>458</v>
      </c>
      <c r="B49" s="842" t="s">
        <v>127</v>
      </c>
      <c r="C49" s="859" t="str">
        <f>'Expenditures 15-22'!B30</f>
        <v>1920</v>
      </c>
      <c r="D49" s="861" t="str">
        <f>'Expenditures 15-22'!A30</f>
        <v>Gifted Programs - Private Tuition</v>
      </c>
      <c r="E49" s="841"/>
      <c r="F49" s="1866">
        <f>'Expenditures 15-22'!K30</f>
        <v>0</v>
      </c>
      <c r="G49" s="838"/>
    </row>
    <row r="50" spans="1:7" x14ac:dyDescent="0.2">
      <c r="A50" s="842" t="s">
        <v>458</v>
      </c>
      <c r="B50" s="842" t="s">
        <v>128</v>
      </c>
      <c r="C50" s="859" t="str">
        <f>'Expenditures 15-22'!B31</f>
        <v>1921</v>
      </c>
      <c r="D50" s="861" t="str">
        <f>'Expenditures 15-22'!A31</f>
        <v>Bilingual Programs - Private Tuition</v>
      </c>
      <c r="E50" s="841"/>
      <c r="F50" s="1866">
        <f>'Expenditures 15-22'!K31</f>
        <v>0</v>
      </c>
      <c r="G50" s="838"/>
    </row>
    <row r="51" spans="1:7" x14ac:dyDescent="0.2">
      <c r="A51" s="842" t="s">
        <v>458</v>
      </c>
      <c r="B51" s="842" t="s">
        <v>1460</v>
      </c>
      <c r="C51" s="859" t="str">
        <f>'Expenditures 15-22'!B32</f>
        <v>1922</v>
      </c>
      <c r="D51" s="861" t="str">
        <f>'Expenditures 15-22'!A32</f>
        <v>Truants Alternative/Optional Ed Progms - Private Tuition</v>
      </c>
      <c r="E51" s="841"/>
      <c r="F51" s="1866">
        <f>'Expenditures 15-22'!K32</f>
        <v>0</v>
      </c>
      <c r="G51" s="838"/>
    </row>
    <row r="52" spans="1:7" x14ac:dyDescent="0.2">
      <c r="A52" s="842" t="s">
        <v>458</v>
      </c>
      <c r="B52" s="842" t="s">
        <v>1461</v>
      </c>
      <c r="C52" s="862" t="str">
        <f>'Expenditures 15-22'!B75</f>
        <v>3000</v>
      </c>
      <c r="D52" s="861" t="s">
        <v>448</v>
      </c>
      <c r="E52" s="841"/>
      <c r="F52" s="1866">
        <f>'Expenditures 15-22'!K75-SUM('Expenditures 15-22'!G75,'Expenditures 15-22'!I75)</f>
        <v>10396</v>
      </c>
      <c r="G52" s="838"/>
    </row>
    <row r="53" spans="1:7" x14ac:dyDescent="0.2">
      <c r="A53" s="842" t="s">
        <v>458</v>
      </c>
      <c r="B53" s="842" t="s">
        <v>1462</v>
      </c>
      <c r="C53" s="862">
        <f>'Expenditures 15-22'!B102</f>
        <v>4000</v>
      </c>
      <c r="D53" s="861" t="str">
        <f>'Expenditures 15-22'!A102</f>
        <v>Total Payments to Other Govt Units</v>
      </c>
      <c r="E53" s="841"/>
      <c r="F53" s="1866">
        <f>'Expenditures 15-22'!K102</f>
        <v>1684355</v>
      </c>
      <c r="G53" s="838"/>
    </row>
    <row r="54" spans="1:7" x14ac:dyDescent="0.2">
      <c r="A54" s="842" t="s">
        <v>458</v>
      </c>
      <c r="B54" s="842" t="s">
        <v>1463</v>
      </c>
      <c r="C54" s="862" t="s">
        <v>981</v>
      </c>
      <c r="D54" s="858" t="s">
        <v>1094</v>
      </c>
      <c r="E54" s="841"/>
      <c r="F54" s="1866">
        <f>'Expenditures 15-22'!G114</f>
        <v>0</v>
      </c>
      <c r="G54" s="838"/>
    </row>
    <row r="55" spans="1:7" x14ac:dyDescent="0.2">
      <c r="A55" s="842" t="s">
        <v>458</v>
      </c>
      <c r="B55" s="842" t="s">
        <v>1464</v>
      </c>
      <c r="C55" s="862" t="s">
        <v>981</v>
      </c>
      <c r="D55" s="858" t="s">
        <v>290</v>
      </c>
      <c r="E55" s="841"/>
      <c r="F55" s="1866">
        <f>'Expenditures 15-22'!I114</f>
        <v>74893</v>
      </c>
      <c r="G55" s="838"/>
    </row>
    <row r="56" spans="1:7" x14ac:dyDescent="0.2">
      <c r="A56" s="842" t="s">
        <v>459</v>
      </c>
      <c r="B56" s="842" t="s">
        <v>1465</v>
      </c>
      <c r="C56" s="859" t="str">
        <f>'Expenditures 15-22'!B130</f>
        <v>3000</v>
      </c>
      <c r="D56" s="865" t="s">
        <v>448</v>
      </c>
      <c r="E56" s="841"/>
      <c r="F56" s="1866">
        <f>'Expenditures 15-22'!K130-SUM('Expenditures 15-22'!G130+'Expenditures 15-22'!I130)</f>
        <v>0</v>
      </c>
      <c r="G56" s="838"/>
    </row>
    <row r="57" spans="1:7" x14ac:dyDescent="0.2">
      <c r="A57" s="842" t="s">
        <v>459</v>
      </c>
      <c r="B57" s="842" t="s">
        <v>1856</v>
      </c>
      <c r="C57" s="862">
        <f>'Expenditures 15-22'!B139</f>
        <v>4000</v>
      </c>
      <c r="D57" s="860" t="str">
        <f>'Expenditures 15-22'!A139</f>
        <v>Total Payments to Other Govt Units</v>
      </c>
      <c r="E57" s="841"/>
      <c r="F57" s="1866">
        <f>'Expenditures 15-22'!K139</f>
        <v>0</v>
      </c>
      <c r="G57" s="838"/>
    </row>
    <row r="58" spans="1:7" x14ac:dyDescent="0.2">
      <c r="A58" s="842" t="s">
        <v>459</v>
      </c>
      <c r="B58" s="842" t="s">
        <v>1857</v>
      </c>
      <c r="C58" s="859" t="s">
        <v>981</v>
      </c>
      <c r="D58" s="858" t="s">
        <v>1094</v>
      </c>
      <c r="E58" s="841"/>
      <c r="F58" s="1868">
        <f>'Expenditures 15-22'!G151</f>
        <v>67095</v>
      </c>
      <c r="G58" s="838"/>
    </row>
    <row r="59" spans="1:7" x14ac:dyDescent="0.2">
      <c r="A59" s="866" t="s">
        <v>459</v>
      </c>
      <c r="B59" s="829" t="s">
        <v>1858</v>
      </c>
      <c r="C59" s="867" t="s">
        <v>981</v>
      </c>
      <c r="D59" s="829" t="s">
        <v>290</v>
      </c>
      <c r="F59" s="1869">
        <f>'Expenditures 15-22'!I151</f>
        <v>288645</v>
      </c>
      <c r="G59" s="838"/>
    </row>
    <row r="60" spans="1:7" x14ac:dyDescent="0.2">
      <c r="A60" s="866" t="s">
        <v>498</v>
      </c>
      <c r="B60" s="829" t="s">
        <v>1859</v>
      </c>
      <c r="C60" s="867">
        <v>4000</v>
      </c>
      <c r="D60" s="829" t="s">
        <v>311</v>
      </c>
      <c r="F60" s="1867">
        <f>'Expenditures 15-22'!K160</f>
        <v>0</v>
      </c>
      <c r="G60" s="838"/>
    </row>
    <row r="61" spans="1:7" x14ac:dyDescent="0.2">
      <c r="A61" s="868" t="s">
        <v>498</v>
      </c>
      <c r="B61" s="868" t="s">
        <v>1860</v>
      </c>
      <c r="C61" s="869" t="str">
        <f>'Expenditures 15-22'!B170</f>
        <v>5300</v>
      </c>
      <c r="D61" s="870" t="s">
        <v>310</v>
      </c>
      <c r="E61" s="852"/>
      <c r="F61" s="1866">
        <f>'Expenditures 15-22'!K170</f>
        <v>2154448</v>
      </c>
      <c r="G61" s="838"/>
    </row>
    <row r="62" spans="1:7" x14ac:dyDescent="0.2">
      <c r="A62" s="842" t="s">
        <v>460</v>
      </c>
      <c r="B62" s="842" t="s">
        <v>1861</v>
      </c>
      <c r="C62" s="859">
        <f>'Expenditures 15-22'!B185</f>
        <v>3000</v>
      </c>
      <c r="D62" s="849" t="s">
        <v>448</v>
      </c>
      <c r="E62" s="841"/>
      <c r="F62" s="1866">
        <f>'Expenditures 15-22'!K185-SUM('Expenditures 15-22'!G185,'Expenditures 15-22'!I185)</f>
        <v>0</v>
      </c>
      <c r="G62" s="838"/>
    </row>
    <row r="63" spans="1:7" x14ac:dyDescent="0.2">
      <c r="A63" s="842" t="s">
        <v>460</v>
      </c>
      <c r="B63" s="842" t="s">
        <v>1862</v>
      </c>
      <c r="C63" s="859" t="str">
        <f>'Expenditures 15-22'!B196</f>
        <v>4000</v>
      </c>
      <c r="D63" s="860" t="str">
        <f>'Expenditures 15-22'!A196</f>
        <v>Total Payments to Other Govt Units</v>
      </c>
      <c r="E63" s="841"/>
      <c r="F63" s="1866">
        <f>'Expenditures 15-22'!K196</f>
        <v>0</v>
      </c>
      <c r="G63" s="838"/>
    </row>
    <row r="64" spans="1:7" x14ac:dyDescent="0.2">
      <c r="A64" s="868" t="s">
        <v>460</v>
      </c>
      <c r="B64" s="868" t="s">
        <v>1863</v>
      </c>
      <c r="C64" s="869" t="str">
        <f>'Expenditures 15-22'!B206</f>
        <v>5300</v>
      </c>
      <c r="D64" s="865" t="s">
        <v>310</v>
      </c>
      <c r="E64" s="841"/>
      <c r="F64" s="1866">
        <f>'Expenditures 15-22'!K206</f>
        <v>0</v>
      </c>
      <c r="G64" s="838"/>
    </row>
    <row r="65" spans="1:8" x14ac:dyDescent="0.2">
      <c r="A65" s="842" t="s">
        <v>460</v>
      </c>
      <c r="B65" s="842" t="s">
        <v>1864</v>
      </c>
      <c r="C65" s="859" t="s">
        <v>981</v>
      </c>
      <c r="D65" s="858" t="s">
        <v>1094</v>
      </c>
      <c r="E65" s="841"/>
      <c r="F65" s="1866">
        <f>'Expenditures 15-22'!G210</f>
        <v>0</v>
      </c>
      <c r="G65" s="838"/>
    </row>
    <row r="66" spans="1:8" x14ac:dyDescent="0.2">
      <c r="A66" s="842" t="s">
        <v>460</v>
      </c>
      <c r="B66" s="842" t="s">
        <v>1865</v>
      </c>
      <c r="C66" s="859" t="s">
        <v>981</v>
      </c>
      <c r="D66" s="858" t="s">
        <v>290</v>
      </c>
      <c r="E66" s="841"/>
      <c r="F66" s="1866">
        <f>'Expenditures 15-22'!I210</f>
        <v>0</v>
      </c>
      <c r="G66" s="838"/>
    </row>
    <row r="67" spans="1:8" x14ac:dyDescent="0.2">
      <c r="A67" s="842" t="s">
        <v>461</v>
      </c>
      <c r="B67" s="842" t="s">
        <v>1866</v>
      </c>
      <c r="C67" s="859" t="str">
        <f>'Expenditures 15-22'!B216</f>
        <v>1125</v>
      </c>
      <c r="D67" s="865" t="str">
        <f>'Expenditures 15-22'!A216</f>
        <v>Pre-K Programs</v>
      </c>
      <c r="E67" s="841"/>
      <c r="F67" s="1866">
        <f>'Expenditures 15-22'!K216</f>
        <v>34055</v>
      </c>
      <c r="G67" s="838"/>
    </row>
    <row r="68" spans="1:8" x14ac:dyDescent="0.2">
      <c r="A68" s="842" t="s">
        <v>461</v>
      </c>
      <c r="B68" s="842" t="s">
        <v>1466</v>
      </c>
      <c r="C68" s="859" t="str">
        <f>'Expenditures 15-22'!B218</f>
        <v>1225</v>
      </c>
      <c r="D68" s="865" t="str">
        <f>'Expenditures 15-22'!A218</f>
        <v>Special Education Programs - Pre-K</v>
      </c>
      <c r="E68" s="841"/>
      <c r="F68" s="1866">
        <f>'Expenditures 15-22'!K218</f>
        <v>24207</v>
      </c>
      <c r="G68" s="838"/>
    </row>
    <row r="69" spans="1:8" x14ac:dyDescent="0.2">
      <c r="A69" s="842" t="s">
        <v>461</v>
      </c>
      <c r="B69" s="842" t="s">
        <v>1867</v>
      </c>
      <c r="C69" s="859" t="str">
        <f>'Expenditures 15-22'!B220</f>
        <v>1275</v>
      </c>
      <c r="D69" s="865" t="str">
        <f>'Expenditures 15-22'!A220</f>
        <v>Remedial and Supplemental Programs - Pre-K</v>
      </c>
      <c r="E69" s="841"/>
      <c r="F69" s="1866">
        <f>'Expenditures 15-22'!K220</f>
        <v>0</v>
      </c>
      <c r="G69" s="838"/>
    </row>
    <row r="70" spans="1:8" x14ac:dyDescent="0.2">
      <c r="A70" s="842" t="s">
        <v>461</v>
      </c>
      <c r="B70" s="842" t="s">
        <v>1868</v>
      </c>
      <c r="C70" s="859">
        <f>'Expenditures 15-22'!B221</f>
        <v>1300</v>
      </c>
      <c r="D70" s="860" t="str">
        <f>'Expenditures 15-22'!A221</f>
        <v>Adult/Continuing Education Programs</v>
      </c>
      <c r="E70" s="841"/>
      <c r="F70" s="1866">
        <f>'Expenditures 15-22'!K221</f>
        <v>0</v>
      </c>
      <c r="G70" s="838"/>
    </row>
    <row r="71" spans="1:8" x14ac:dyDescent="0.2">
      <c r="A71" s="842" t="s">
        <v>461</v>
      </c>
      <c r="B71" s="842" t="s">
        <v>1869</v>
      </c>
      <c r="C71" s="859">
        <f>'Expenditures 15-22'!B224</f>
        <v>1600</v>
      </c>
      <c r="D71" s="860" t="str">
        <f>'Expenditures 15-22'!A224</f>
        <v>Summer School Programs</v>
      </c>
      <c r="E71" s="841"/>
      <c r="F71" s="1866">
        <f>'Expenditures 15-22'!K224</f>
        <v>15630</v>
      </c>
      <c r="G71" s="838"/>
    </row>
    <row r="72" spans="1:8" x14ac:dyDescent="0.2">
      <c r="A72" s="842" t="s">
        <v>461</v>
      </c>
      <c r="B72" s="842" t="s">
        <v>1870</v>
      </c>
      <c r="C72" s="859">
        <f>'Expenditures 15-22'!B280</f>
        <v>3000</v>
      </c>
      <c r="D72" s="849" t="s">
        <v>448</v>
      </c>
      <c r="E72" s="841"/>
      <c r="F72" s="1866">
        <f>'Expenditures 15-22'!K280</f>
        <v>50</v>
      </c>
      <c r="G72" s="838"/>
    </row>
    <row r="73" spans="1:8" x14ac:dyDescent="0.2">
      <c r="A73" s="842" t="s">
        <v>461</v>
      </c>
      <c r="B73" s="842" t="s">
        <v>1871</v>
      </c>
      <c r="C73" s="859" t="str">
        <f>'Expenditures 15-22'!B285</f>
        <v>4000</v>
      </c>
      <c r="D73" s="860" t="str">
        <f>'Expenditures 15-22'!A285</f>
        <v>Total Payments to Other Govt Units</v>
      </c>
      <c r="E73" s="841"/>
      <c r="F73" s="1866">
        <f>'Expenditures 15-22'!K285</f>
        <v>0</v>
      </c>
      <c r="G73" s="838"/>
    </row>
    <row r="74" spans="1:8" x14ac:dyDescent="0.2">
      <c r="A74" s="842" t="s">
        <v>435</v>
      </c>
      <c r="B74" s="842" t="s">
        <v>1872</v>
      </c>
      <c r="C74" s="859" t="s">
        <v>859</v>
      </c>
      <c r="D74" s="860" t="s">
        <v>1474</v>
      </c>
      <c r="E74" s="841"/>
      <c r="F74" s="1870">
        <f>'Expenditures 15-22'!K334</f>
        <v>0</v>
      </c>
      <c r="G74" s="838"/>
    </row>
    <row r="75" spans="1:8" ht="5.25" customHeight="1" x14ac:dyDescent="0.2">
      <c r="A75" s="838"/>
      <c r="B75" s="848"/>
      <c r="C75" s="848"/>
      <c r="D75" s="838"/>
      <c r="E75" s="841"/>
      <c r="F75" s="855"/>
      <c r="G75" s="840"/>
    </row>
    <row r="76" spans="1:8" ht="12" thickBot="1" x14ac:dyDescent="0.25">
      <c r="A76" s="1723"/>
      <c r="B76" s="1729"/>
      <c r="C76" s="1725"/>
      <c r="D76" s="1730" t="s">
        <v>1873</v>
      </c>
      <c r="E76" s="1727" t="s">
        <v>957</v>
      </c>
      <c r="F76" s="1731">
        <f>SUM(F18:F74)</f>
        <v>6506384</v>
      </c>
      <c r="G76" s="838"/>
    </row>
    <row r="77" spans="1:8" s="866" customFormat="1" ht="12" customHeight="1" thickTop="1" thickBot="1" x14ac:dyDescent="0.25">
      <c r="A77" s="1732"/>
      <c r="B77" s="1729"/>
      <c r="C77" s="1725"/>
      <c r="D77" s="1730" t="s">
        <v>1874</v>
      </c>
      <c r="E77" s="1727"/>
      <c r="F77" s="1733">
        <f>(F14-F76)</f>
        <v>52588569</v>
      </c>
      <c r="G77" s="842"/>
    </row>
    <row r="78" spans="1:8" s="866" customFormat="1" ht="12" customHeight="1" thickTop="1" x14ac:dyDescent="0.2">
      <c r="A78" s="1734"/>
      <c r="B78" s="1729"/>
      <c r="C78" s="1725"/>
      <c r="D78" s="1730" t="s">
        <v>2036</v>
      </c>
      <c r="E78" s="1727"/>
      <c r="F78" s="871">
        <v>3810.4</v>
      </c>
      <c r="G78" s="872"/>
      <c r="H78" s="842"/>
    </row>
    <row r="79" spans="1:8" s="866" customFormat="1" ht="12" customHeight="1" thickBot="1" x14ac:dyDescent="0.25">
      <c r="A79" s="1735"/>
      <c r="B79" s="1729"/>
      <c r="C79" s="1725"/>
      <c r="D79" s="1730" t="s">
        <v>1875</v>
      </c>
      <c r="E79" s="1727" t="s">
        <v>957</v>
      </c>
      <c r="F79" s="1736">
        <f>IF(F78&gt;0,F77/F78," Complete Line 78")</f>
        <v>13801.32505773672</v>
      </c>
      <c r="G79" s="842"/>
    </row>
    <row r="80" spans="1:8" s="866" customFormat="1" ht="8.25" customHeight="1" thickTop="1" x14ac:dyDescent="0.2">
      <c r="A80" s="873"/>
      <c r="B80" s="842"/>
      <c r="C80" s="844"/>
      <c r="D80" s="874"/>
      <c r="E80" s="841"/>
      <c r="F80" s="875"/>
      <c r="G80" s="842"/>
    </row>
    <row r="81" spans="1:7" s="866" customFormat="1" ht="12" thickBot="1" x14ac:dyDescent="0.25">
      <c r="A81" s="2373" t="s">
        <v>1104</v>
      </c>
      <c r="B81" s="2374"/>
      <c r="C81" s="2374"/>
      <c r="D81" s="2374"/>
      <c r="E81" s="2374"/>
      <c r="F81" s="2375"/>
      <c r="G81" s="842"/>
    </row>
    <row r="82" spans="1:7" s="866" customFormat="1" ht="5.25" customHeight="1" thickTop="1" x14ac:dyDescent="0.2">
      <c r="A82" s="842"/>
      <c r="B82" s="842"/>
      <c r="C82" s="844"/>
      <c r="D82" s="842"/>
      <c r="E82" s="844"/>
      <c r="F82" s="842"/>
      <c r="G82" s="876"/>
    </row>
    <row r="83" spans="1:7" ht="12" customHeight="1" x14ac:dyDescent="0.2">
      <c r="A83" s="877" t="s">
        <v>812</v>
      </c>
      <c r="B83" s="878"/>
      <c r="C83" s="879"/>
      <c r="D83" s="880"/>
      <c r="E83" s="879"/>
      <c r="F83" s="878"/>
      <c r="G83" s="878"/>
    </row>
    <row r="84" spans="1:7" x14ac:dyDescent="0.2">
      <c r="A84" s="881" t="s">
        <v>460</v>
      </c>
      <c r="B84" s="882" t="s">
        <v>146</v>
      </c>
      <c r="C84" s="883">
        <f>'Revenues 9-14'!B42</f>
        <v>1411</v>
      </c>
      <c r="D84" s="884" t="str">
        <f>'Revenues 9-14'!A42</f>
        <v>Regular -Transp Fees from Pupils or Parents (In State)</v>
      </c>
      <c r="E84" s="879" t="s">
        <v>957</v>
      </c>
      <c r="F84" s="1860">
        <f>'Revenues 9-14'!F42</f>
        <v>22486</v>
      </c>
      <c r="G84" s="885"/>
    </row>
    <row r="85" spans="1:7" x14ac:dyDescent="0.2">
      <c r="A85" s="881" t="s">
        <v>460</v>
      </c>
      <c r="B85" s="881" t="s">
        <v>183</v>
      </c>
      <c r="C85" s="886">
        <f>'Revenues 9-14'!B44</f>
        <v>1413</v>
      </c>
      <c r="D85" s="884" t="str">
        <f>'Revenues 9-14'!A44</f>
        <v>Regular - Transp Fees from Other Sources (In State)</v>
      </c>
      <c r="E85" s="879"/>
      <c r="F85" s="1742">
        <f>'Revenues 9-14'!F44</f>
        <v>0</v>
      </c>
      <c r="G85" s="887"/>
    </row>
    <row r="86" spans="1:7" x14ac:dyDescent="0.2">
      <c r="A86" s="881" t="s">
        <v>460</v>
      </c>
      <c r="B86" s="881" t="s">
        <v>166</v>
      </c>
      <c r="C86" s="883">
        <f>'Revenues 9-14'!B45</f>
        <v>1415</v>
      </c>
      <c r="D86" s="884" t="str">
        <f>'Revenues 9-14'!A45</f>
        <v>Regular - Transp Fees from Co-curricular Activities (In State)</v>
      </c>
      <c r="E86" s="879"/>
      <c r="F86" s="1742">
        <f>'Revenues 9-14'!F45</f>
        <v>0</v>
      </c>
      <c r="G86" s="887"/>
    </row>
    <row r="87" spans="1:7" x14ac:dyDescent="0.2">
      <c r="A87" s="881" t="s">
        <v>460</v>
      </c>
      <c r="B87" s="881" t="s">
        <v>167</v>
      </c>
      <c r="C87" s="883">
        <v>1416</v>
      </c>
      <c r="D87" s="884" t="str">
        <f>'Revenues 9-14'!A46</f>
        <v>Regular Transp Fees from Other Sources (Out of State)</v>
      </c>
      <c r="E87" s="879"/>
      <c r="F87" s="1742">
        <f>'Revenues 9-14'!F46</f>
        <v>0</v>
      </c>
      <c r="G87" s="887"/>
    </row>
    <row r="88" spans="1:7" x14ac:dyDescent="0.2">
      <c r="A88" s="881" t="s">
        <v>460</v>
      </c>
      <c r="B88" s="881" t="s">
        <v>168</v>
      </c>
      <c r="C88" s="883">
        <f>'Revenues 9-14'!B51</f>
        <v>1431</v>
      </c>
      <c r="D88" s="884" t="str">
        <f>'Revenues 9-14'!A51</f>
        <v>CTE - Transp Fees from Pupils or Parents (In State)</v>
      </c>
      <c r="E88" s="879"/>
      <c r="F88" s="1742">
        <f>'Revenues 9-14'!F51</f>
        <v>0</v>
      </c>
      <c r="G88" s="887"/>
    </row>
    <row r="89" spans="1:7" x14ac:dyDescent="0.2">
      <c r="A89" s="881" t="s">
        <v>460</v>
      </c>
      <c r="B89" s="881" t="s">
        <v>169</v>
      </c>
      <c r="C89" s="883">
        <f>'Revenues 9-14'!B53</f>
        <v>1433</v>
      </c>
      <c r="D89" s="884" t="str">
        <f>'Revenues 9-14'!A53</f>
        <v>CTE - Transp Fees from Other Sources (In State)</v>
      </c>
      <c r="E89" s="879"/>
      <c r="F89" s="1742">
        <f>'Revenues 9-14'!F53</f>
        <v>0</v>
      </c>
      <c r="G89" s="887"/>
    </row>
    <row r="90" spans="1:7" x14ac:dyDescent="0.2">
      <c r="A90" s="881" t="s">
        <v>460</v>
      </c>
      <c r="B90" s="881" t="s">
        <v>170</v>
      </c>
      <c r="C90" s="883">
        <f>'Revenues 9-14'!B54</f>
        <v>1434</v>
      </c>
      <c r="D90" s="884" t="str">
        <f>'Revenues 9-14'!A54</f>
        <v>CTE - Transp Fees from Other Sources (Out of State)</v>
      </c>
      <c r="E90" s="879"/>
      <c r="F90" s="1742">
        <f>'Revenues 9-14'!F54</f>
        <v>0</v>
      </c>
      <c r="G90" s="887"/>
    </row>
    <row r="91" spans="1:7" x14ac:dyDescent="0.2">
      <c r="A91" s="881" t="s">
        <v>460</v>
      </c>
      <c r="B91" s="881" t="s">
        <v>171</v>
      </c>
      <c r="C91" s="888">
        <f>'Revenues 9-14'!B55</f>
        <v>1441</v>
      </c>
      <c r="D91" s="884" t="str">
        <f>'Revenues 9-14'!A55</f>
        <v>Special Ed - Transp Fees from Pupils or Parents (In State)</v>
      </c>
      <c r="E91" s="879"/>
      <c r="F91" s="1742">
        <f>'Revenues 9-14'!F55</f>
        <v>0</v>
      </c>
      <c r="G91" s="887"/>
    </row>
    <row r="92" spans="1:7" x14ac:dyDescent="0.2">
      <c r="A92" s="881" t="s">
        <v>460</v>
      </c>
      <c r="B92" s="881" t="s">
        <v>172</v>
      </c>
      <c r="C92" s="883">
        <f>'Revenues 9-14'!B57</f>
        <v>1443</v>
      </c>
      <c r="D92" s="884" t="str">
        <f>'Revenues 9-14'!A57</f>
        <v>Special Ed - Transp Fees from Other Sources (In State)</v>
      </c>
      <c r="E92" s="879"/>
      <c r="F92" s="1742">
        <f>'Revenues 9-14'!F57</f>
        <v>0</v>
      </c>
      <c r="G92" s="889"/>
    </row>
    <row r="93" spans="1:7" x14ac:dyDescent="0.2">
      <c r="A93" s="881" t="s">
        <v>460</v>
      </c>
      <c r="B93" s="881" t="s">
        <v>173</v>
      </c>
      <c r="C93" s="883">
        <f>'Revenues 9-14'!B58</f>
        <v>1444</v>
      </c>
      <c r="D93" s="884" t="str">
        <f>'Revenues 9-14'!A58</f>
        <v>Special Ed - Transp Fees from Other Sources (Out of State)</v>
      </c>
      <c r="E93" s="879"/>
      <c r="F93" s="1742">
        <f>'Revenues 9-14'!F58</f>
        <v>0</v>
      </c>
      <c r="G93" s="889"/>
    </row>
    <row r="94" spans="1:7" x14ac:dyDescent="0.2">
      <c r="A94" s="881" t="s">
        <v>458</v>
      </c>
      <c r="B94" s="881" t="s">
        <v>174</v>
      </c>
      <c r="C94" s="883">
        <v>1600</v>
      </c>
      <c r="D94" s="890" t="str">
        <f>'Revenues 9-14'!A75</f>
        <v>Total Food Service</v>
      </c>
      <c r="E94" s="879"/>
      <c r="F94" s="1742">
        <f>'Revenues 9-14'!C75</f>
        <v>414641</v>
      </c>
      <c r="G94" s="885"/>
    </row>
    <row r="95" spans="1:7" x14ac:dyDescent="0.2">
      <c r="A95" s="881" t="s">
        <v>140</v>
      </c>
      <c r="B95" s="881" t="s">
        <v>175</v>
      </c>
      <c r="C95" s="883">
        <v>1700</v>
      </c>
      <c r="D95" s="891" t="str">
        <f>'Revenues 9-14'!A82</f>
        <v>Total District/School Activity Income</v>
      </c>
      <c r="E95" s="879"/>
      <c r="F95" s="1742">
        <f>SUM('Revenues 9-14'!C82,'Revenues 9-14'!D82)</f>
        <v>307711</v>
      </c>
      <c r="G95" s="885"/>
    </row>
    <row r="96" spans="1:7" x14ac:dyDescent="0.2">
      <c r="A96" s="881" t="s">
        <v>458</v>
      </c>
      <c r="B96" s="881" t="s">
        <v>176</v>
      </c>
      <c r="C96" s="883">
        <f>'Revenues 9-14'!B84</f>
        <v>1811</v>
      </c>
      <c r="D96" s="884" t="str">
        <f>'Revenues 9-14'!A84</f>
        <v>Rentals - Regular Textbooks</v>
      </c>
      <c r="E96" s="879"/>
      <c r="F96" s="1742">
        <f>'Revenues 9-14'!C84</f>
        <v>441656</v>
      </c>
      <c r="G96" s="885"/>
    </row>
    <row r="97" spans="1:7" x14ac:dyDescent="0.2">
      <c r="A97" s="881" t="s">
        <v>458</v>
      </c>
      <c r="B97" s="881" t="s">
        <v>177</v>
      </c>
      <c r="C97" s="883">
        <f>'Revenues 9-14'!B87</f>
        <v>1819</v>
      </c>
      <c r="D97" s="884" t="str">
        <f>'Revenues 9-14'!A87</f>
        <v>Rentals - Other (Describe &amp; Itemize)</v>
      </c>
      <c r="E97" s="879"/>
      <c r="F97" s="1742">
        <f>'Revenues 9-14'!C87</f>
        <v>0</v>
      </c>
      <c r="G97" s="885"/>
    </row>
    <row r="98" spans="1:7" x14ac:dyDescent="0.2">
      <c r="A98" s="881" t="s">
        <v>458</v>
      </c>
      <c r="B98" s="881" t="s">
        <v>178</v>
      </c>
      <c r="C98" s="883">
        <f>'Revenues 9-14'!B88</f>
        <v>1821</v>
      </c>
      <c r="D98" s="884" t="str">
        <f>'Revenues 9-14'!A88</f>
        <v>Sales - Regular Textbooks</v>
      </c>
      <c r="E98" s="879"/>
      <c r="F98" s="1742">
        <f>'Revenues 9-14'!C88</f>
        <v>0</v>
      </c>
      <c r="G98" s="885"/>
    </row>
    <row r="99" spans="1:7" x14ac:dyDescent="0.2">
      <c r="A99" s="881" t="s">
        <v>458</v>
      </c>
      <c r="B99" s="881" t="s">
        <v>179</v>
      </c>
      <c r="C99" s="883">
        <f>'Revenues 9-14'!B91</f>
        <v>1829</v>
      </c>
      <c r="D99" s="884" t="str">
        <f>'Revenues 9-14'!A91</f>
        <v>Sales - Other (Describe &amp; Itemize)</v>
      </c>
      <c r="E99" s="879"/>
      <c r="F99" s="1742">
        <f>'Revenues 9-14'!C91</f>
        <v>0</v>
      </c>
      <c r="G99" s="885"/>
    </row>
    <row r="100" spans="1:7" x14ac:dyDescent="0.2">
      <c r="A100" s="881" t="s">
        <v>458</v>
      </c>
      <c r="B100" s="881" t="s">
        <v>180</v>
      </c>
      <c r="C100" s="883">
        <f>'Revenues 9-14'!B92</f>
        <v>1890</v>
      </c>
      <c r="D100" s="884" t="str">
        <f>'Revenues 9-14'!A92</f>
        <v>Other (Describe &amp; Itemize)</v>
      </c>
      <c r="E100" s="879"/>
      <c r="F100" s="1742">
        <f>'Revenues 9-14'!C92</f>
        <v>0</v>
      </c>
      <c r="G100" s="885"/>
    </row>
    <row r="101" spans="1:7" x14ac:dyDescent="0.2">
      <c r="A101" s="881" t="s">
        <v>140</v>
      </c>
      <c r="B101" s="881" t="s">
        <v>181</v>
      </c>
      <c r="C101" s="883">
        <f>'Revenues 9-14'!B95</f>
        <v>1910</v>
      </c>
      <c r="D101" s="884" t="str">
        <f>'Revenues 9-14'!A95</f>
        <v>Rentals</v>
      </c>
      <c r="E101" s="879"/>
      <c r="F101" s="1742">
        <f>SUM('Revenues 9-14'!C95:D95)</f>
        <v>24906</v>
      </c>
      <c r="G101" s="885"/>
    </row>
    <row r="102" spans="1:7" x14ac:dyDescent="0.2">
      <c r="A102" s="881" t="s">
        <v>502</v>
      </c>
      <c r="B102" s="881" t="s">
        <v>182</v>
      </c>
      <c r="C102" s="883">
        <f>'Revenues 9-14'!B98</f>
        <v>1940</v>
      </c>
      <c r="D102" s="884" t="str">
        <f>'Revenues 9-14'!A98</f>
        <v>Services Provided Other Districts</v>
      </c>
      <c r="E102" s="879"/>
      <c r="F102" s="1742">
        <f>SUM('Revenues 9-14'!C98,'Revenues 9-14'!D98,'Revenues 9-14'!F98)</f>
        <v>0</v>
      </c>
      <c r="G102" s="885"/>
    </row>
    <row r="103" spans="1:7" x14ac:dyDescent="0.2">
      <c r="A103" s="881" t="s">
        <v>1008</v>
      </c>
      <c r="B103" s="881" t="s">
        <v>800</v>
      </c>
      <c r="C103" s="883">
        <f>'Revenues 9-14'!B104</f>
        <v>1991</v>
      </c>
      <c r="D103" s="892" t="str">
        <f>'Revenues 9-14'!A104</f>
        <v>Payment from Other Districts</v>
      </c>
      <c r="E103" s="879"/>
      <c r="F103" s="1742">
        <f>SUM('Revenues 9-14'!C104,'Revenues 9-14'!D104,'Revenues 9-14'!E104,'Revenues 9-14'!F104,'Revenues 9-14'!G104)</f>
        <v>0</v>
      </c>
      <c r="G103" s="885"/>
    </row>
    <row r="104" spans="1:7" x14ac:dyDescent="0.2">
      <c r="A104" s="881" t="s">
        <v>458</v>
      </c>
      <c r="B104" s="881" t="s">
        <v>807</v>
      </c>
      <c r="C104" s="883">
        <f>'Revenues 9-14'!B106</f>
        <v>1993</v>
      </c>
      <c r="D104" s="884" t="str">
        <f>'Revenues 9-14'!A106</f>
        <v>Other Local Fees (Describe &amp; Itemize)</v>
      </c>
      <c r="E104" s="879"/>
      <c r="F104" s="1742">
        <f>('Revenues 9-14'!C106)</f>
        <v>0</v>
      </c>
      <c r="G104" s="885"/>
    </row>
    <row r="105" spans="1:7" x14ac:dyDescent="0.2">
      <c r="A105" s="881" t="s">
        <v>502</v>
      </c>
      <c r="B105" s="881" t="s">
        <v>1977</v>
      </c>
      <c r="C105" s="886">
        <v>3100</v>
      </c>
      <c r="D105" s="892" t="str">
        <f>'Revenues 9-14'!A132</f>
        <v>Total Special Education</v>
      </c>
      <c r="E105" s="879"/>
      <c r="F105" s="1742">
        <f>SUM('Revenues 9-14'!C132:D132,'Revenues 9-14'!F132)</f>
        <v>439051</v>
      </c>
      <c r="G105" s="885"/>
    </row>
    <row r="106" spans="1:7" x14ac:dyDescent="0.2">
      <c r="A106" s="881" t="s">
        <v>672</v>
      </c>
      <c r="B106" s="881" t="s">
        <v>1978</v>
      </c>
      <c r="C106" s="893">
        <v>3200</v>
      </c>
      <c r="D106" s="884" t="str">
        <f>'Revenues 9-14'!A141</f>
        <v>Total Career and Technical Education</v>
      </c>
      <c r="E106" s="879"/>
      <c r="F106" s="1742">
        <f>SUM('Revenues 9-14'!C141,'Revenues 9-14'!D141,'Revenues 9-14'!G141)</f>
        <v>0</v>
      </c>
      <c r="G106" s="885"/>
    </row>
    <row r="107" spans="1:7" x14ac:dyDescent="0.2">
      <c r="A107" s="894" t="s">
        <v>663</v>
      </c>
      <c r="B107" s="881" t="s">
        <v>1979</v>
      </c>
      <c r="C107" s="893">
        <v>3300</v>
      </c>
      <c r="D107" s="884" t="str">
        <f>'Revenues 9-14'!A145</f>
        <v>Total Bilingual Ed</v>
      </c>
      <c r="E107" s="879"/>
      <c r="F107" s="1742">
        <f>SUM('Revenues 9-14'!C145,'Revenues 9-14'!G145)</f>
        <v>0</v>
      </c>
      <c r="G107" s="885"/>
    </row>
    <row r="108" spans="1:7" x14ac:dyDescent="0.2">
      <c r="A108" s="881" t="s">
        <v>458</v>
      </c>
      <c r="B108" s="881" t="s">
        <v>1980</v>
      </c>
      <c r="C108" s="893">
        <f>'Revenues 9-14'!B146</f>
        <v>3360</v>
      </c>
      <c r="D108" s="884" t="str">
        <f>'Revenues 9-14'!A146</f>
        <v>State Free Lunch &amp; Breakfast</v>
      </c>
      <c r="E108" s="879"/>
      <c r="F108" s="1742">
        <f>'Revenues 9-14'!C146</f>
        <v>9009</v>
      </c>
      <c r="G108" s="885"/>
    </row>
    <row r="109" spans="1:7" x14ac:dyDescent="0.2">
      <c r="A109" s="881" t="s">
        <v>672</v>
      </c>
      <c r="B109" s="881" t="s">
        <v>1981</v>
      </c>
      <c r="C109" s="893">
        <f>'Revenues 9-14'!B147</f>
        <v>3365</v>
      </c>
      <c r="D109" s="884" t="str">
        <f>'Revenues 9-14'!A147</f>
        <v>School Breakfast Initiative</v>
      </c>
      <c r="E109" s="879"/>
      <c r="F109" s="1742">
        <f>SUM('Revenues 9-14'!C147,'Revenues 9-14'!D147,'Revenues 9-14'!G147)</f>
        <v>0</v>
      </c>
      <c r="G109" s="885"/>
    </row>
    <row r="110" spans="1:7" x14ac:dyDescent="0.2">
      <c r="A110" s="881" t="s">
        <v>140</v>
      </c>
      <c r="B110" s="881" t="s">
        <v>1982</v>
      </c>
      <c r="C110" s="893">
        <f>'Revenues 9-14'!B148</f>
        <v>3370</v>
      </c>
      <c r="D110" s="884" t="str">
        <f>'Revenues 9-14'!A148</f>
        <v>Driver Education</v>
      </c>
      <c r="E110" s="879"/>
      <c r="F110" s="1742">
        <f>SUM('Revenues 9-14'!C148,'Revenues 9-14'!D148)</f>
        <v>0</v>
      </c>
      <c r="G110" s="885"/>
    </row>
    <row r="111" spans="1:7" x14ac:dyDescent="0.2">
      <c r="A111" s="881" t="s">
        <v>667</v>
      </c>
      <c r="B111" s="881" t="s">
        <v>1983</v>
      </c>
      <c r="C111" s="895">
        <v>3500</v>
      </c>
      <c r="D111" s="884" t="str">
        <f>'Revenues 9-14'!A155</f>
        <v>Total Transportation</v>
      </c>
      <c r="E111" s="879"/>
      <c r="F111" s="1742">
        <f>SUM('Revenues 9-14'!C155,'Revenues 9-14'!D155,'Revenues 9-14'!F155,'Revenues 9-14'!G155)</f>
        <v>1424118</v>
      </c>
      <c r="G111" s="885"/>
    </row>
    <row r="112" spans="1:7" x14ac:dyDescent="0.2">
      <c r="A112" s="881" t="s">
        <v>458</v>
      </c>
      <c r="B112" s="881" t="s">
        <v>1984</v>
      </c>
      <c r="C112" s="893">
        <f>'Revenues 9-14'!B156</f>
        <v>3610</v>
      </c>
      <c r="D112" s="884" t="str">
        <f>'Revenues 9-14'!A156</f>
        <v>Learning Improvement - Change Grants</v>
      </c>
      <c r="E112" s="879"/>
      <c r="F112" s="1742">
        <f>'Revenues 9-14'!C156</f>
        <v>0</v>
      </c>
      <c r="G112" s="885"/>
    </row>
    <row r="113" spans="1:7" x14ac:dyDescent="0.2">
      <c r="A113" s="881" t="s">
        <v>667</v>
      </c>
      <c r="B113" s="881" t="s">
        <v>1985</v>
      </c>
      <c r="C113" s="893">
        <f>'Revenues 9-14'!B157</f>
        <v>3660</v>
      </c>
      <c r="D113" s="884" t="str">
        <f>'Revenues 9-14'!A157</f>
        <v>Scientific Literacy</v>
      </c>
      <c r="E113" s="879"/>
      <c r="F113" s="1742">
        <f>SUM('Revenues 9-14'!C157,'Revenues 9-14'!D157,'Revenues 9-14'!F157,'Revenues 9-14'!G157)</f>
        <v>0</v>
      </c>
      <c r="G113" s="885"/>
    </row>
    <row r="114" spans="1:7" x14ac:dyDescent="0.2">
      <c r="A114" s="881" t="s">
        <v>5</v>
      </c>
      <c r="B114" s="881" t="s">
        <v>1986</v>
      </c>
      <c r="C114" s="893">
        <f>'Revenues 9-14'!B158</f>
        <v>3695</v>
      </c>
      <c r="D114" s="884" t="str">
        <f>'Revenues 9-14'!A158</f>
        <v>Truant Alternative/Optional Education</v>
      </c>
      <c r="E114" s="879"/>
      <c r="F114" s="1742">
        <f>SUM('Revenues 9-14'!C158,'Revenues 9-14'!F158,'Revenues 9-14'!G158)</f>
        <v>0</v>
      </c>
      <c r="G114" s="885"/>
    </row>
    <row r="115" spans="1:7" x14ac:dyDescent="0.2">
      <c r="A115" s="881" t="s">
        <v>667</v>
      </c>
      <c r="B115" s="881" t="s">
        <v>1987</v>
      </c>
      <c r="C115" s="893">
        <f>'Revenues 9-14'!B160</f>
        <v>3766</v>
      </c>
      <c r="D115" s="884" t="str">
        <f>'Revenues 9-14'!A160</f>
        <v>Chicago General Education Block Grant</v>
      </c>
      <c r="E115" s="879"/>
      <c r="F115" s="1742">
        <f>SUM('Revenues 9-14'!C160,'Revenues 9-14'!D160,'Revenues 9-14'!F160,'Revenues 9-14'!G160)</f>
        <v>0</v>
      </c>
      <c r="G115" s="885"/>
    </row>
    <row r="116" spans="1:7" x14ac:dyDescent="0.2">
      <c r="A116" s="881" t="s">
        <v>667</v>
      </c>
      <c r="B116" s="881" t="s">
        <v>1988</v>
      </c>
      <c r="C116" s="893">
        <f>'Revenues 9-14'!B161</f>
        <v>3767</v>
      </c>
      <c r="D116" s="884" t="str">
        <f>'Revenues 9-14'!A161</f>
        <v>Chicago Educational Services Block Grant</v>
      </c>
      <c r="E116" s="879"/>
      <c r="F116" s="1742">
        <f>SUM('Revenues 9-14'!C161,'Revenues 9-14'!D161,'Revenues 9-14'!F161,'Revenues 9-14'!G161)</f>
        <v>0</v>
      </c>
      <c r="G116" s="885"/>
    </row>
    <row r="117" spans="1:7" x14ac:dyDescent="0.2">
      <c r="A117" s="896" t="s">
        <v>1008</v>
      </c>
      <c r="B117" s="896" t="s">
        <v>1989</v>
      </c>
      <c r="C117" s="897">
        <f>'Revenues 9-14'!B162</f>
        <v>3775</v>
      </c>
      <c r="D117" s="898" t="str">
        <f>'Revenues 9-14'!A162</f>
        <v>School Safety &amp; Educational Improvement Block Grant</v>
      </c>
      <c r="E117" s="879"/>
      <c r="F117" s="1860">
        <f>SUM('Revenues 9-14'!C162,'Revenues 9-14'!D162,'Revenues 9-14'!E162,'Revenues 9-14'!F162,'Revenues 9-14'!G162)</f>
        <v>0</v>
      </c>
      <c r="G117" s="885"/>
    </row>
    <row r="118" spans="1:7" x14ac:dyDescent="0.2">
      <c r="A118" s="896" t="s">
        <v>1008</v>
      </c>
      <c r="B118" s="896" t="s">
        <v>1990</v>
      </c>
      <c r="C118" s="897">
        <f>'Revenues 9-14'!B163</f>
        <v>3780</v>
      </c>
      <c r="D118" s="898" t="str">
        <f>'Revenues 9-14'!A163</f>
        <v>Technology - Technology for Success</v>
      </c>
      <c r="E118" s="879"/>
      <c r="F118" s="1860">
        <f>SUM('Revenues 9-14'!C163:G163)</f>
        <v>0</v>
      </c>
      <c r="G118" s="885"/>
    </row>
    <row r="119" spans="1:7" x14ac:dyDescent="0.2">
      <c r="A119" s="896" t="s">
        <v>503</v>
      </c>
      <c r="B119" s="896" t="s">
        <v>1991</v>
      </c>
      <c r="C119" s="897">
        <f>'Revenues 9-14'!B164</f>
        <v>3815</v>
      </c>
      <c r="D119" s="898" t="str">
        <f>'Revenues 9-14'!A164</f>
        <v>State Charter Schools</v>
      </c>
      <c r="E119" s="879"/>
      <c r="F119" s="1860">
        <f>SUM('Revenues 9-14'!C164,'Revenues 9-14'!F164)</f>
        <v>0</v>
      </c>
      <c r="G119" s="885"/>
    </row>
    <row r="120" spans="1:7" x14ac:dyDescent="0.2">
      <c r="A120" s="900" t="s">
        <v>459</v>
      </c>
      <c r="B120" s="900" t="s">
        <v>1992</v>
      </c>
      <c r="C120" s="901">
        <f>'Revenues 9-14'!B167</f>
        <v>3925</v>
      </c>
      <c r="D120" s="902" t="str">
        <f>'Revenues 9-14'!A167</f>
        <v>School Infrastructure - Maintenance Projects</v>
      </c>
      <c r="E120" s="879"/>
      <c r="F120" s="1742">
        <f>'Revenues 9-14'!D167</f>
        <v>0</v>
      </c>
      <c r="G120" s="903"/>
    </row>
    <row r="121" spans="1:7" x14ac:dyDescent="0.2">
      <c r="A121" s="900" t="s">
        <v>499</v>
      </c>
      <c r="B121" s="900" t="s">
        <v>1993</v>
      </c>
      <c r="C121" s="901">
        <f>'Revenues 9-14'!B168</f>
        <v>3999</v>
      </c>
      <c r="D121" s="902" t="s">
        <v>542</v>
      </c>
      <c r="E121" s="904"/>
      <c r="F121" s="1742">
        <f>SUM('Revenues 9-14'!C168:G168,'Revenues 9-14'!J168)</f>
        <v>6076</v>
      </c>
      <c r="G121" s="903"/>
    </row>
    <row r="122" spans="1:7" x14ac:dyDescent="0.2">
      <c r="A122" s="900" t="s">
        <v>458</v>
      </c>
      <c r="B122" s="900" t="s">
        <v>1994</v>
      </c>
      <c r="C122" s="905">
        <f>'Revenues 9-14'!B177</f>
        <v>4045</v>
      </c>
      <c r="D122" s="902" t="str">
        <f>'Revenues 9-14'!A177 &amp; " (Subtract)"</f>
        <v>Head Start (Subtract)</v>
      </c>
      <c r="E122" s="879"/>
      <c r="F122" s="1742">
        <f>SUM(-'Revenues 9-14'!C177)</f>
        <v>0</v>
      </c>
      <c r="G122" s="903"/>
    </row>
    <row r="123" spans="1:7" x14ac:dyDescent="0.2">
      <c r="A123" s="900" t="s">
        <v>667</v>
      </c>
      <c r="B123" s="900" t="s">
        <v>1995</v>
      </c>
      <c r="C123" s="905" t="s">
        <v>981</v>
      </c>
      <c r="D123" s="902" t="str">
        <f>('Revenues 9-14'!A181)</f>
        <v>Total Restricted Grants-In-Aid Received Directly from Federal Govt</v>
      </c>
      <c r="E123" s="879"/>
      <c r="F123" s="1742">
        <f>SUM('Revenues 9-14'!C181,'Revenues 9-14'!D181,'Revenues 9-14'!F181,'Revenues 9-14'!G181)</f>
        <v>0</v>
      </c>
      <c r="G123" s="903"/>
    </row>
    <row r="124" spans="1:7" x14ac:dyDescent="0.2">
      <c r="A124" s="900" t="s">
        <v>667</v>
      </c>
      <c r="B124" s="900" t="s">
        <v>1996</v>
      </c>
      <c r="C124" s="905">
        <v>4100</v>
      </c>
      <c r="D124" s="906" t="str">
        <f>'Revenues 9-14'!A188</f>
        <v>Total Title V</v>
      </c>
      <c r="E124" s="879"/>
      <c r="F124" s="1742">
        <f>SUM('Revenues 9-14'!C188,'Revenues 9-14'!D188,'Revenues 9-14'!F188,'Revenues 9-14'!G188)</f>
        <v>0</v>
      </c>
      <c r="G124" s="903"/>
    </row>
    <row r="125" spans="1:7" x14ac:dyDescent="0.2">
      <c r="A125" s="900" t="s">
        <v>663</v>
      </c>
      <c r="B125" s="900" t="s">
        <v>1997</v>
      </c>
      <c r="C125" s="905">
        <v>4200</v>
      </c>
      <c r="D125" s="902" t="str">
        <f>'Revenues 9-14'!A198</f>
        <v>Total Food Service</v>
      </c>
      <c r="E125" s="879"/>
      <c r="F125" s="1742">
        <f>SUM('Revenues 9-14'!C198,'Revenues 9-14'!G198)</f>
        <v>535277</v>
      </c>
      <c r="G125" s="903"/>
    </row>
    <row r="126" spans="1:7" x14ac:dyDescent="0.2">
      <c r="A126" s="900" t="s">
        <v>667</v>
      </c>
      <c r="B126" s="900" t="s">
        <v>1998</v>
      </c>
      <c r="C126" s="905">
        <v>4300</v>
      </c>
      <c r="D126" s="906" t="str">
        <f>'Revenues 9-14'!A204</f>
        <v>Total Title I</v>
      </c>
      <c r="E126" s="879"/>
      <c r="F126" s="1742">
        <f>SUM('Revenues 9-14'!C204,'Revenues 9-14'!D204,'Revenues 9-14'!F204,'Revenues 9-14'!G204)</f>
        <v>298564</v>
      </c>
      <c r="G126" s="903"/>
    </row>
    <row r="127" spans="1:7" x14ac:dyDescent="0.2">
      <c r="A127" s="900" t="s">
        <v>667</v>
      </c>
      <c r="B127" s="900" t="s">
        <v>1999</v>
      </c>
      <c r="C127" s="905">
        <v>4400</v>
      </c>
      <c r="D127" s="906" t="str">
        <f>'Revenues 9-14'!A209</f>
        <v>Total Title IV</v>
      </c>
      <c r="E127" s="879"/>
      <c r="F127" s="1742">
        <f>SUM('Revenues 9-14'!C209,'Revenues 9-14'!D209,'Revenues 9-14'!F209,'Revenues 9-14'!G209)</f>
        <v>12050</v>
      </c>
      <c r="G127" s="903"/>
    </row>
    <row r="128" spans="1:7" x14ac:dyDescent="0.2">
      <c r="A128" s="900" t="s">
        <v>667</v>
      </c>
      <c r="B128" s="900" t="s">
        <v>2000</v>
      </c>
      <c r="C128" s="905">
        <f>'Revenues 9-14'!B213</f>
        <v>4620</v>
      </c>
      <c r="D128" s="906" t="str">
        <f>'Revenues 9-14'!A213</f>
        <v>Fed - Spec Education - IDEA - Flow Through</v>
      </c>
      <c r="E128" s="879"/>
      <c r="F128" s="1742">
        <f>SUM('Revenues 9-14'!C213:D213,'Revenues 9-14'!F213:G213)</f>
        <v>10685</v>
      </c>
      <c r="G128" s="903"/>
    </row>
    <row r="129" spans="1:7" x14ac:dyDescent="0.2">
      <c r="A129" s="900" t="s">
        <v>667</v>
      </c>
      <c r="B129" s="900" t="s">
        <v>2001</v>
      </c>
      <c r="C129" s="905">
        <f>'Revenues 9-14'!B214</f>
        <v>4625</v>
      </c>
      <c r="D129" s="906" t="str">
        <f>'Revenues 9-14'!A214</f>
        <v>Fed - Spec Education - IDEA - Room &amp; Board</v>
      </c>
      <c r="E129" s="879"/>
      <c r="F129" s="1742">
        <f>SUM('Revenues 9-14'!C214,'Revenues 9-14'!D214,'Revenues 9-14'!F214,'Revenues 9-14'!G214)</f>
        <v>130868</v>
      </c>
      <c r="G129" s="903"/>
    </row>
    <row r="130" spans="1:7" x14ac:dyDescent="0.2">
      <c r="A130" s="900" t="s">
        <v>667</v>
      </c>
      <c r="B130" s="900" t="s">
        <v>2002</v>
      </c>
      <c r="C130" s="905">
        <f>'Revenues 9-14'!B215</f>
        <v>4630</v>
      </c>
      <c r="D130" s="906" t="str">
        <f>'Revenues 9-14'!A215</f>
        <v>Fed - Spec Education - IDEA - Discretionary</v>
      </c>
      <c r="E130" s="879"/>
      <c r="F130" s="1742">
        <f>SUM('Revenues 9-14'!C215:D215,'Revenues 9-14'!F215:G215)</f>
        <v>0</v>
      </c>
      <c r="G130" s="903">
        <v>6297</v>
      </c>
    </row>
    <row r="131" spans="1:7" x14ac:dyDescent="0.2">
      <c r="A131" s="900" t="s">
        <v>667</v>
      </c>
      <c r="B131" s="900" t="s">
        <v>775</v>
      </c>
      <c r="C131" s="905">
        <f>'Revenues 9-14'!B216</f>
        <v>4699</v>
      </c>
      <c r="D131" s="906" t="str">
        <f>'Revenues 9-14'!A216</f>
        <v>Fed - Spec Education - IDEA - Other (Describe &amp; Itemize)</v>
      </c>
      <c r="E131" s="879"/>
      <c r="F131" s="1742">
        <f>SUM('Revenues 9-14'!C216:D216,'Revenues 9-14'!F216:G216)</f>
        <v>0</v>
      </c>
      <c r="G131" s="903"/>
    </row>
    <row r="132" spans="1:7" x14ac:dyDescent="0.2">
      <c r="A132" s="900" t="s">
        <v>672</v>
      </c>
      <c r="B132" s="900" t="s">
        <v>2003</v>
      </c>
      <c r="C132" s="905">
        <v>4700</v>
      </c>
      <c r="D132" s="902" t="str">
        <f>'Revenues 9-14'!A221</f>
        <v>Total CTE - Perkins</v>
      </c>
      <c r="E132" s="879"/>
      <c r="F132" s="1742">
        <f>SUM('Revenues 9-14'!C221,'Revenues 9-14'!D221,'Revenues 9-14'!G221)</f>
        <v>0</v>
      </c>
      <c r="G132" s="903">
        <v>6303</v>
      </c>
    </row>
    <row r="133" spans="1:7" s="840" customFormat="1" hidden="1" x14ac:dyDescent="0.2">
      <c r="A133" s="907" t="s">
        <v>206</v>
      </c>
      <c r="B133" s="907" t="s">
        <v>2004</v>
      </c>
      <c r="C133" s="908" t="s">
        <v>207</v>
      </c>
      <c r="D133" s="909" t="str">
        <f>'Revenues 9-14'!A224</f>
        <v>ARRA - Title I - Low Income</v>
      </c>
      <c r="E133" s="910"/>
      <c r="F133" s="1860">
        <f>SUM('Revenues 9-14'!$C$224:$D$224,'Revenues 9-14'!$F$224:$G$224)</f>
        <v>0</v>
      </c>
      <c r="G133" s="878"/>
    </row>
    <row r="134" spans="1:7" s="840" customFormat="1" hidden="1" x14ac:dyDescent="0.2">
      <c r="A134" s="907" t="s">
        <v>206</v>
      </c>
      <c r="B134" s="907" t="s">
        <v>2005</v>
      </c>
      <c r="C134" s="908" t="s">
        <v>208</v>
      </c>
      <c r="D134" s="909" t="str">
        <f>'Revenues 9-14'!A225</f>
        <v>ARRA - Title I - Neglected, Private</v>
      </c>
      <c r="E134" s="910"/>
      <c r="F134" s="1742">
        <f>SUM('Revenues 9-14'!C225:G225,'Revenues 9-14'!J225)</f>
        <v>0</v>
      </c>
      <c r="G134" s="878"/>
    </row>
    <row r="135" spans="1:7" s="840" customFormat="1" hidden="1" x14ac:dyDescent="0.2">
      <c r="A135" s="907" t="s">
        <v>206</v>
      </c>
      <c r="B135" s="907" t="s">
        <v>2006</v>
      </c>
      <c r="C135" s="908" t="s">
        <v>209</v>
      </c>
      <c r="D135" s="909" t="str">
        <f>'Revenues 9-14'!A226</f>
        <v>ARRA - Title I - Delinquent, Private</v>
      </c>
      <c r="E135" s="910"/>
      <c r="F135" s="1742">
        <f>SUM('Revenues 9-14'!C226:G226,'Revenues 9-14'!J226)</f>
        <v>0</v>
      </c>
      <c r="G135" s="878"/>
    </row>
    <row r="136" spans="1:7" s="840" customFormat="1" hidden="1" x14ac:dyDescent="0.2">
      <c r="A136" s="907" t="s">
        <v>206</v>
      </c>
      <c r="B136" s="907" t="s">
        <v>2007</v>
      </c>
      <c r="C136" s="908" t="s">
        <v>210</v>
      </c>
      <c r="D136" s="909" t="str">
        <f>'Revenues 9-14'!A227</f>
        <v>ARRA - Title I - School Improvement (Part A)</v>
      </c>
      <c r="E136" s="910"/>
      <c r="F136" s="1742">
        <f>SUM('Revenues 9-14'!C227:G227,'Revenues 9-14'!J227)</f>
        <v>0</v>
      </c>
      <c r="G136" s="878"/>
    </row>
    <row r="137" spans="1:7" s="840" customFormat="1" hidden="1" x14ac:dyDescent="0.2">
      <c r="A137" s="907" t="s">
        <v>206</v>
      </c>
      <c r="B137" s="907" t="s">
        <v>2008</v>
      </c>
      <c r="C137" s="908" t="s">
        <v>211</v>
      </c>
      <c r="D137" s="909" t="str">
        <f>'Revenues 9-14'!A228</f>
        <v>ARRA - Title I - School Improvement (Section 1003g)</v>
      </c>
      <c r="E137" s="910"/>
      <c r="F137" s="1742">
        <f>SUM('Revenues 9-14'!C228:G228,'Revenues 9-14'!J228)</f>
        <v>0</v>
      </c>
      <c r="G137" s="878"/>
    </row>
    <row r="138" spans="1:7" s="840" customFormat="1" hidden="1" x14ac:dyDescent="0.2">
      <c r="A138" s="907" t="s">
        <v>206</v>
      </c>
      <c r="B138" s="907" t="s">
        <v>2009</v>
      </c>
      <c r="C138" s="908" t="s">
        <v>212</v>
      </c>
      <c r="D138" s="909" t="str">
        <f>'Revenues 9-14'!A229</f>
        <v>ARRA - IDEA - Part B - Preschool</v>
      </c>
      <c r="E138" s="910"/>
      <c r="F138" s="1742">
        <v>0</v>
      </c>
      <c r="G138" s="878"/>
    </row>
    <row r="139" spans="1:7" s="840" customFormat="1" hidden="1" x14ac:dyDescent="0.2">
      <c r="A139" s="907" t="s">
        <v>206</v>
      </c>
      <c r="B139" s="907" t="s">
        <v>2010</v>
      </c>
      <c r="C139" s="908" t="s">
        <v>213</v>
      </c>
      <c r="D139" s="909" t="str">
        <f>'Revenues 9-14'!A230</f>
        <v>ARRA - IDEA - Part B - Flow-Through</v>
      </c>
      <c r="E139" s="910"/>
      <c r="F139" s="1742">
        <f>SUM('Revenues 9-14'!C230:G230,'Revenues 9-14'!J230)</f>
        <v>0</v>
      </c>
      <c r="G139" s="878"/>
    </row>
    <row r="140" spans="1:7" s="840" customFormat="1" hidden="1" x14ac:dyDescent="0.2">
      <c r="A140" s="907" t="s">
        <v>206</v>
      </c>
      <c r="B140" s="907" t="s">
        <v>2011</v>
      </c>
      <c r="C140" s="908" t="s">
        <v>214</v>
      </c>
      <c r="D140" s="909" t="str">
        <f>'Revenues 9-14'!A231</f>
        <v>ARRA - Title IID - Technology-Formula</v>
      </c>
      <c r="E140" s="910"/>
      <c r="F140" s="1742">
        <f>SUM('Revenues 9-14'!C231:G231,'Revenues 9-14'!J231)</f>
        <v>0</v>
      </c>
      <c r="G140" s="878"/>
    </row>
    <row r="141" spans="1:7" s="840" customFormat="1" hidden="1" x14ac:dyDescent="0.2">
      <c r="A141" s="907" t="s">
        <v>206</v>
      </c>
      <c r="B141" s="907" t="s">
        <v>2012</v>
      </c>
      <c r="C141" s="908" t="s">
        <v>216</v>
      </c>
      <c r="D141" s="909" t="str">
        <f>'Revenues 9-14'!A232</f>
        <v>ARRA - Title IID - Technology-Competitive</v>
      </c>
      <c r="E141" s="910"/>
      <c r="F141" s="1742">
        <f>SUM('Revenues 9-14'!C232:G232,'Revenues 9-14'!J232)</f>
        <v>0</v>
      </c>
      <c r="G141" s="878"/>
    </row>
    <row r="142" spans="1:7" s="840" customFormat="1" hidden="1" x14ac:dyDescent="0.2">
      <c r="A142" s="907" t="s">
        <v>667</v>
      </c>
      <c r="B142" s="907" t="s">
        <v>2013</v>
      </c>
      <c r="C142" s="908" t="s">
        <v>217</v>
      </c>
      <c r="D142" s="909" t="str">
        <f>'Revenues 9-14'!A233</f>
        <v>ARRA - McKinney - Vento Homeless Education</v>
      </c>
      <c r="E142" s="910"/>
      <c r="F142" s="1742">
        <f>SUM('Revenues 9-14'!C233:G233,'Revenues 9-14'!J233)</f>
        <v>0</v>
      </c>
      <c r="G142" s="878"/>
    </row>
    <row r="143" spans="1:7" s="840" customFormat="1" hidden="1" x14ac:dyDescent="0.2">
      <c r="A143" s="907" t="s">
        <v>206</v>
      </c>
      <c r="B143" s="907" t="s">
        <v>215</v>
      </c>
      <c r="C143" s="908" t="s">
        <v>218</v>
      </c>
      <c r="D143" s="909" t="str">
        <f>'Revenues 9-14'!A237</f>
        <v>Qualified Zone Academy Bond Tax Credits</v>
      </c>
      <c r="E143" s="910"/>
      <c r="F143" s="1742">
        <f>SUM('Revenues 9-14'!C237:G237,'Revenues 9-14'!J237)</f>
        <v>0</v>
      </c>
      <c r="G143" s="878"/>
    </row>
    <row r="144" spans="1:7" s="840" customFormat="1" hidden="1" x14ac:dyDescent="0.2">
      <c r="A144" s="907" t="s">
        <v>206</v>
      </c>
      <c r="B144" s="907" t="s">
        <v>808</v>
      </c>
      <c r="C144" s="908" t="s">
        <v>219</v>
      </c>
      <c r="D144" s="909" t="str">
        <f>'Revenues 9-14'!A238</f>
        <v>Qualified School Construction Bond Credits</v>
      </c>
      <c r="E144" s="910"/>
      <c r="F144" s="1742">
        <f>SUM('Revenues 9-14'!C238:G238,'Revenues 9-14'!J238)</f>
        <v>0</v>
      </c>
      <c r="G144" s="878"/>
    </row>
    <row r="145" spans="1:7" s="840" customFormat="1" hidden="1" x14ac:dyDescent="0.2">
      <c r="A145" s="907" t="s">
        <v>206</v>
      </c>
      <c r="B145" s="907" t="s">
        <v>1403</v>
      </c>
      <c r="C145" s="908" t="s">
        <v>221</v>
      </c>
      <c r="D145" s="909" t="str">
        <f>'Revenues 9-14'!A239</f>
        <v>Build America Bond Tax Credits</v>
      </c>
      <c r="E145" s="910"/>
      <c r="F145" s="1742">
        <f>SUM('Revenues 9-14'!C239:G239,'Revenues 9-14'!J239)</f>
        <v>0</v>
      </c>
      <c r="G145" s="878"/>
    </row>
    <row r="146" spans="1:7" s="840" customFormat="1" hidden="1" x14ac:dyDescent="0.2">
      <c r="A146" s="907" t="s">
        <v>206</v>
      </c>
      <c r="B146" s="907" t="s">
        <v>2014</v>
      </c>
      <c r="C146" s="908" t="s">
        <v>223</v>
      </c>
      <c r="D146" s="909" t="str">
        <f>'Revenues 9-14'!A240</f>
        <v>Build America Bond Interest Reimbursement</v>
      </c>
      <c r="E146" s="910"/>
      <c r="F146" s="1742">
        <f>SUM('Revenues 9-14'!C240:G240,'Revenues 9-14'!J240)</f>
        <v>0</v>
      </c>
      <c r="G146" s="878"/>
    </row>
    <row r="147" spans="1:7" s="840" customFormat="1" hidden="1" x14ac:dyDescent="0.2">
      <c r="A147" s="907" t="s">
        <v>206</v>
      </c>
      <c r="B147" s="907" t="s">
        <v>2015</v>
      </c>
      <c r="C147" s="908" t="s">
        <v>225</v>
      </c>
      <c r="D147" s="909" t="str">
        <f>'Revenues 9-14'!A242</f>
        <v>Other ARRA Funds - II</v>
      </c>
      <c r="E147" s="910"/>
      <c r="F147" s="1742">
        <f>SUM('Revenues 9-14'!C242:G242,'Revenues 9-14'!J242)</f>
        <v>0</v>
      </c>
      <c r="G147" s="878"/>
    </row>
    <row r="148" spans="1:7" s="840" customFormat="1" hidden="1" x14ac:dyDescent="0.2">
      <c r="A148" s="907" t="s">
        <v>206</v>
      </c>
      <c r="B148" s="907" t="s">
        <v>2016</v>
      </c>
      <c r="C148" s="908" t="s">
        <v>226</v>
      </c>
      <c r="D148" s="909" t="str">
        <f>'Revenues 9-14'!A243</f>
        <v>Other ARRA Funds - III</v>
      </c>
      <c r="E148" s="910"/>
      <c r="F148" s="1742">
        <f>SUM('Revenues 9-14'!C243:G243,'Revenues 9-14'!J243)</f>
        <v>0</v>
      </c>
      <c r="G148" s="878"/>
    </row>
    <row r="149" spans="1:7" s="840" customFormat="1" hidden="1" x14ac:dyDescent="0.2">
      <c r="A149" s="907" t="s">
        <v>206</v>
      </c>
      <c r="B149" s="907" t="s">
        <v>220</v>
      </c>
      <c r="C149" s="908" t="s">
        <v>228</v>
      </c>
      <c r="D149" s="909" t="str">
        <f>'Revenues 9-14'!A244</f>
        <v>Other ARRA Funds - IV</v>
      </c>
      <c r="E149" s="910"/>
      <c r="F149" s="1742">
        <f>SUM('Revenues 9-14'!C244:G244,'Revenues 9-14'!J244)</f>
        <v>0</v>
      </c>
      <c r="G149" s="878"/>
    </row>
    <row r="150" spans="1:7" s="840" customFormat="1" hidden="1" x14ac:dyDescent="0.2">
      <c r="A150" s="907" t="s">
        <v>206</v>
      </c>
      <c r="B150" s="907" t="s">
        <v>222</v>
      </c>
      <c r="C150" s="908" t="s">
        <v>230</v>
      </c>
      <c r="D150" s="909" t="str">
        <f>'Revenues 9-14'!A245</f>
        <v>Other ARRA Funds - V</v>
      </c>
      <c r="E150" s="910"/>
      <c r="F150" s="1742">
        <f>SUM('Revenues 9-14'!C245:G245,'Revenues 9-14'!J245)</f>
        <v>0</v>
      </c>
      <c r="G150" s="878"/>
    </row>
    <row r="151" spans="1:7" s="840" customFormat="1" hidden="1" x14ac:dyDescent="0.2">
      <c r="A151" s="907" t="s">
        <v>206</v>
      </c>
      <c r="B151" s="907" t="s">
        <v>224</v>
      </c>
      <c r="C151" s="908" t="s">
        <v>232</v>
      </c>
      <c r="D151" s="909" t="str">
        <f>'Revenues 9-14'!A246</f>
        <v>ARRA - Early Childhood</v>
      </c>
      <c r="E151" s="910"/>
      <c r="F151" s="1742">
        <v>0</v>
      </c>
      <c r="G151" s="878"/>
    </row>
    <row r="152" spans="1:7" s="840" customFormat="1" hidden="1" x14ac:dyDescent="0.2">
      <c r="A152" s="907" t="s">
        <v>206</v>
      </c>
      <c r="B152" s="907" t="s">
        <v>1404</v>
      </c>
      <c r="C152" s="908" t="s">
        <v>233</v>
      </c>
      <c r="D152" s="909" t="str">
        <f>'Revenues 9-14'!A247</f>
        <v>Other ARRA Funds VII</v>
      </c>
      <c r="E152" s="910"/>
      <c r="F152" s="1742">
        <f>SUM('Revenues 9-14'!C247:G247,'Revenues 9-14'!J247)</f>
        <v>0</v>
      </c>
      <c r="G152" s="878"/>
    </row>
    <row r="153" spans="1:7" s="840" customFormat="1" hidden="1" x14ac:dyDescent="0.2">
      <c r="A153" s="907" t="s">
        <v>206</v>
      </c>
      <c r="B153" s="907" t="s">
        <v>2017</v>
      </c>
      <c r="C153" s="908" t="s">
        <v>234</v>
      </c>
      <c r="D153" s="909" t="str">
        <f>'Revenues 9-14'!A248</f>
        <v>Other ARRA Funds VIII</v>
      </c>
      <c r="E153" s="910"/>
      <c r="F153" s="1742">
        <f>SUM('Revenues 9-14'!C248:G248,'Revenues 9-14'!J248)</f>
        <v>0</v>
      </c>
      <c r="G153" s="878"/>
    </row>
    <row r="154" spans="1:7" s="840" customFormat="1" hidden="1" x14ac:dyDescent="0.2">
      <c r="A154" s="907" t="s">
        <v>206</v>
      </c>
      <c r="B154" s="907" t="s">
        <v>227</v>
      </c>
      <c r="C154" s="908" t="s">
        <v>235</v>
      </c>
      <c r="D154" s="909" t="str">
        <f>'Revenues 9-14'!A249</f>
        <v>Other ARRA Funds IX</v>
      </c>
      <c r="E154" s="910"/>
      <c r="F154" s="1742">
        <f>SUM('Revenues 9-14'!C249:G249,'Revenues 9-14'!J249)</f>
        <v>0</v>
      </c>
      <c r="G154" s="878"/>
    </row>
    <row r="155" spans="1:7" s="840" customFormat="1" hidden="1" x14ac:dyDescent="0.2">
      <c r="A155" s="907" t="s">
        <v>206</v>
      </c>
      <c r="B155" s="907" t="s">
        <v>229</v>
      </c>
      <c r="C155" s="908" t="s">
        <v>236</v>
      </c>
      <c r="D155" s="909" t="str">
        <f>'Revenues 9-14'!A250</f>
        <v>Other ARRA Funds X</v>
      </c>
      <c r="E155" s="910"/>
      <c r="F155" s="1742">
        <f>SUM('Revenues 9-14'!C250:G250,'Revenues 9-14'!J250)</f>
        <v>0</v>
      </c>
      <c r="G155" s="878"/>
    </row>
    <row r="156" spans="1:7" s="840" customFormat="1" hidden="1" x14ac:dyDescent="0.2">
      <c r="A156" s="907" t="s">
        <v>206</v>
      </c>
      <c r="B156" s="907" t="s">
        <v>231</v>
      </c>
      <c r="C156" s="908" t="s">
        <v>237</v>
      </c>
      <c r="D156" s="909" t="str">
        <f>'Revenues 9-14'!A251</f>
        <v>Other ARRA Funds Ed Job Fund Program</v>
      </c>
      <c r="E156" s="910"/>
      <c r="F156" s="1742">
        <f>SUM('Revenues 9-14'!C251:G251,'Revenues 9-14'!J251)</f>
        <v>0</v>
      </c>
      <c r="G156" s="878"/>
    </row>
    <row r="157" spans="1:7" s="840" customFormat="1" x14ac:dyDescent="0.2">
      <c r="A157" s="911" t="s">
        <v>499</v>
      </c>
      <c r="B157" s="912" t="s">
        <v>2018</v>
      </c>
      <c r="C157" s="913" t="s">
        <v>840</v>
      </c>
      <c r="D157" s="914" t="s">
        <v>776</v>
      </c>
      <c r="E157" s="915"/>
      <c r="F157" s="1742">
        <f>SUM(F133:F156)</f>
        <v>0</v>
      </c>
      <c r="G157" s="878"/>
    </row>
    <row r="158" spans="1:7" s="840" customFormat="1" x14ac:dyDescent="0.2">
      <c r="A158" s="911" t="s">
        <v>458</v>
      </c>
      <c r="B158" s="912" t="s">
        <v>2019</v>
      </c>
      <c r="C158" s="913" t="s">
        <v>1414</v>
      </c>
      <c r="D158" s="914" t="s">
        <v>1415</v>
      </c>
      <c r="E158" s="915"/>
      <c r="F158" s="1742">
        <f>SUM('Revenues 9-14'!C253)</f>
        <v>0</v>
      </c>
      <c r="G158" s="878"/>
    </row>
    <row r="159" spans="1:7" s="840" customFormat="1" x14ac:dyDescent="0.2">
      <c r="A159" s="911" t="s">
        <v>499</v>
      </c>
      <c r="B159" s="912" t="s">
        <v>2020</v>
      </c>
      <c r="C159" s="913" t="s">
        <v>1453</v>
      </c>
      <c r="D159" s="914" t="s">
        <v>1454</v>
      </c>
      <c r="E159" s="915"/>
      <c r="F159" s="1742">
        <f>SUM('Revenues 9-14'!C254:H254,'Revenues 9-14'!J254:K254)</f>
        <v>0</v>
      </c>
      <c r="G159" s="878"/>
    </row>
    <row r="160" spans="1:7" x14ac:dyDescent="0.2">
      <c r="A160" s="900" t="s">
        <v>5</v>
      </c>
      <c r="B160" s="900" t="s">
        <v>2021</v>
      </c>
      <c r="C160" s="905">
        <f>'Revenues 9-14'!B255</f>
        <v>4905</v>
      </c>
      <c r="D160" s="902" t="str">
        <f>'Revenues 9-14'!A255</f>
        <v>Title III - Immigrant Education Program (IEP)</v>
      </c>
      <c r="E160" s="879"/>
      <c r="F160" s="1742">
        <f>SUM('Revenues 9-14'!C255,'Revenues 9-14'!F255,'Revenues 9-14'!G255)</f>
        <v>27745</v>
      </c>
      <c r="G160" s="916">
        <v>6306</v>
      </c>
    </row>
    <row r="161" spans="1:7" x14ac:dyDescent="0.2">
      <c r="A161" s="900" t="s">
        <v>5</v>
      </c>
      <c r="B161" s="900" t="s">
        <v>2022</v>
      </c>
      <c r="C161" s="905">
        <f>'Revenues 9-14'!B256</f>
        <v>4909</v>
      </c>
      <c r="D161" s="902" t="str">
        <f>'Revenues 9-14'!A256</f>
        <v>Title III - Language Inst Program - Limited Eng (LIPLEP)</v>
      </c>
      <c r="E161" s="879"/>
      <c r="F161" s="1742">
        <f>SUM('Revenues 9-14'!C256,'Revenues 9-14'!F256,'Revenues 9-14'!G256)</f>
        <v>62316</v>
      </c>
      <c r="G161" s="916"/>
    </row>
    <row r="162" spans="1:7" x14ac:dyDescent="0.2">
      <c r="A162" s="900" t="s">
        <v>667</v>
      </c>
      <c r="B162" s="900" t="s">
        <v>2023</v>
      </c>
      <c r="C162" s="905">
        <f>'Revenues 9-14'!B257</f>
        <v>4920</v>
      </c>
      <c r="D162" s="902" t="str">
        <f>'Revenues 9-14'!A257</f>
        <v>McKinney Education for Homeless Children</v>
      </c>
      <c r="E162" s="879"/>
      <c r="F162" s="1742">
        <f>SUM('Revenues 9-14'!C257,'Revenues 9-14'!D257,'Revenues 9-14'!F257,'Revenues 9-14'!G257)</f>
        <v>0</v>
      </c>
      <c r="G162" s="903"/>
    </row>
    <row r="163" spans="1:7" x14ac:dyDescent="0.2">
      <c r="A163" s="917" t="s">
        <v>667</v>
      </c>
      <c r="B163" s="917" t="s">
        <v>2024</v>
      </c>
      <c r="C163" s="918">
        <f>'Revenues 9-14'!B258</f>
        <v>4930</v>
      </c>
      <c r="D163" s="919" t="str">
        <f>'Revenues 9-14'!A258</f>
        <v>Title II - Eisenhower Professional Development Formula</v>
      </c>
      <c r="E163" s="899"/>
      <c r="F163" s="1860">
        <f>SUM('Revenues 9-14'!C258:D258,'Revenues 9-14'!F258,'Revenues 9-14'!G258)</f>
        <v>0</v>
      </c>
      <c r="G163" s="903"/>
    </row>
    <row r="164" spans="1:7" x14ac:dyDescent="0.2">
      <c r="A164" s="900" t="s">
        <v>667</v>
      </c>
      <c r="B164" s="900" t="s">
        <v>2025</v>
      </c>
      <c r="C164" s="905">
        <f>'Revenues 9-14'!B259</f>
        <v>4932</v>
      </c>
      <c r="D164" s="906" t="str">
        <f>'Revenues 9-14'!A259</f>
        <v>Title II - Teacher Quality</v>
      </c>
      <c r="E164" s="879"/>
      <c r="F164" s="1860">
        <f>SUM('Revenues 9-14'!C259,'Revenues 9-14'!D259,'Revenues 9-14'!F259,'Revenues 9-14'!G259)</f>
        <v>54280</v>
      </c>
      <c r="G164" s="903"/>
    </row>
    <row r="165" spans="1:7" x14ac:dyDescent="0.2">
      <c r="A165" s="900" t="s">
        <v>667</v>
      </c>
      <c r="B165" s="900" t="s">
        <v>2026</v>
      </c>
      <c r="C165" s="905">
        <f>'Revenues 9-14'!B260</f>
        <v>4960</v>
      </c>
      <c r="D165" s="902" t="str">
        <f>'Revenues 9-14'!A260</f>
        <v>Federal Charter Schools</v>
      </c>
      <c r="E165" s="879"/>
      <c r="F165" s="1742">
        <f>SUM('Revenues 9-14'!C260:D260,'Revenues 9-14'!F260:G260)</f>
        <v>0</v>
      </c>
      <c r="G165" s="903"/>
    </row>
    <row r="166" spans="1:7" x14ac:dyDescent="0.2">
      <c r="A166" s="900" t="s">
        <v>667</v>
      </c>
      <c r="B166" s="900" t="s">
        <v>1971</v>
      </c>
      <c r="C166" s="905">
        <f>'Revenues 9-14'!B261</f>
        <v>4981</v>
      </c>
      <c r="D166" s="902" t="str">
        <f>'Revenues 9-14'!A261</f>
        <v>State Assessment Grants</v>
      </c>
      <c r="E166" s="879"/>
      <c r="F166" s="1742">
        <f>SUM('Revenues 9-14'!C261:D261,'Revenues 9-14'!F261:G261)</f>
        <v>0</v>
      </c>
      <c r="G166" s="903"/>
    </row>
    <row r="167" spans="1:7" x14ac:dyDescent="0.2">
      <c r="A167" s="900" t="s">
        <v>667</v>
      </c>
      <c r="B167" s="900" t="s">
        <v>1972</v>
      </c>
      <c r="C167" s="905">
        <f>'Revenues 9-14'!B262</f>
        <v>4982</v>
      </c>
      <c r="D167" s="902" t="str">
        <f>'Revenues 9-14'!A262</f>
        <v>Grant for State Assessments and Related Activities</v>
      </c>
      <c r="E167" s="879"/>
      <c r="F167" s="1742">
        <f>SUM('Revenues 9-14'!C262:D262,'Revenues 9-14'!F262:G262)</f>
        <v>0</v>
      </c>
      <c r="G167" s="903"/>
    </row>
    <row r="168" spans="1:7" x14ac:dyDescent="0.2">
      <c r="A168" s="900" t="s">
        <v>667</v>
      </c>
      <c r="B168" s="900" t="s">
        <v>2027</v>
      </c>
      <c r="C168" s="905">
        <f>'Revenues 9-14'!B263</f>
        <v>4991</v>
      </c>
      <c r="D168" s="906" t="str">
        <f>'Revenues 9-14'!A263</f>
        <v>Medicaid Matching Funds - Administrative Outreach</v>
      </c>
      <c r="E168" s="879"/>
      <c r="F168" s="1742">
        <f>SUM('Revenues 9-14'!C263:D263,'Revenues 9-14'!F263:G263)</f>
        <v>92968</v>
      </c>
      <c r="G168" s="920">
        <v>6320</v>
      </c>
    </row>
    <row r="169" spans="1:7" x14ac:dyDescent="0.2">
      <c r="A169" s="900" t="s">
        <v>667</v>
      </c>
      <c r="B169" s="900" t="s">
        <v>2028</v>
      </c>
      <c r="C169" s="905">
        <f>'Revenues 9-14'!B264</f>
        <v>4992</v>
      </c>
      <c r="D169" s="906" t="str">
        <f>'Revenues 9-14'!A264</f>
        <v>Medicaid Matching Funds - Fee-for-Service Program</v>
      </c>
      <c r="E169" s="879"/>
      <c r="F169" s="1742">
        <f>SUM('Revenues 9-14'!C264:D264,'Revenues 9-14'!F264:G264)</f>
        <v>140130</v>
      </c>
      <c r="G169" s="920"/>
    </row>
    <row r="170" spans="1:7" x14ac:dyDescent="0.2">
      <c r="A170" s="921" t="s">
        <v>667</v>
      </c>
      <c r="B170" s="917" t="s">
        <v>2029</v>
      </c>
      <c r="C170" s="918">
        <f>'Revenues 9-14'!B265</f>
        <v>4999</v>
      </c>
      <c r="D170" s="919" t="str">
        <f>'Revenues 9-14'!A265</f>
        <v>Other Restricted Revenue from Federal Sources (Describe &amp; Itemize)</v>
      </c>
      <c r="E170" s="879"/>
      <c r="F170" s="1742">
        <f>SUM('Revenues 9-14'!C265:D265,'Revenues 9-14'!F265:G265)</f>
        <v>0</v>
      </c>
      <c r="G170" s="900"/>
    </row>
    <row r="171" spans="1:7" x14ac:dyDescent="0.2">
      <c r="A171" s="1871" t="s">
        <v>5</v>
      </c>
      <c r="B171" s="1872" t="s">
        <v>1894</v>
      </c>
      <c r="C171" s="1873">
        <v>3100</v>
      </c>
      <c r="D171" s="1874" t="s">
        <v>1896</v>
      </c>
      <c r="E171" s="879"/>
      <c r="F171" s="1859">
        <v>1414792</v>
      </c>
      <c r="G171" s="900"/>
    </row>
    <row r="172" spans="1:7" x14ac:dyDescent="0.2">
      <c r="A172" s="1871" t="s">
        <v>663</v>
      </c>
      <c r="B172" s="1872" t="s">
        <v>1894</v>
      </c>
      <c r="C172" s="1873">
        <v>3300</v>
      </c>
      <c r="D172" s="1874" t="s">
        <v>1897</v>
      </c>
      <c r="E172" s="879"/>
      <c r="F172" s="1859">
        <v>331028</v>
      </c>
      <c r="G172" s="900"/>
    </row>
    <row r="173" spans="1:7" ht="6" customHeight="1" x14ac:dyDescent="0.2">
      <c r="A173" s="900"/>
      <c r="B173" s="900"/>
      <c r="C173" s="922"/>
      <c r="D173" s="900"/>
      <c r="E173" s="879"/>
      <c r="F173" s="923"/>
      <c r="G173" s="920"/>
    </row>
    <row r="174" spans="1:7" x14ac:dyDescent="0.2">
      <c r="A174" s="1723"/>
      <c r="B174" s="1737"/>
      <c r="C174" s="1738"/>
      <c r="D174" s="1739" t="s">
        <v>2030</v>
      </c>
      <c r="E174" s="1740" t="s">
        <v>957</v>
      </c>
      <c r="F174" s="1741">
        <f>SUM(F84:F132,F157:F172)</f>
        <v>6200357</v>
      </c>
    </row>
    <row r="175" spans="1:7" ht="12" customHeight="1" x14ac:dyDescent="0.2">
      <c r="A175" s="1723"/>
      <c r="B175" s="1737"/>
      <c r="C175" s="1738"/>
      <c r="D175" s="1739" t="s">
        <v>2031</v>
      </c>
      <c r="E175" s="1740"/>
      <c r="F175" s="1742">
        <f>'PCTC-OEPP 27-28'!F77-F174</f>
        <v>46388212</v>
      </c>
    </row>
    <row r="176" spans="1:7" ht="12" customHeight="1" x14ac:dyDescent="0.2">
      <c r="A176" s="1723"/>
      <c r="B176" s="1737"/>
      <c r="C176" s="1738"/>
      <c r="D176" s="1739" t="s">
        <v>1791</v>
      </c>
      <c r="E176" s="1740"/>
      <c r="F176" s="1742">
        <f>'Cap Outlay Deprec 26'!I18</f>
        <v>2174201.7999999998</v>
      </c>
    </row>
    <row r="177" spans="1:7" ht="12" customHeight="1" x14ac:dyDescent="0.2">
      <c r="A177" s="1723"/>
      <c r="B177" s="1737"/>
      <c r="C177" s="1738"/>
      <c r="D177" s="1739" t="s">
        <v>2032</v>
      </c>
      <c r="E177" s="1740"/>
      <c r="F177" s="1742">
        <f>F175+F176</f>
        <v>48562413.799999997</v>
      </c>
    </row>
    <row r="178" spans="1:7" ht="12" customHeight="1" x14ac:dyDescent="0.2">
      <c r="A178" s="1723"/>
      <c r="B178" s="1743"/>
      <c r="C178" s="1738"/>
      <c r="D178" s="1739" t="str">
        <f>D78</f>
        <v>9 Month ADA from District Average Daily Attendance/Prior General State Aid Inquiry 2018-2019</v>
      </c>
      <c r="E178" s="1740"/>
      <c r="F178" s="1744">
        <f>'PCTC-OEPP 27-28'!F78</f>
        <v>3810.4</v>
      </c>
      <c r="G178" s="903"/>
    </row>
    <row r="179" spans="1:7" ht="12" customHeight="1" thickBot="1" x14ac:dyDescent="0.25">
      <c r="A179" s="1723"/>
      <c r="B179" s="1743"/>
      <c r="C179" s="1738"/>
      <c r="D179" s="1739" t="s">
        <v>2033</v>
      </c>
      <c r="E179" s="1740" t="s">
        <v>1532</v>
      </c>
      <c r="F179" s="1745">
        <f>F177/F178</f>
        <v>12744.702340961578</v>
      </c>
      <c r="G179" s="829">
        <v>6323</v>
      </c>
    </row>
    <row r="180" spans="1:7" ht="12" thickTop="1" x14ac:dyDescent="0.2">
      <c r="B180" s="903"/>
      <c r="C180" s="922"/>
      <c r="D180" s="903"/>
      <c r="E180" s="922"/>
      <c r="F180" s="903"/>
      <c r="G180" s="924">
        <v>6326</v>
      </c>
    </row>
    <row r="181" spans="1:7" ht="12.2" customHeight="1" x14ac:dyDescent="0.2">
      <c r="A181" s="903" t="s">
        <v>1895</v>
      </c>
      <c r="B181" s="903"/>
      <c r="C181" s="922"/>
      <c r="D181" s="903"/>
      <c r="E181" s="922"/>
      <c r="F181" s="903"/>
      <c r="G181" s="903"/>
    </row>
    <row r="182" spans="1:7" s="1875" customFormat="1" ht="12.2" customHeight="1" x14ac:dyDescent="0.2">
      <c r="A182" s="1875" t="s">
        <v>1968</v>
      </c>
      <c r="B182" s="1876"/>
      <c r="C182" s="1877"/>
      <c r="D182" s="1876"/>
      <c r="E182" s="1877"/>
      <c r="F182" s="1876"/>
      <c r="G182" s="1876"/>
    </row>
    <row r="183" spans="1:7" s="1875" customFormat="1" ht="12.2" customHeight="1" x14ac:dyDescent="0.2">
      <c r="A183" s="1878" t="s">
        <v>1970</v>
      </c>
      <c r="C183" s="1877"/>
      <c r="D183" s="1876"/>
      <c r="E183" s="1877"/>
      <c r="F183" s="1876"/>
      <c r="G183" s="1876"/>
    </row>
    <row r="184" spans="1:7" ht="12" customHeight="1" x14ac:dyDescent="0.2">
      <c r="C184" s="922"/>
      <c r="D184" s="903"/>
      <c r="E184" s="922"/>
      <c r="F184" s="903"/>
      <c r="G184" s="903"/>
    </row>
    <row r="185" spans="1:7" x14ac:dyDescent="0.2">
      <c r="A185" s="1879" t="s">
        <v>1899</v>
      </c>
      <c r="B185" s="1880" t="s">
        <v>1898</v>
      </c>
      <c r="C185" s="922"/>
      <c r="D185" s="903"/>
      <c r="E185" s="922"/>
      <c r="F185" s="903"/>
      <c r="G185" s="903"/>
    </row>
    <row r="186" spans="1:7" x14ac:dyDescent="0.2">
      <c r="A186" s="903"/>
      <c r="B186" s="903"/>
      <c r="C186" s="922"/>
      <c r="D186" s="903"/>
      <c r="E186" s="922"/>
      <c r="F186" s="903"/>
      <c r="G186" s="903"/>
    </row>
    <row r="187" spans="1:7" x14ac:dyDescent="0.2">
      <c r="A187" s="903"/>
      <c r="B187" s="903"/>
      <c r="C187" s="922"/>
      <c r="D187" s="903"/>
      <c r="E187" s="922"/>
      <c r="F187" s="903"/>
      <c r="G187" s="903"/>
    </row>
    <row r="188" spans="1:7" x14ac:dyDescent="0.2">
      <c r="A188" s="903"/>
      <c r="B188" s="903"/>
      <c r="C188" s="922"/>
      <c r="D188" s="903"/>
      <c r="E188" s="922"/>
      <c r="F188" s="903"/>
      <c r="G188" s="903"/>
    </row>
    <row r="189" spans="1:7" x14ac:dyDescent="0.2">
      <c r="A189" s="903"/>
      <c r="B189" s="903"/>
      <c r="C189" s="922"/>
      <c r="D189" s="903"/>
      <c r="E189" s="922"/>
      <c r="F189" s="903"/>
      <c r="G189" s="903"/>
    </row>
    <row r="190" spans="1:7" x14ac:dyDescent="0.2">
      <c r="A190" s="903"/>
      <c r="B190" s="903"/>
      <c r="C190" s="922"/>
      <c r="D190" s="903"/>
      <c r="E190" s="922"/>
      <c r="F190" s="903"/>
      <c r="G190" s="903"/>
    </row>
    <row r="191" spans="1:7" x14ac:dyDescent="0.2">
      <c r="A191" s="903"/>
      <c r="B191" s="903"/>
      <c r="C191" s="922"/>
      <c r="D191" s="903"/>
      <c r="E191" s="922"/>
      <c r="F191" s="903"/>
      <c r="G191" s="903"/>
    </row>
    <row r="192" spans="1:7" x14ac:dyDescent="0.2">
      <c r="A192" s="903"/>
      <c r="B192" s="903"/>
      <c r="C192" s="922"/>
      <c r="D192" s="903"/>
      <c r="E192" s="922"/>
      <c r="F192" s="903"/>
      <c r="G192" s="903"/>
    </row>
    <row r="193" spans="1:7" x14ac:dyDescent="0.2">
      <c r="A193" s="903"/>
      <c r="B193" s="903"/>
      <c r="C193" s="922"/>
      <c r="D193" s="903"/>
      <c r="E193" s="922"/>
      <c r="F193" s="903"/>
      <c r="G193" s="903"/>
    </row>
    <row r="194" spans="1:7" x14ac:dyDescent="0.2">
      <c r="A194" s="903"/>
      <c r="B194" s="903"/>
      <c r="C194" s="922"/>
      <c r="D194" s="903"/>
      <c r="E194" s="922"/>
      <c r="F194" s="903"/>
      <c r="G194" s="903"/>
    </row>
    <row r="195" spans="1:7" x14ac:dyDescent="0.2">
      <c r="A195" s="903"/>
      <c r="B195" s="903"/>
      <c r="C195" s="922"/>
      <c r="D195" s="903"/>
      <c r="E195" s="922"/>
      <c r="F195" s="903"/>
      <c r="G195" s="903"/>
    </row>
    <row r="196" spans="1:7" x14ac:dyDescent="0.2">
      <c r="A196" s="903"/>
      <c r="B196" s="903"/>
      <c r="C196" s="922"/>
      <c r="D196" s="903"/>
      <c r="E196" s="922"/>
      <c r="F196" s="903"/>
      <c r="G196" s="903"/>
    </row>
    <row r="197" spans="1:7" x14ac:dyDescent="0.2">
      <c r="A197" s="903"/>
      <c r="B197" s="903"/>
      <c r="C197" s="922"/>
      <c r="D197" s="903"/>
      <c r="E197" s="922"/>
      <c r="F197" s="903"/>
      <c r="G197" s="903"/>
    </row>
    <row r="198" spans="1:7" x14ac:dyDescent="0.2">
      <c r="A198" s="903"/>
      <c r="B198" s="903"/>
      <c r="C198" s="922"/>
      <c r="D198" s="903"/>
      <c r="E198" s="922"/>
      <c r="F198" s="903"/>
      <c r="G198" s="903"/>
    </row>
    <row r="199" spans="1:7" x14ac:dyDescent="0.2">
      <c r="A199" s="903"/>
      <c r="B199" s="903"/>
      <c r="C199" s="922"/>
      <c r="D199" s="903"/>
      <c r="E199" s="922"/>
      <c r="F199" s="903"/>
      <c r="G199" s="903"/>
    </row>
    <row r="200" spans="1:7" x14ac:dyDescent="0.2">
      <c r="A200" s="903"/>
      <c r="B200" s="903"/>
      <c r="C200" s="922"/>
      <c r="D200" s="903"/>
      <c r="E200" s="922"/>
      <c r="F200" s="903"/>
      <c r="G200" s="903"/>
    </row>
    <row r="201" spans="1:7" x14ac:dyDescent="0.2">
      <c r="A201" s="903"/>
      <c r="B201" s="903"/>
      <c r="C201" s="922"/>
      <c r="D201" s="903"/>
      <c r="E201" s="922"/>
      <c r="F201" s="903"/>
      <c r="G201" s="903"/>
    </row>
    <row r="202" spans="1:7" x14ac:dyDescent="0.2">
      <c r="A202" s="903"/>
      <c r="B202" s="903"/>
      <c r="C202" s="922"/>
      <c r="D202" s="903"/>
      <c r="E202" s="922"/>
      <c r="F202" s="903"/>
      <c r="G202" s="903"/>
    </row>
  </sheetData>
  <sheetProtection password="F60E" sheet="1" objects="1" scenarios="1"/>
  <mergeCells count="5">
    <mergeCell ref="A6:F6"/>
    <mergeCell ref="A1:F1"/>
    <mergeCell ref="A81:F81"/>
    <mergeCell ref="A2:F2"/>
    <mergeCell ref="A5:F5"/>
  </mergeCells>
  <phoneticPr fontId="19"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1"/>
  <sheetViews>
    <sheetView showGridLines="0" topLeftCell="A13" zoomScaleNormal="100" workbookViewId="0">
      <selection activeCell="B28" sqref="B28"/>
    </sheetView>
  </sheetViews>
  <sheetFormatPr defaultRowHeight="15" x14ac:dyDescent="0.25"/>
  <cols>
    <col min="1" max="1" width="52" style="1495" customWidth="1"/>
    <col min="2" max="2" width="16.42578125" style="1496" bestFit="1" customWidth="1"/>
    <col min="3" max="3" width="33.7109375" style="1496" customWidth="1"/>
    <col min="4" max="4" width="16.28515625" style="1497" customWidth="1"/>
    <col min="5" max="5" width="30" style="1497" hidden="1" customWidth="1"/>
    <col min="6" max="6" width="23.5703125" style="1497" customWidth="1"/>
    <col min="7" max="7" width="23.28515625" style="1496" customWidth="1"/>
    <col min="8" max="16384" width="9.140625" style="1486"/>
  </cols>
  <sheetData>
    <row r="1" spans="1:7" ht="15" customHeight="1" x14ac:dyDescent="0.25">
      <c r="A1" s="1612" t="s">
        <v>1806</v>
      </c>
      <c r="B1" s="1613"/>
      <c r="C1" s="1613"/>
      <c r="D1" s="1613"/>
      <c r="E1" s="1613"/>
      <c r="F1" s="1613"/>
      <c r="G1" s="1613"/>
    </row>
    <row r="2" spans="1:7" x14ac:dyDescent="0.25">
      <c r="A2" s="1610"/>
      <c r="B2" s="1610"/>
      <c r="C2" s="1611" t="s">
        <v>978</v>
      </c>
      <c r="D2" s="1610"/>
      <c r="E2" s="1610"/>
      <c r="F2" s="1610"/>
      <c r="G2" s="1610"/>
    </row>
    <row r="3" spans="1:7" ht="5.25" customHeight="1" x14ac:dyDescent="0.25">
      <c r="A3" s="1498"/>
      <c r="B3" s="1498"/>
      <c r="C3" s="1498"/>
      <c r="D3" s="1498"/>
      <c r="E3" s="1498"/>
      <c r="F3" s="1498"/>
      <c r="G3" s="1498"/>
    </row>
    <row r="4" spans="1:7" ht="18.75" customHeight="1" x14ac:dyDescent="0.25">
      <c r="A4" s="2387" t="s">
        <v>1792</v>
      </c>
      <c r="B4" s="2388"/>
      <c r="C4" s="2388"/>
      <c r="D4" s="2388"/>
      <c r="E4" s="2388"/>
      <c r="F4" s="2388"/>
      <c r="G4" s="2389"/>
    </row>
    <row r="5" spans="1:7" x14ac:dyDescent="0.25">
      <c r="A5" s="2390"/>
      <c r="B5" s="2391"/>
      <c r="C5" s="2391"/>
      <c r="D5" s="2391"/>
      <c r="E5" s="2391"/>
      <c r="F5" s="2391"/>
      <c r="G5" s="2392"/>
    </row>
    <row r="6" spans="1:7" ht="18.75" x14ac:dyDescent="0.25">
      <c r="A6" s="1487" t="s">
        <v>1793</v>
      </c>
      <c r="B6" s="1488"/>
      <c r="C6" s="1488"/>
      <c r="D6" s="1488"/>
      <c r="E6" s="1488"/>
      <c r="F6" s="1488"/>
      <c r="G6" s="1489"/>
    </row>
    <row r="7" spans="1:7" ht="30.75" customHeight="1" x14ac:dyDescent="0.25">
      <c r="A7" s="2393" t="s">
        <v>1906</v>
      </c>
      <c r="B7" s="2394"/>
      <c r="C7" s="2394"/>
      <c r="D7" s="2394"/>
      <c r="E7" s="2394"/>
      <c r="F7" s="2394"/>
      <c r="G7" s="2395"/>
    </row>
    <row r="8" spans="1:7" ht="15.75" customHeight="1" x14ac:dyDescent="0.25">
      <c r="A8" s="2396" t="s">
        <v>1881</v>
      </c>
      <c r="B8" s="2397"/>
      <c r="C8" s="2397"/>
      <c r="D8" s="2397"/>
      <c r="E8" s="2397"/>
      <c r="F8" s="2397"/>
      <c r="G8" s="2398"/>
    </row>
    <row r="9" spans="1:7" ht="35.25" customHeight="1" x14ac:dyDescent="0.25">
      <c r="A9" s="2393" t="s">
        <v>1909</v>
      </c>
      <c r="B9" s="2394"/>
      <c r="C9" s="2394"/>
      <c r="D9" s="2394"/>
      <c r="E9" s="2394"/>
      <c r="F9" s="2394"/>
      <c r="G9" s="2395"/>
    </row>
    <row r="10" spans="1:7" ht="15" customHeight="1" x14ac:dyDescent="0.25">
      <c r="A10" s="1490" t="s">
        <v>1794</v>
      </c>
      <c r="B10" s="1491"/>
      <c r="C10" s="1491"/>
      <c r="D10" s="1491"/>
      <c r="E10" s="1491"/>
      <c r="F10" s="1491"/>
      <c r="G10" s="1492"/>
    </row>
    <row r="11" spans="1:7" ht="17.25" customHeight="1" x14ac:dyDescent="0.25">
      <c r="A11" s="2393" t="s">
        <v>1908</v>
      </c>
      <c r="B11" s="2394"/>
      <c r="C11" s="2394"/>
      <c r="D11" s="2394"/>
      <c r="E11" s="2394"/>
      <c r="F11" s="2394"/>
      <c r="G11" s="2395"/>
    </row>
    <row r="12" spans="1:7" ht="15" customHeight="1" x14ac:dyDescent="0.25">
      <c r="A12" s="1490" t="s">
        <v>1799</v>
      </c>
      <c r="B12" s="1491"/>
      <c r="C12" s="1491"/>
      <c r="D12" s="1491"/>
      <c r="E12" s="1491"/>
      <c r="F12" s="1491"/>
      <c r="G12" s="1492"/>
    </row>
    <row r="13" spans="1:7" ht="32.25" customHeight="1" x14ac:dyDescent="0.25">
      <c r="A13" s="2384" t="s">
        <v>1950</v>
      </c>
      <c r="B13" s="2385"/>
      <c r="C13" s="2385"/>
      <c r="D13" s="2385"/>
      <c r="E13" s="2385"/>
      <c r="F13" s="2385"/>
      <c r="G13" s="2386"/>
    </row>
    <row r="14" spans="1:7" x14ac:dyDescent="0.25">
      <c r="A14" s="1614" t="s">
        <v>1807</v>
      </c>
      <c r="B14" s="1615"/>
      <c r="C14" s="1615"/>
      <c r="D14" s="1615"/>
      <c r="E14" s="1615"/>
      <c r="F14" s="1615"/>
      <c r="G14" s="1616"/>
    </row>
    <row r="15" spans="1:7" ht="61.5" customHeight="1" x14ac:dyDescent="0.25">
      <c r="A15" s="1499" t="s">
        <v>1800</v>
      </c>
      <c r="B15" s="1499" t="s">
        <v>1801</v>
      </c>
      <c r="C15" s="1499" t="s">
        <v>1802</v>
      </c>
      <c r="D15" s="1500" t="s">
        <v>1803</v>
      </c>
      <c r="E15" s="1500" t="s">
        <v>1795</v>
      </c>
      <c r="F15" s="1500" t="s">
        <v>1804</v>
      </c>
      <c r="G15" s="1500" t="s">
        <v>1805</v>
      </c>
    </row>
    <row r="16" spans="1:7" x14ac:dyDescent="0.25">
      <c r="A16" s="1601" t="s">
        <v>1808</v>
      </c>
      <c r="B16" s="1602" t="s">
        <v>1798</v>
      </c>
      <c r="C16" s="1603" t="s">
        <v>1796</v>
      </c>
      <c r="D16" s="1604">
        <v>500000</v>
      </c>
      <c r="E16" s="1604">
        <f>IF(D16&lt;=25000,D16,IF(D16&gt;25000,25000,0))</f>
        <v>25000</v>
      </c>
      <c r="F16" s="1604">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05">
        <f>IF(F16=0,"0",D16-F16)</f>
        <v>475000</v>
      </c>
    </row>
    <row r="17" spans="1:8" x14ac:dyDescent="0.25">
      <c r="A17" s="1985" t="s">
        <v>2117</v>
      </c>
      <c r="B17" s="1988" t="s">
        <v>2118</v>
      </c>
      <c r="C17" s="1986" t="s">
        <v>2119</v>
      </c>
      <c r="D17" s="1987">
        <v>53684</v>
      </c>
      <c r="E17" s="1493">
        <f t="shared" ref="E17:E141" si="0">IF(D17&lt;=25000,D17,IF(D17&gt;25000,25000,0))</f>
        <v>25000</v>
      </c>
      <c r="F17" s="1885">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46">
        <f>IF(F17=0,0,D17-F17)</f>
        <v>28684</v>
      </c>
      <c r="H17" s="1600"/>
    </row>
    <row r="18" spans="1:8" x14ac:dyDescent="0.25">
      <c r="A18" s="1985" t="s">
        <v>2120</v>
      </c>
      <c r="B18" s="1988" t="s">
        <v>2118</v>
      </c>
      <c r="C18" s="1986" t="s">
        <v>2121</v>
      </c>
      <c r="D18" s="1987">
        <v>26250</v>
      </c>
      <c r="E18" s="1493">
        <f t="shared" ref="E18:E140" si="2">IF(D18&lt;=25000,D18,IF(D18&gt;25000,25000,0))</f>
        <v>25000</v>
      </c>
      <c r="F18" s="1885">
        <f t="shared" si="1"/>
        <v>25000</v>
      </c>
      <c r="G18" s="1746">
        <f t="shared" ref="G18:G140" si="3">IF(F18=0,0,D18-F18)</f>
        <v>1250</v>
      </c>
    </row>
    <row r="19" spans="1:8" x14ac:dyDescent="0.25">
      <c r="A19" s="1985" t="s">
        <v>2122</v>
      </c>
      <c r="B19" s="1988" t="s">
        <v>2118</v>
      </c>
      <c r="C19" s="1986" t="s">
        <v>2123</v>
      </c>
      <c r="D19" s="1987">
        <v>36350</v>
      </c>
      <c r="E19" s="1493">
        <f t="shared" si="2"/>
        <v>25000</v>
      </c>
      <c r="F19" s="1885">
        <f t="shared" si="1"/>
        <v>25000</v>
      </c>
      <c r="G19" s="1746">
        <f t="shared" si="3"/>
        <v>11350</v>
      </c>
    </row>
    <row r="20" spans="1:8" x14ac:dyDescent="0.25">
      <c r="A20" s="1985" t="s">
        <v>2124</v>
      </c>
      <c r="B20" s="1988" t="s">
        <v>2125</v>
      </c>
      <c r="C20" s="1986" t="s">
        <v>2126</v>
      </c>
      <c r="D20" s="1987">
        <v>64000</v>
      </c>
      <c r="E20" s="1493">
        <f t="shared" si="2"/>
        <v>25000</v>
      </c>
      <c r="F20" s="1885">
        <f t="shared" si="1"/>
        <v>25000</v>
      </c>
      <c r="G20" s="1746">
        <f t="shared" si="3"/>
        <v>39000</v>
      </c>
    </row>
    <row r="21" spans="1:8" x14ac:dyDescent="0.25">
      <c r="A21" s="1985" t="s">
        <v>2124</v>
      </c>
      <c r="B21" s="1988" t="s">
        <v>2125</v>
      </c>
      <c r="C21" s="1986" t="s">
        <v>2127</v>
      </c>
      <c r="D21" s="1987">
        <v>39650</v>
      </c>
      <c r="E21" s="1493">
        <f t="shared" si="2"/>
        <v>25000</v>
      </c>
      <c r="F21" s="1885">
        <f t="shared" si="1"/>
        <v>25000</v>
      </c>
      <c r="G21" s="1746">
        <f t="shared" si="3"/>
        <v>14650</v>
      </c>
    </row>
    <row r="22" spans="1:8" x14ac:dyDescent="0.25">
      <c r="A22" s="1985" t="s">
        <v>2128</v>
      </c>
      <c r="B22" s="1988" t="s">
        <v>2125</v>
      </c>
      <c r="C22" s="1986" t="s">
        <v>2129</v>
      </c>
      <c r="D22" s="1987">
        <v>83492</v>
      </c>
      <c r="E22" s="1493">
        <f t="shared" si="2"/>
        <v>25000</v>
      </c>
      <c r="F22" s="1885">
        <f t="shared" si="1"/>
        <v>25000</v>
      </c>
      <c r="G22" s="1746">
        <f t="shared" si="3"/>
        <v>58492</v>
      </c>
    </row>
    <row r="23" spans="1:8" x14ac:dyDescent="0.25">
      <c r="A23" s="1985" t="s">
        <v>2130</v>
      </c>
      <c r="B23" s="1988" t="s">
        <v>2131</v>
      </c>
      <c r="C23" s="1986" t="s">
        <v>2132</v>
      </c>
      <c r="D23" s="1987">
        <v>124269</v>
      </c>
      <c r="E23" s="1493">
        <f t="shared" si="2"/>
        <v>25000</v>
      </c>
      <c r="F23" s="1885">
        <f t="shared" si="1"/>
        <v>25000</v>
      </c>
      <c r="G23" s="1746">
        <f t="shared" si="3"/>
        <v>99269</v>
      </c>
    </row>
    <row r="24" spans="1:8" x14ac:dyDescent="0.25">
      <c r="A24" s="1985" t="s">
        <v>2133</v>
      </c>
      <c r="B24" s="1988" t="s">
        <v>2131</v>
      </c>
      <c r="C24" s="1986" t="s">
        <v>2134</v>
      </c>
      <c r="D24" s="1987">
        <v>32285</v>
      </c>
      <c r="E24" s="1493">
        <f t="shared" si="2"/>
        <v>25000</v>
      </c>
      <c r="F24" s="1885">
        <f t="shared" si="1"/>
        <v>25000</v>
      </c>
      <c r="G24" s="1746">
        <f t="shared" si="3"/>
        <v>7285</v>
      </c>
    </row>
    <row r="25" spans="1:8" x14ac:dyDescent="0.25">
      <c r="A25" s="1985" t="s">
        <v>2135</v>
      </c>
      <c r="B25" s="1988" t="s">
        <v>2136</v>
      </c>
      <c r="C25" s="1986" t="s">
        <v>2137</v>
      </c>
      <c r="D25" s="1987">
        <v>331484</v>
      </c>
      <c r="E25" s="1493">
        <f t="shared" si="2"/>
        <v>25000</v>
      </c>
      <c r="F25" s="1885">
        <f t="shared" si="1"/>
        <v>25000</v>
      </c>
      <c r="G25" s="1746">
        <f t="shared" si="3"/>
        <v>306484</v>
      </c>
    </row>
    <row r="26" spans="1:8" x14ac:dyDescent="0.25">
      <c r="A26" s="1985" t="s">
        <v>2138</v>
      </c>
      <c r="B26" s="1988" t="s">
        <v>2139</v>
      </c>
      <c r="C26" s="1986" t="s">
        <v>2140</v>
      </c>
      <c r="D26" s="1987">
        <v>740839</v>
      </c>
      <c r="E26" s="1493">
        <f t="shared" si="2"/>
        <v>25000</v>
      </c>
      <c r="F26" s="1885">
        <f t="shared" si="1"/>
        <v>25000</v>
      </c>
      <c r="G26" s="1746">
        <f t="shared" si="3"/>
        <v>715839</v>
      </c>
    </row>
    <row r="27" spans="1:8" x14ac:dyDescent="0.25">
      <c r="A27" s="1985" t="s">
        <v>2141</v>
      </c>
      <c r="B27" s="1988" t="s">
        <v>2157</v>
      </c>
      <c r="C27" s="1986" t="s">
        <v>2142</v>
      </c>
      <c r="D27" s="1987">
        <v>60281</v>
      </c>
      <c r="E27" s="1493">
        <f t="shared" si="2"/>
        <v>25000</v>
      </c>
      <c r="F27" s="1885">
        <f t="shared" si="1"/>
        <v>25000</v>
      </c>
      <c r="G27" s="1746">
        <f t="shared" si="3"/>
        <v>35281</v>
      </c>
    </row>
    <row r="28" spans="1:8" x14ac:dyDescent="0.25">
      <c r="A28" s="1985" t="s">
        <v>2143</v>
      </c>
      <c r="B28" s="1988" t="s">
        <v>2144</v>
      </c>
      <c r="C28" s="1986" t="s">
        <v>2145</v>
      </c>
      <c r="D28" s="1987">
        <v>1601968</v>
      </c>
      <c r="E28" s="1493">
        <f t="shared" si="2"/>
        <v>25000</v>
      </c>
      <c r="F28" s="1885">
        <f t="shared" si="1"/>
        <v>25000</v>
      </c>
      <c r="G28" s="1746">
        <f t="shared" si="3"/>
        <v>1576968</v>
      </c>
    </row>
    <row r="29" spans="1:8" x14ac:dyDescent="0.25">
      <c r="A29" s="1985" t="s">
        <v>2143</v>
      </c>
      <c r="B29" s="1988" t="s">
        <v>2144</v>
      </c>
      <c r="C29" s="1986" t="s">
        <v>2146</v>
      </c>
      <c r="D29" s="1987">
        <v>46213</v>
      </c>
      <c r="E29" s="1493">
        <f t="shared" si="2"/>
        <v>25000</v>
      </c>
      <c r="F29" s="1885">
        <f t="shared" si="1"/>
        <v>25000</v>
      </c>
      <c r="G29" s="1746">
        <f t="shared" si="3"/>
        <v>21213</v>
      </c>
    </row>
    <row r="30" spans="1:8" x14ac:dyDescent="0.25">
      <c r="A30" s="1985" t="s">
        <v>2147</v>
      </c>
      <c r="B30" s="1988" t="s">
        <v>2144</v>
      </c>
      <c r="C30" s="1986" t="s">
        <v>2148</v>
      </c>
      <c r="D30" s="1987">
        <v>48144</v>
      </c>
      <c r="E30" s="1493">
        <f t="shared" si="2"/>
        <v>25000</v>
      </c>
      <c r="F30" s="1885">
        <f t="shared" si="1"/>
        <v>25000</v>
      </c>
      <c r="G30" s="1746">
        <f t="shared" si="3"/>
        <v>23144</v>
      </c>
    </row>
    <row r="31" spans="1:8" x14ac:dyDescent="0.25">
      <c r="A31" s="1985" t="s">
        <v>2147</v>
      </c>
      <c r="B31" s="1988" t="s">
        <v>2144</v>
      </c>
      <c r="C31" s="1986" t="s">
        <v>2149</v>
      </c>
      <c r="D31" s="1987">
        <v>52397</v>
      </c>
      <c r="E31" s="1493">
        <f t="shared" si="2"/>
        <v>25000</v>
      </c>
      <c r="F31" s="1885">
        <f t="shared" si="1"/>
        <v>25000</v>
      </c>
      <c r="G31" s="1746">
        <f t="shared" si="3"/>
        <v>27397</v>
      </c>
    </row>
    <row r="32" spans="1:8" x14ac:dyDescent="0.25">
      <c r="A32" s="1985" t="s">
        <v>2147</v>
      </c>
      <c r="B32" s="1988" t="s">
        <v>2144</v>
      </c>
      <c r="C32" s="1986" t="s">
        <v>2145</v>
      </c>
      <c r="D32" s="1987">
        <v>1090633</v>
      </c>
      <c r="E32" s="1493">
        <f t="shared" si="2"/>
        <v>25000</v>
      </c>
      <c r="F32" s="1885">
        <f t="shared" si="1"/>
        <v>25000</v>
      </c>
      <c r="G32" s="1746">
        <f t="shared" si="3"/>
        <v>1065633</v>
      </c>
    </row>
    <row r="33" spans="1:7" x14ac:dyDescent="0.25">
      <c r="A33" s="1985" t="s">
        <v>2147</v>
      </c>
      <c r="B33" s="1988" t="s">
        <v>2144</v>
      </c>
      <c r="C33" s="1986" t="s">
        <v>2150</v>
      </c>
      <c r="D33" s="1987">
        <v>164765</v>
      </c>
      <c r="E33" s="1493">
        <f t="shared" si="2"/>
        <v>25000</v>
      </c>
      <c r="F33" s="1885">
        <f t="shared" si="1"/>
        <v>25000</v>
      </c>
      <c r="G33" s="1746">
        <f t="shared" si="3"/>
        <v>139765</v>
      </c>
    </row>
    <row r="34" spans="1:7" x14ac:dyDescent="0.25">
      <c r="A34" s="1985" t="s">
        <v>2151</v>
      </c>
      <c r="B34" s="1988" t="s">
        <v>2144</v>
      </c>
      <c r="C34" s="1986" t="s">
        <v>2145</v>
      </c>
      <c r="D34" s="1987">
        <v>135051</v>
      </c>
      <c r="E34" s="1493">
        <f t="shared" si="2"/>
        <v>25000</v>
      </c>
      <c r="F34" s="1885">
        <f t="shared" si="1"/>
        <v>25000</v>
      </c>
      <c r="G34" s="1746">
        <f t="shared" si="3"/>
        <v>110051</v>
      </c>
    </row>
    <row r="35" spans="1:7" x14ac:dyDescent="0.25">
      <c r="A35" s="1985" t="s">
        <v>2152</v>
      </c>
      <c r="B35" s="1988" t="s">
        <v>2144</v>
      </c>
      <c r="C35" s="1986" t="s">
        <v>2153</v>
      </c>
      <c r="D35" s="1987">
        <v>94672</v>
      </c>
      <c r="E35" s="1493">
        <f t="shared" si="2"/>
        <v>25000</v>
      </c>
      <c r="F35" s="1885">
        <f t="shared" si="1"/>
        <v>25000</v>
      </c>
      <c r="G35" s="1746">
        <f t="shared" si="3"/>
        <v>69672</v>
      </c>
    </row>
    <row r="36" spans="1:7" x14ac:dyDescent="0.25">
      <c r="A36" s="1985" t="s">
        <v>2154</v>
      </c>
      <c r="B36" s="1988" t="s">
        <v>2155</v>
      </c>
      <c r="C36" s="1986" t="s">
        <v>2156</v>
      </c>
      <c r="D36" s="1987">
        <v>58614</v>
      </c>
      <c r="E36" s="1493">
        <f t="shared" si="2"/>
        <v>25000</v>
      </c>
      <c r="F36" s="1885">
        <f t="shared" si="1"/>
        <v>25000</v>
      </c>
      <c r="G36" s="1746">
        <f t="shared" si="3"/>
        <v>33614</v>
      </c>
    </row>
    <row r="37" spans="1:7" x14ac:dyDescent="0.25">
      <c r="A37" s="1985"/>
      <c r="B37" s="1988"/>
      <c r="C37" s="1986"/>
      <c r="D37" s="1987"/>
      <c r="E37" s="1493">
        <f t="shared" si="2"/>
        <v>0</v>
      </c>
      <c r="F37" s="1885">
        <f t="shared" si="1"/>
        <v>0</v>
      </c>
      <c r="G37" s="1746">
        <f t="shared" si="3"/>
        <v>0</v>
      </c>
    </row>
    <row r="38" spans="1:7" x14ac:dyDescent="0.25">
      <c r="A38" s="1606"/>
      <c r="B38" s="1887"/>
      <c r="C38" s="1607"/>
      <c r="D38" s="1797"/>
      <c r="E38" s="1493">
        <f t="shared" si="2"/>
        <v>0</v>
      </c>
      <c r="F38" s="1885">
        <f t="shared" si="1"/>
        <v>0</v>
      </c>
      <c r="G38" s="1746">
        <f t="shared" si="3"/>
        <v>0</v>
      </c>
    </row>
    <row r="39" spans="1:7" x14ac:dyDescent="0.25">
      <c r="A39" s="1606"/>
      <c r="B39" s="1887"/>
      <c r="C39" s="1607"/>
      <c r="D39" s="1797"/>
      <c r="E39" s="1493">
        <f t="shared" si="2"/>
        <v>0</v>
      </c>
      <c r="F39" s="1885">
        <f t="shared" si="1"/>
        <v>0</v>
      </c>
      <c r="G39" s="1746">
        <f t="shared" si="3"/>
        <v>0</v>
      </c>
    </row>
    <row r="40" spans="1:7" x14ac:dyDescent="0.25">
      <c r="A40" s="1606"/>
      <c r="B40" s="1887"/>
      <c r="C40" s="1607"/>
      <c r="D40" s="1797"/>
      <c r="E40" s="1493">
        <f t="shared" si="2"/>
        <v>0</v>
      </c>
      <c r="F40" s="1885">
        <f t="shared" si="1"/>
        <v>0</v>
      </c>
      <c r="G40" s="1746">
        <f t="shared" si="3"/>
        <v>0</v>
      </c>
    </row>
    <row r="41" spans="1:7" x14ac:dyDescent="0.25">
      <c r="A41" s="1606"/>
      <c r="B41" s="1887"/>
      <c r="C41" s="1607"/>
      <c r="D41" s="1797"/>
      <c r="E41" s="1493">
        <f t="shared" si="2"/>
        <v>0</v>
      </c>
      <c r="F41" s="1885">
        <f t="shared" si="1"/>
        <v>0</v>
      </c>
      <c r="G41" s="1746">
        <f t="shared" si="3"/>
        <v>0</v>
      </c>
    </row>
    <row r="42" spans="1:7" x14ac:dyDescent="0.25">
      <c r="A42" s="1606"/>
      <c r="B42" s="1887"/>
      <c r="C42" s="1607"/>
      <c r="D42" s="1797"/>
      <c r="E42" s="1493">
        <f t="shared" si="2"/>
        <v>0</v>
      </c>
      <c r="F42" s="1885">
        <f t="shared" si="1"/>
        <v>0</v>
      </c>
      <c r="G42" s="1746">
        <f t="shared" si="3"/>
        <v>0</v>
      </c>
    </row>
    <row r="43" spans="1:7" x14ac:dyDescent="0.25">
      <c r="A43" s="1606"/>
      <c r="B43" s="1887"/>
      <c r="C43" s="1607"/>
      <c r="D43" s="1797"/>
      <c r="E43" s="1493">
        <f t="shared" si="2"/>
        <v>0</v>
      </c>
      <c r="F43" s="1885">
        <f t="shared" si="1"/>
        <v>0</v>
      </c>
      <c r="G43" s="1746">
        <f t="shared" si="3"/>
        <v>0</v>
      </c>
    </row>
    <row r="44" spans="1:7" x14ac:dyDescent="0.25">
      <c r="A44" s="1606"/>
      <c r="B44" s="1887"/>
      <c r="C44" s="1607"/>
      <c r="D44" s="1797"/>
      <c r="E44" s="1493">
        <f t="shared" si="2"/>
        <v>0</v>
      </c>
      <c r="F44" s="1885">
        <f t="shared" si="1"/>
        <v>0</v>
      </c>
      <c r="G44" s="1746">
        <f t="shared" si="3"/>
        <v>0</v>
      </c>
    </row>
    <row r="45" spans="1:7" x14ac:dyDescent="0.25">
      <c r="A45" s="1606"/>
      <c r="B45" s="1887"/>
      <c r="C45" s="1607"/>
      <c r="D45" s="1797"/>
      <c r="E45" s="1493">
        <f t="shared" si="2"/>
        <v>0</v>
      </c>
      <c r="F45" s="1885">
        <f t="shared" si="1"/>
        <v>0</v>
      </c>
      <c r="G45" s="1746">
        <f t="shared" si="3"/>
        <v>0</v>
      </c>
    </row>
    <row r="46" spans="1:7" x14ac:dyDescent="0.25">
      <c r="A46" s="1606"/>
      <c r="B46" s="1620"/>
      <c r="C46" s="1607"/>
      <c r="D46" s="1797"/>
      <c r="E46" s="1493">
        <f t="shared" si="2"/>
        <v>0</v>
      </c>
      <c r="F46" s="1885">
        <f t="shared" si="1"/>
        <v>0</v>
      </c>
      <c r="G46" s="1746">
        <f t="shared" si="3"/>
        <v>0</v>
      </c>
    </row>
    <row r="47" spans="1:7" x14ac:dyDescent="0.25">
      <c r="A47" s="1606"/>
      <c r="B47" s="1620"/>
      <c r="C47" s="1607"/>
      <c r="D47" s="1797"/>
      <c r="E47" s="1493">
        <f t="shared" si="2"/>
        <v>0</v>
      </c>
      <c r="F47" s="1885">
        <f t="shared" si="1"/>
        <v>0</v>
      </c>
      <c r="G47" s="1746">
        <f t="shared" si="3"/>
        <v>0</v>
      </c>
    </row>
    <row r="48" spans="1:7" x14ac:dyDescent="0.25">
      <c r="A48" s="1606"/>
      <c r="B48" s="1620"/>
      <c r="C48" s="1607"/>
      <c r="D48" s="1797"/>
      <c r="E48" s="1493">
        <f t="shared" si="2"/>
        <v>0</v>
      </c>
      <c r="F48" s="1885">
        <f t="shared" si="1"/>
        <v>0</v>
      </c>
      <c r="G48" s="1746">
        <f t="shared" si="3"/>
        <v>0</v>
      </c>
    </row>
    <row r="49" spans="1:7" x14ac:dyDescent="0.25">
      <c r="A49" s="1606"/>
      <c r="B49" s="1620"/>
      <c r="C49" s="1607"/>
      <c r="D49" s="1797"/>
      <c r="E49" s="1493">
        <f t="shared" si="2"/>
        <v>0</v>
      </c>
      <c r="F49" s="1885">
        <f t="shared" si="1"/>
        <v>0</v>
      </c>
      <c r="G49" s="1746">
        <f t="shared" si="3"/>
        <v>0</v>
      </c>
    </row>
    <row r="50" spans="1:7" x14ac:dyDescent="0.25">
      <c r="A50" s="1606"/>
      <c r="B50" s="1620"/>
      <c r="C50" s="1607"/>
      <c r="D50" s="1797"/>
      <c r="E50" s="1493">
        <f t="shared" si="2"/>
        <v>0</v>
      </c>
      <c r="F50" s="1885">
        <f t="shared" si="1"/>
        <v>0</v>
      </c>
      <c r="G50" s="1746">
        <f t="shared" si="3"/>
        <v>0</v>
      </c>
    </row>
    <row r="51" spans="1:7" x14ac:dyDescent="0.25">
      <c r="A51" s="1606"/>
      <c r="B51" s="1620"/>
      <c r="C51" s="1607"/>
      <c r="D51" s="1797"/>
      <c r="E51" s="1493">
        <f t="shared" si="2"/>
        <v>0</v>
      </c>
      <c r="F51" s="1885">
        <f t="shared" si="1"/>
        <v>0</v>
      </c>
      <c r="G51" s="1746">
        <f t="shared" si="3"/>
        <v>0</v>
      </c>
    </row>
    <row r="52" spans="1:7" x14ac:dyDescent="0.25">
      <c r="A52" s="1606"/>
      <c r="B52" s="1620"/>
      <c r="C52" s="1607"/>
      <c r="D52" s="1797"/>
      <c r="E52" s="1493">
        <f t="shared" si="2"/>
        <v>0</v>
      </c>
      <c r="F52" s="1885">
        <f t="shared" si="1"/>
        <v>0</v>
      </c>
      <c r="G52" s="1746">
        <f t="shared" si="3"/>
        <v>0</v>
      </c>
    </row>
    <row r="53" spans="1:7" x14ac:dyDescent="0.25">
      <c r="A53" s="1606"/>
      <c r="B53" s="1620"/>
      <c r="C53" s="1607"/>
      <c r="D53" s="1797"/>
      <c r="E53" s="1493">
        <f t="shared" si="2"/>
        <v>0</v>
      </c>
      <c r="F53" s="1885">
        <f t="shared" si="1"/>
        <v>0</v>
      </c>
      <c r="G53" s="1746">
        <f t="shared" si="3"/>
        <v>0</v>
      </c>
    </row>
    <row r="54" spans="1:7" x14ac:dyDescent="0.25">
      <c r="A54" s="1606"/>
      <c r="B54" s="1620"/>
      <c r="C54" s="1607"/>
      <c r="D54" s="1797"/>
      <c r="E54" s="1493">
        <f t="shared" si="2"/>
        <v>0</v>
      </c>
      <c r="F54" s="1885">
        <f t="shared" si="1"/>
        <v>0</v>
      </c>
      <c r="G54" s="1746">
        <f t="shared" si="3"/>
        <v>0</v>
      </c>
    </row>
    <row r="55" spans="1:7" x14ac:dyDescent="0.25">
      <c r="A55" s="1606"/>
      <c r="B55" s="1620"/>
      <c r="C55" s="1607"/>
      <c r="D55" s="1797"/>
      <c r="E55" s="1493">
        <f t="shared" si="2"/>
        <v>0</v>
      </c>
      <c r="F55" s="1885">
        <f t="shared" si="1"/>
        <v>0</v>
      </c>
      <c r="G55" s="1746">
        <f t="shared" si="3"/>
        <v>0</v>
      </c>
    </row>
    <row r="56" spans="1:7" x14ac:dyDescent="0.25">
      <c r="A56" s="1606"/>
      <c r="B56" s="1620"/>
      <c r="C56" s="1607"/>
      <c r="D56" s="1797"/>
      <c r="E56" s="1493">
        <f t="shared" si="2"/>
        <v>0</v>
      </c>
      <c r="F56" s="1885">
        <f t="shared" si="1"/>
        <v>0</v>
      </c>
      <c r="G56" s="1746">
        <f t="shared" si="3"/>
        <v>0</v>
      </c>
    </row>
    <row r="57" spans="1:7" x14ac:dyDescent="0.25">
      <c r="A57" s="1606"/>
      <c r="B57" s="1620"/>
      <c r="C57" s="1607"/>
      <c r="D57" s="1797"/>
      <c r="E57" s="1493">
        <f t="shared" si="2"/>
        <v>0</v>
      </c>
      <c r="F57" s="1885">
        <f t="shared" si="1"/>
        <v>0</v>
      </c>
      <c r="G57" s="1746">
        <f t="shared" si="3"/>
        <v>0</v>
      </c>
    </row>
    <row r="58" spans="1:7" x14ac:dyDescent="0.25">
      <c r="A58" s="1606"/>
      <c r="B58" s="1620"/>
      <c r="C58" s="1607"/>
      <c r="D58" s="1797"/>
      <c r="E58" s="1493">
        <f t="shared" si="2"/>
        <v>0</v>
      </c>
      <c r="F58" s="1885">
        <f t="shared" si="1"/>
        <v>0</v>
      </c>
      <c r="G58" s="1746">
        <f t="shared" si="3"/>
        <v>0</v>
      </c>
    </row>
    <row r="59" spans="1:7" x14ac:dyDescent="0.25">
      <c r="A59" s="1606"/>
      <c r="B59" s="1620"/>
      <c r="C59" s="1607"/>
      <c r="D59" s="1797"/>
      <c r="E59" s="1493">
        <f t="shared" si="2"/>
        <v>0</v>
      </c>
      <c r="F59" s="1885">
        <f t="shared" si="1"/>
        <v>0</v>
      </c>
      <c r="G59" s="1746">
        <f t="shared" si="3"/>
        <v>0</v>
      </c>
    </row>
    <row r="60" spans="1:7" x14ac:dyDescent="0.25">
      <c r="A60" s="1606"/>
      <c r="B60" s="1620"/>
      <c r="C60" s="1607"/>
      <c r="D60" s="1797"/>
      <c r="E60" s="1493">
        <f t="shared" si="2"/>
        <v>0</v>
      </c>
      <c r="F60" s="1885">
        <f t="shared" si="1"/>
        <v>0</v>
      </c>
      <c r="G60" s="1746">
        <f t="shared" si="3"/>
        <v>0</v>
      </c>
    </row>
    <row r="61" spans="1:7" x14ac:dyDescent="0.25">
      <c r="A61" s="1606"/>
      <c r="B61" s="1620"/>
      <c r="C61" s="1607"/>
      <c r="D61" s="1797"/>
      <c r="E61" s="1493">
        <f t="shared" si="2"/>
        <v>0</v>
      </c>
      <c r="F61" s="1885">
        <f t="shared" si="1"/>
        <v>0</v>
      </c>
      <c r="G61" s="1746">
        <f t="shared" si="3"/>
        <v>0</v>
      </c>
    </row>
    <row r="62" spans="1:7" x14ac:dyDescent="0.25">
      <c r="A62" s="1606"/>
      <c r="B62" s="1620"/>
      <c r="C62" s="1607"/>
      <c r="D62" s="1797"/>
      <c r="E62" s="1493">
        <f t="shared" si="2"/>
        <v>0</v>
      </c>
      <c r="F62" s="1885">
        <f t="shared" si="1"/>
        <v>0</v>
      </c>
      <c r="G62" s="1746">
        <f t="shared" si="3"/>
        <v>0</v>
      </c>
    </row>
    <row r="63" spans="1:7" x14ac:dyDescent="0.25">
      <c r="A63" s="1606"/>
      <c r="B63" s="1620"/>
      <c r="C63" s="1607"/>
      <c r="D63" s="1797"/>
      <c r="E63" s="1493">
        <f t="shared" si="2"/>
        <v>0</v>
      </c>
      <c r="F63" s="1885">
        <f t="shared" si="1"/>
        <v>0</v>
      </c>
      <c r="G63" s="1746">
        <f t="shared" si="3"/>
        <v>0</v>
      </c>
    </row>
    <row r="64" spans="1:7" x14ac:dyDescent="0.25">
      <c r="A64" s="1608"/>
      <c r="B64" s="1620"/>
      <c r="C64" s="1609"/>
      <c r="D64" s="1797"/>
      <c r="E64" s="1493">
        <f t="shared" si="2"/>
        <v>0</v>
      </c>
      <c r="F64" s="1885">
        <f t="shared" si="1"/>
        <v>0</v>
      </c>
      <c r="G64" s="1746">
        <f t="shared" si="3"/>
        <v>0</v>
      </c>
    </row>
    <row r="65" spans="1:7" x14ac:dyDescent="0.25">
      <c r="A65" s="1606"/>
      <c r="B65" s="1620"/>
      <c r="C65" s="1607"/>
      <c r="D65" s="1797"/>
      <c r="E65" s="1493">
        <f t="shared" si="2"/>
        <v>0</v>
      </c>
      <c r="F65" s="1885">
        <f t="shared" si="1"/>
        <v>0</v>
      </c>
      <c r="G65" s="1746">
        <f t="shared" si="3"/>
        <v>0</v>
      </c>
    </row>
    <row r="66" spans="1:7" x14ac:dyDescent="0.25">
      <c r="A66" s="1606"/>
      <c r="B66" s="1620"/>
      <c r="C66" s="1607"/>
      <c r="D66" s="1797"/>
      <c r="E66" s="1493">
        <f t="shared" si="2"/>
        <v>0</v>
      </c>
      <c r="F66" s="1885">
        <f t="shared" si="1"/>
        <v>0</v>
      </c>
      <c r="G66" s="1746">
        <f t="shared" si="3"/>
        <v>0</v>
      </c>
    </row>
    <row r="67" spans="1:7" x14ac:dyDescent="0.25">
      <c r="A67" s="1606"/>
      <c r="B67" s="1620"/>
      <c r="C67" s="1607"/>
      <c r="D67" s="1797"/>
      <c r="E67" s="1493">
        <f t="shared" si="2"/>
        <v>0</v>
      </c>
      <c r="F67" s="1885">
        <f t="shared" si="1"/>
        <v>0</v>
      </c>
      <c r="G67" s="1746">
        <f t="shared" si="3"/>
        <v>0</v>
      </c>
    </row>
    <row r="68" spans="1:7" x14ac:dyDescent="0.25">
      <c r="A68" s="1606"/>
      <c r="B68" s="1620"/>
      <c r="C68" s="1607"/>
      <c r="D68" s="1797"/>
      <c r="E68" s="1493">
        <f t="shared" si="2"/>
        <v>0</v>
      </c>
      <c r="F68" s="1885">
        <f t="shared" si="1"/>
        <v>0</v>
      </c>
      <c r="G68" s="1746">
        <f t="shared" si="3"/>
        <v>0</v>
      </c>
    </row>
    <row r="69" spans="1:7" x14ac:dyDescent="0.25">
      <c r="A69" s="1606"/>
      <c r="B69" s="1620"/>
      <c r="C69" s="1607"/>
      <c r="D69" s="1797"/>
      <c r="E69" s="1493">
        <f t="shared" si="2"/>
        <v>0</v>
      </c>
      <c r="F69" s="1885">
        <f t="shared" si="1"/>
        <v>0</v>
      </c>
      <c r="G69" s="1746">
        <f t="shared" si="3"/>
        <v>0</v>
      </c>
    </row>
    <row r="70" spans="1:7" x14ac:dyDescent="0.25">
      <c r="A70" s="1606"/>
      <c r="B70" s="1620"/>
      <c r="C70" s="1607"/>
      <c r="D70" s="1797"/>
      <c r="E70" s="1493">
        <f t="shared" si="2"/>
        <v>0</v>
      </c>
      <c r="F70" s="1885">
        <f t="shared" si="1"/>
        <v>0</v>
      </c>
      <c r="G70" s="1746">
        <f t="shared" si="3"/>
        <v>0</v>
      </c>
    </row>
    <row r="71" spans="1:7" x14ac:dyDescent="0.25">
      <c r="A71" s="1606"/>
      <c r="B71" s="1620"/>
      <c r="C71" s="1607"/>
      <c r="D71" s="1797"/>
      <c r="E71" s="1493">
        <f t="shared" si="2"/>
        <v>0</v>
      </c>
      <c r="F71" s="1885">
        <f t="shared" si="1"/>
        <v>0</v>
      </c>
      <c r="G71" s="1746">
        <f t="shared" si="3"/>
        <v>0</v>
      </c>
    </row>
    <row r="72" spans="1:7" x14ac:dyDescent="0.25">
      <c r="A72" s="1606"/>
      <c r="B72" s="1620"/>
      <c r="C72" s="1607"/>
      <c r="D72" s="1797"/>
      <c r="E72" s="1493">
        <f t="shared" si="2"/>
        <v>0</v>
      </c>
      <c r="F72" s="1885">
        <f t="shared" si="1"/>
        <v>0</v>
      </c>
      <c r="G72" s="1746">
        <f t="shared" si="3"/>
        <v>0</v>
      </c>
    </row>
    <row r="73" spans="1:7" x14ac:dyDescent="0.25">
      <c r="A73" s="1606"/>
      <c r="B73" s="1620"/>
      <c r="C73" s="1607"/>
      <c r="D73" s="1797"/>
      <c r="E73" s="1493">
        <f t="shared" ref="E73:E84" si="4">IF(D73&lt;=25000,D73,IF(D73&gt;25000,25000,0))</f>
        <v>0</v>
      </c>
      <c r="F73" s="1885">
        <f t="shared" si="1"/>
        <v>0</v>
      </c>
      <c r="G73" s="1746">
        <f t="shared" ref="G73:G84" si="5">IF(F73=0,0,D73-F73)</f>
        <v>0</v>
      </c>
    </row>
    <row r="74" spans="1:7" x14ac:dyDescent="0.25">
      <c r="A74" s="1606"/>
      <c r="B74" s="1620"/>
      <c r="C74" s="1607"/>
      <c r="D74" s="1797"/>
      <c r="E74" s="1493">
        <f t="shared" si="4"/>
        <v>0</v>
      </c>
      <c r="F74" s="1885">
        <f t="shared" si="1"/>
        <v>0</v>
      </c>
      <c r="G74" s="1746">
        <f t="shared" si="5"/>
        <v>0</v>
      </c>
    </row>
    <row r="75" spans="1:7" x14ac:dyDescent="0.25">
      <c r="A75" s="1606"/>
      <c r="B75" s="1620"/>
      <c r="C75" s="1607"/>
      <c r="D75" s="1797"/>
      <c r="E75" s="1493">
        <f t="shared" si="4"/>
        <v>0</v>
      </c>
      <c r="F75" s="1885">
        <f t="shared" si="1"/>
        <v>0</v>
      </c>
      <c r="G75" s="1746">
        <f t="shared" si="5"/>
        <v>0</v>
      </c>
    </row>
    <row r="76" spans="1:7" x14ac:dyDescent="0.25">
      <c r="A76" s="1606"/>
      <c r="B76" s="1620"/>
      <c r="C76" s="1607"/>
      <c r="D76" s="1797"/>
      <c r="E76" s="1493">
        <f t="shared" si="4"/>
        <v>0</v>
      </c>
      <c r="F76" s="1885">
        <f t="shared" si="1"/>
        <v>0</v>
      </c>
      <c r="G76" s="1746">
        <f t="shared" si="5"/>
        <v>0</v>
      </c>
    </row>
    <row r="77" spans="1:7" x14ac:dyDescent="0.25">
      <c r="A77" s="1606"/>
      <c r="B77" s="1620"/>
      <c r="C77" s="1607"/>
      <c r="D77" s="1797"/>
      <c r="E77" s="1493">
        <f t="shared" si="4"/>
        <v>0</v>
      </c>
      <c r="F77" s="1885">
        <f t="shared" si="1"/>
        <v>0</v>
      </c>
      <c r="G77" s="1746">
        <f t="shared" si="5"/>
        <v>0</v>
      </c>
    </row>
    <row r="78" spans="1:7" x14ac:dyDescent="0.25">
      <c r="A78" s="1606"/>
      <c r="B78" s="1620"/>
      <c r="C78" s="1607"/>
      <c r="D78" s="1797"/>
      <c r="E78" s="1493">
        <f t="shared" si="4"/>
        <v>0</v>
      </c>
      <c r="F78" s="1885">
        <f t="shared" si="1"/>
        <v>0</v>
      </c>
      <c r="G78" s="1746">
        <f t="shared" si="5"/>
        <v>0</v>
      </c>
    </row>
    <row r="79" spans="1:7" x14ac:dyDescent="0.25">
      <c r="A79" s="1606"/>
      <c r="B79" s="1620"/>
      <c r="C79" s="1607"/>
      <c r="D79" s="1797"/>
      <c r="E79" s="1493">
        <f t="shared" si="4"/>
        <v>0</v>
      </c>
      <c r="F79" s="1885">
        <f t="shared" si="1"/>
        <v>0</v>
      </c>
      <c r="G79" s="1746">
        <f t="shared" si="5"/>
        <v>0</v>
      </c>
    </row>
    <row r="80" spans="1:7" x14ac:dyDescent="0.25">
      <c r="A80" s="1606"/>
      <c r="B80" s="1620"/>
      <c r="C80" s="1607"/>
      <c r="D80" s="1797"/>
      <c r="E80" s="1493">
        <f t="shared" si="4"/>
        <v>0</v>
      </c>
      <c r="F80" s="1885">
        <f t="shared" si="1"/>
        <v>0</v>
      </c>
      <c r="G80" s="1746">
        <f t="shared" si="5"/>
        <v>0</v>
      </c>
    </row>
    <row r="81" spans="1:7" x14ac:dyDescent="0.25">
      <c r="A81" s="1606"/>
      <c r="B81" s="1620"/>
      <c r="C81" s="1607"/>
      <c r="D81" s="1797"/>
      <c r="E81" s="1493">
        <f t="shared" si="4"/>
        <v>0</v>
      </c>
      <c r="F81" s="1885">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46">
        <f t="shared" si="5"/>
        <v>0</v>
      </c>
    </row>
    <row r="82" spans="1:7" x14ac:dyDescent="0.25">
      <c r="A82" s="1606"/>
      <c r="B82" s="1620"/>
      <c r="C82" s="1607"/>
      <c r="D82" s="1797"/>
      <c r="E82" s="1493">
        <f t="shared" si="4"/>
        <v>0</v>
      </c>
      <c r="F82" s="1885">
        <f t="shared" si="6"/>
        <v>0</v>
      </c>
      <c r="G82" s="1746">
        <f t="shared" si="5"/>
        <v>0</v>
      </c>
    </row>
    <row r="83" spans="1:7" x14ac:dyDescent="0.25">
      <c r="A83" s="1606"/>
      <c r="B83" s="1620"/>
      <c r="C83" s="1607"/>
      <c r="D83" s="1797"/>
      <c r="E83" s="1493">
        <f t="shared" si="4"/>
        <v>0</v>
      </c>
      <c r="F83" s="1885">
        <f t="shared" si="6"/>
        <v>0</v>
      </c>
      <c r="G83" s="1746">
        <f t="shared" si="5"/>
        <v>0</v>
      </c>
    </row>
    <row r="84" spans="1:7" x14ac:dyDescent="0.25">
      <c r="A84" s="1606"/>
      <c r="B84" s="1620"/>
      <c r="C84" s="1607"/>
      <c r="D84" s="1797"/>
      <c r="E84" s="1493">
        <f t="shared" si="4"/>
        <v>0</v>
      </c>
      <c r="F84" s="1885">
        <f t="shared" si="6"/>
        <v>0</v>
      </c>
      <c r="G84" s="1746">
        <f t="shared" si="5"/>
        <v>0</v>
      </c>
    </row>
    <row r="85" spans="1:7" x14ac:dyDescent="0.25">
      <c r="A85" s="1606"/>
      <c r="B85" s="1620"/>
      <c r="C85" s="1607"/>
      <c r="D85" s="1797"/>
      <c r="E85" s="1493">
        <f t="shared" si="2"/>
        <v>0</v>
      </c>
      <c r="F85" s="1885">
        <f t="shared" si="6"/>
        <v>0</v>
      </c>
      <c r="G85" s="1746">
        <f t="shared" si="3"/>
        <v>0</v>
      </c>
    </row>
    <row r="86" spans="1:7" x14ac:dyDescent="0.25">
      <c r="A86" s="1606"/>
      <c r="B86" s="1620"/>
      <c r="C86" s="1607"/>
      <c r="D86" s="1797"/>
      <c r="E86" s="1493">
        <f t="shared" si="2"/>
        <v>0</v>
      </c>
      <c r="F86" s="1885">
        <f t="shared" si="6"/>
        <v>0</v>
      </c>
      <c r="G86" s="1746">
        <f t="shared" si="3"/>
        <v>0</v>
      </c>
    </row>
    <row r="87" spans="1:7" x14ac:dyDescent="0.25">
      <c r="A87" s="1606"/>
      <c r="B87" s="1620"/>
      <c r="C87" s="1607"/>
      <c r="D87" s="1797"/>
      <c r="E87" s="1493">
        <f t="shared" si="2"/>
        <v>0</v>
      </c>
      <c r="F87" s="1885">
        <f t="shared" si="6"/>
        <v>0</v>
      </c>
      <c r="G87" s="1746">
        <f t="shared" si="3"/>
        <v>0</v>
      </c>
    </row>
    <row r="88" spans="1:7" x14ac:dyDescent="0.25">
      <c r="A88" s="1606"/>
      <c r="B88" s="1620"/>
      <c r="C88" s="1607"/>
      <c r="D88" s="1797"/>
      <c r="E88" s="1493">
        <f t="shared" si="2"/>
        <v>0</v>
      </c>
      <c r="F88" s="1885">
        <f t="shared" si="6"/>
        <v>0</v>
      </c>
      <c r="G88" s="1746">
        <f t="shared" si="3"/>
        <v>0</v>
      </c>
    </row>
    <row r="89" spans="1:7" x14ac:dyDescent="0.25">
      <c r="A89" s="1606"/>
      <c r="B89" s="1620"/>
      <c r="C89" s="1607"/>
      <c r="D89" s="1797"/>
      <c r="E89" s="1493">
        <f t="shared" si="2"/>
        <v>0</v>
      </c>
      <c r="F89" s="1885">
        <f t="shared" si="6"/>
        <v>0</v>
      </c>
      <c r="G89" s="1746">
        <f t="shared" si="3"/>
        <v>0</v>
      </c>
    </row>
    <row r="90" spans="1:7" x14ac:dyDescent="0.25">
      <c r="A90" s="1606"/>
      <c r="B90" s="1620"/>
      <c r="C90" s="1607"/>
      <c r="D90" s="1797"/>
      <c r="E90" s="1493">
        <f t="shared" si="2"/>
        <v>0</v>
      </c>
      <c r="F90" s="1885">
        <f t="shared" si="6"/>
        <v>0</v>
      </c>
      <c r="G90" s="1746">
        <f t="shared" si="3"/>
        <v>0</v>
      </c>
    </row>
    <row r="91" spans="1:7" x14ac:dyDescent="0.25">
      <c r="A91" s="1606"/>
      <c r="B91" s="1620"/>
      <c r="C91" s="1607"/>
      <c r="D91" s="1797"/>
      <c r="E91" s="1493">
        <f t="shared" si="2"/>
        <v>0</v>
      </c>
      <c r="F91" s="1885">
        <f t="shared" si="6"/>
        <v>0</v>
      </c>
      <c r="G91" s="1746">
        <f t="shared" si="3"/>
        <v>0</v>
      </c>
    </row>
    <row r="92" spans="1:7" x14ac:dyDescent="0.25">
      <c r="A92" s="1606"/>
      <c r="B92" s="1620"/>
      <c r="C92" s="1607"/>
      <c r="D92" s="1797"/>
      <c r="E92" s="1493">
        <f t="shared" si="2"/>
        <v>0</v>
      </c>
      <c r="F92" s="1885">
        <f t="shared" si="6"/>
        <v>0</v>
      </c>
      <c r="G92" s="1746">
        <f t="shared" si="3"/>
        <v>0</v>
      </c>
    </row>
    <row r="93" spans="1:7" x14ac:dyDescent="0.25">
      <c r="A93" s="1606"/>
      <c r="B93" s="1620"/>
      <c r="C93" s="1607"/>
      <c r="D93" s="1797"/>
      <c r="E93" s="1493">
        <f t="shared" ref="E93" si="7">IF(D93&lt;=25000,D93,IF(D93&gt;25000,25000,0))</f>
        <v>0</v>
      </c>
      <c r="F93" s="1885">
        <f t="shared" si="6"/>
        <v>0</v>
      </c>
      <c r="G93" s="1746">
        <f t="shared" ref="G93" si="8">IF(F93=0,0,D93-F93)</f>
        <v>0</v>
      </c>
    </row>
    <row r="94" spans="1:7" x14ac:dyDescent="0.25">
      <c r="A94" s="1606"/>
      <c r="B94" s="1620"/>
      <c r="C94" s="1607"/>
      <c r="D94" s="1797"/>
      <c r="E94" s="1493">
        <f t="shared" si="2"/>
        <v>0</v>
      </c>
      <c r="F94" s="1885">
        <f t="shared" si="6"/>
        <v>0</v>
      </c>
      <c r="G94" s="1746">
        <f t="shared" si="3"/>
        <v>0</v>
      </c>
    </row>
    <row r="95" spans="1:7" x14ac:dyDescent="0.25">
      <c r="A95" s="1606"/>
      <c r="B95" s="1620"/>
      <c r="C95" s="1607"/>
      <c r="D95" s="1797"/>
      <c r="E95" s="1493">
        <f t="shared" ref="E95:E98" si="9">IF(D95&lt;=25000,D95,IF(D95&gt;25000,25000,0))</f>
        <v>0</v>
      </c>
      <c r="F95" s="1885">
        <f t="shared" si="6"/>
        <v>0</v>
      </c>
      <c r="G95" s="1746">
        <f t="shared" ref="G95:G98" si="10">IF(F95=0,0,D95-F95)</f>
        <v>0</v>
      </c>
    </row>
    <row r="96" spans="1:7" x14ac:dyDescent="0.25">
      <c r="A96" s="1606"/>
      <c r="B96" s="1620"/>
      <c r="C96" s="1607"/>
      <c r="D96" s="1797"/>
      <c r="E96" s="1493">
        <f t="shared" si="9"/>
        <v>0</v>
      </c>
      <c r="F96" s="1885">
        <f t="shared" si="6"/>
        <v>0</v>
      </c>
      <c r="G96" s="1746">
        <f t="shared" si="10"/>
        <v>0</v>
      </c>
    </row>
    <row r="97" spans="1:7" x14ac:dyDescent="0.25">
      <c r="A97" s="1606"/>
      <c r="B97" s="1620"/>
      <c r="C97" s="1607"/>
      <c r="D97" s="1797"/>
      <c r="E97" s="1493">
        <f t="shared" si="9"/>
        <v>0</v>
      </c>
      <c r="F97" s="1885">
        <f t="shared" si="6"/>
        <v>0</v>
      </c>
      <c r="G97" s="1746">
        <f t="shared" si="10"/>
        <v>0</v>
      </c>
    </row>
    <row r="98" spans="1:7" x14ac:dyDescent="0.25">
      <c r="A98" s="1606"/>
      <c r="B98" s="1620"/>
      <c r="C98" s="1607"/>
      <c r="D98" s="1797"/>
      <c r="E98" s="1493">
        <f t="shared" si="9"/>
        <v>0</v>
      </c>
      <c r="F98" s="1885">
        <f t="shared" si="6"/>
        <v>0</v>
      </c>
      <c r="G98" s="1746">
        <f t="shared" si="10"/>
        <v>0</v>
      </c>
    </row>
    <row r="99" spans="1:7" x14ac:dyDescent="0.25">
      <c r="A99" s="1606"/>
      <c r="B99" s="1620"/>
      <c r="C99" s="1607"/>
      <c r="D99" s="1797"/>
      <c r="E99" s="1493">
        <f t="shared" ref="E99" si="11">IF(D99&lt;=25000,D99,IF(D99&gt;25000,25000,0))</f>
        <v>0</v>
      </c>
      <c r="F99" s="1885">
        <f t="shared" si="6"/>
        <v>0</v>
      </c>
      <c r="G99" s="1746">
        <f t="shared" ref="G99" si="12">IF(F99=0,0,D99-F99)</f>
        <v>0</v>
      </c>
    </row>
    <row r="100" spans="1:7" x14ac:dyDescent="0.25">
      <c r="A100" s="1606"/>
      <c r="B100" s="1620"/>
      <c r="C100" s="1607"/>
      <c r="D100" s="1797"/>
      <c r="E100" s="1493">
        <f t="shared" ref="E100:E112" si="13">IF(D100&lt;=25000,D100,IF(D100&gt;25000,25000,0))</f>
        <v>0</v>
      </c>
      <c r="F100" s="1885">
        <f t="shared" si="6"/>
        <v>0</v>
      </c>
      <c r="G100" s="1746">
        <f t="shared" ref="G100:G112" si="14">IF(F100=0,0,D100-F100)</f>
        <v>0</v>
      </c>
    </row>
    <row r="101" spans="1:7" x14ac:dyDescent="0.25">
      <c r="A101" s="1606"/>
      <c r="B101" s="1620"/>
      <c r="C101" s="1607"/>
      <c r="D101" s="1797"/>
      <c r="E101" s="1493">
        <f t="shared" si="13"/>
        <v>0</v>
      </c>
      <c r="F101" s="1885">
        <f t="shared" si="6"/>
        <v>0</v>
      </c>
      <c r="G101" s="1746">
        <f t="shared" si="14"/>
        <v>0</v>
      </c>
    </row>
    <row r="102" spans="1:7" x14ac:dyDescent="0.25">
      <c r="A102" s="1606"/>
      <c r="B102" s="1620"/>
      <c r="C102" s="1607"/>
      <c r="D102" s="1797"/>
      <c r="E102" s="1493">
        <f t="shared" si="13"/>
        <v>0</v>
      </c>
      <c r="F102" s="1885">
        <f t="shared" si="6"/>
        <v>0</v>
      </c>
      <c r="G102" s="1746">
        <f t="shared" si="14"/>
        <v>0</v>
      </c>
    </row>
    <row r="103" spans="1:7" x14ac:dyDescent="0.25">
      <c r="A103" s="1606"/>
      <c r="B103" s="1620"/>
      <c r="C103" s="1607"/>
      <c r="D103" s="1797"/>
      <c r="E103" s="1493">
        <f t="shared" si="13"/>
        <v>0</v>
      </c>
      <c r="F103" s="1885">
        <f t="shared" si="6"/>
        <v>0</v>
      </c>
      <c r="G103" s="1746">
        <f t="shared" si="14"/>
        <v>0</v>
      </c>
    </row>
    <row r="104" spans="1:7" x14ac:dyDescent="0.25">
      <c r="A104" s="1606"/>
      <c r="B104" s="1620"/>
      <c r="C104" s="1607"/>
      <c r="D104" s="1797"/>
      <c r="E104" s="1493">
        <f t="shared" si="13"/>
        <v>0</v>
      </c>
      <c r="F104" s="1885">
        <f t="shared" si="6"/>
        <v>0</v>
      </c>
      <c r="G104" s="1746">
        <f t="shared" si="14"/>
        <v>0</v>
      </c>
    </row>
    <row r="105" spans="1:7" x14ac:dyDescent="0.25">
      <c r="A105" s="1606"/>
      <c r="B105" s="1620"/>
      <c r="C105" s="1607"/>
      <c r="D105" s="1797"/>
      <c r="E105" s="1493">
        <f t="shared" si="13"/>
        <v>0</v>
      </c>
      <c r="F105" s="1885">
        <f t="shared" si="6"/>
        <v>0</v>
      </c>
      <c r="G105" s="1746">
        <f t="shared" si="14"/>
        <v>0</v>
      </c>
    </row>
    <row r="106" spans="1:7" x14ac:dyDescent="0.25">
      <c r="A106" s="1606"/>
      <c r="B106" s="1620"/>
      <c r="C106" s="1607"/>
      <c r="D106" s="1797"/>
      <c r="E106" s="1493">
        <f t="shared" si="13"/>
        <v>0</v>
      </c>
      <c r="F106" s="1885">
        <f t="shared" si="6"/>
        <v>0</v>
      </c>
      <c r="G106" s="1746">
        <f t="shared" si="14"/>
        <v>0</v>
      </c>
    </row>
    <row r="107" spans="1:7" x14ac:dyDescent="0.25">
      <c r="A107" s="1606"/>
      <c r="B107" s="1620"/>
      <c r="C107" s="1607"/>
      <c r="D107" s="1797"/>
      <c r="E107" s="1493">
        <f t="shared" si="13"/>
        <v>0</v>
      </c>
      <c r="F107" s="1885">
        <f t="shared" si="6"/>
        <v>0</v>
      </c>
      <c r="G107" s="1746">
        <f t="shared" si="14"/>
        <v>0</v>
      </c>
    </row>
    <row r="108" spans="1:7" x14ac:dyDescent="0.25">
      <c r="A108" s="1606"/>
      <c r="B108" s="1620"/>
      <c r="C108" s="1607"/>
      <c r="D108" s="1797"/>
      <c r="E108" s="1493">
        <f t="shared" si="13"/>
        <v>0</v>
      </c>
      <c r="F108" s="1885">
        <f t="shared" si="6"/>
        <v>0</v>
      </c>
      <c r="G108" s="1746">
        <f t="shared" si="14"/>
        <v>0</v>
      </c>
    </row>
    <row r="109" spans="1:7" x14ac:dyDescent="0.25">
      <c r="A109" s="1606"/>
      <c r="B109" s="1620"/>
      <c r="C109" s="1607"/>
      <c r="D109" s="1797"/>
      <c r="E109" s="1493">
        <f t="shared" si="13"/>
        <v>0</v>
      </c>
      <c r="F109" s="1885">
        <f t="shared" si="6"/>
        <v>0</v>
      </c>
      <c r="G109" s="1746">
        <f t="shared" si="14"/>
        <v>0</v>
      </c>
    </row>
    <row r="110" spans="1:7" x14ac:dyDescent="0.25">
      <c r="A110" s="1606"/>
      <c r="B110" s="1620"/>
      <c r="C110" s="1607"/>
      <c r="D110" s="1797"/>
      <c r="E110" s="1493">
        <f t="shared" si="13"/>
        <v>0</v>
      </c>
      <c r="F110" s="1885">
        <f t="shared" si="6"/>
        <v>0</v>
      </c>
      <c r="G110" s="1746">
        <f t="shared" si="14"/>
        <v>0</v>
      </c>
    </row>
    <row r="111" spans="1:7" x14ac:dyDescent="0.25">
      <c r="A111" s="1606"/>
      <c r="B111" s="1620"/>
      <c r="C111" s="1607"/>
      <c r="D111" s="1797"/>
      <c r="E111" s="1493">
        <f t="shared" si="13"/>
        <v>0</v>
      </c>
      <c r="F111" s="1885">
        <f t="shared" si="6"/>
        <v>0</v>
      </c>
      <c r="G111" s="1746">
        <f t="shared" si="14"/>
        <v>0</v>
      </c>
    </row>
    <row r="112" spans="1:7" x14ac:dyDescent="0.25">
      <c r="A112" s="1606"/>
      <c r="B112" s="1620"/>
      <c r="C112" s="1607"/>
      <c r="D112" s="1797"/>
      <c r="E112" s="1493">
        <f t="shared" si="13"/>
        <v>0</v>
      </c>
      <c r="F112" s="1885">
        <f t="shared" si="6"/>
        <v>0</v>
      </c>
      <c r="G112" s="1746">
        <f t="shared" si="14"/>
        <v>0</v>
      </c>
    </row>
    <row r="113" spans="1:7" x14ac:dyDescent="0.25">
      <c r="A113" s="1606"/>
      <c r="B113" s="1620"/>
      <c r="C113" s="1607"/>
      <c r="D113" s="1797"/>
      <c r="E113" s="1493">
        <f t="shared" ref="E113:E125" si="15">IF(D113&lt;=25000,D113,IF(D113&gt;25000,25000,0))</f>
        <v>0</v>
      </c>
      <c r="F113" s="1885">
        <f t="shared" si="6"/>
        <v>0</v>
      </c>
      <c r="G113" s="1746">
        <f t="shared" ref="G113:G125" si="16">IF(F113=0,0,D113-F113)</f>
        <v>0</v>
      </c>
    </row>
    <row r="114" spans="1:7" x14ac:dyDescent="0.25">
      <c r="A114" s="1606"/>
      <c r="B114" s="1620"/>
      <c r="C114" s="1607"/>
      <c r="D114" s="1797"/>
      <c r="E114" s="1493">
        <f t="shared" si="15"/>
        <v>0</v>
      </c>
      <c r="F114" s="1885">
        <f t="shared" si="6"/>
        <v>0</v>
      </c>
      <c r="G114" s="1746">
        <f t="shared" si="16"/>
        <v>0</v>
      </c>
    </row>
    <row r="115" spans="1:7" x14ac:dyDescent="0.25">
      <c r="A115" s="1606"/>
      <c r="B115" s="1620"/>
      <c r="C115" s="1607"/>
      <c r="D115" s="1797"/>
      <c r="E115" s="1493">
        <f t="shared" si="15"/>
        <v>0</v>
      </c>
      <c r="F115" s="1885">
        <f t="shared" si="6"/>
        <v>0</v>
      </c>
      <c r="G115" s="1746">
        <f t="shared" si="16"/>
        <v>0</v>
      </c>
    </row>
    <row r="116" spans="1:7" x14ac:dyDescent="0.25">
      <c r="A116" s="1606"/>
      <c r="B116" s="1620"/>
      <c r="C116" s="1607"/>
      <c r="D116" s="1797"/>
      <c r="E116" s="1493">
        <f t="shared" si="15"/>
        <v>0</v>
      </c>
      <c r="F116" s="1885">
        <f t="shared" si="6"/>
        <v>0</v>
      </c>
      <c r="G116" s="1746">
        <f t="shared" si="16"/>
        <v>0</v>
      </c>
    </row>
    <row r="117" spans="1:7" x14ac:dyDescent="0.25">
      <c r="A117" s="1606"/>
      <c r="B117" s="1620"/>
      <c r="C117" s="1607"/>
      <c r="D117" s="1797"/>
      <c r="E117" s="1493">
        <f t="shared" si="15"/>
        <v>0</v>
      </c>
      <c r="F117" s="1885">
        <f t="shared" si="6"/>
        <v>0</v>
      </c>
      <c r="G117" s="1746">
        <f t="shared" si="16"/>
        <v>0</v>
      </c>
    </row>
    <row r="118" spans="1:7" x14ac:dyDescent="0.25">
      <c r="A118" s="1606"/>
      <c r="B118" s="1620"/>
      <c r="C118" s="1607"/>
      <c r="D118" s="1797"/>
      <c r="E118" s="1493">
        <f t="shared" si="15"/>
        <v>0</v>
      </c>
      <c r="F118" s="1885">
        <f t="shared" si="6"/>
        <v>0</v>
      </c>
      <c r="G118" s="1746">
        <f t="shared" si="16"/>
        <v>0</v>
      </c>
    </row>
    <row r="119" spans="1:7" x14ac:dyDescent="0.25">
      <c r="A119" s="1606"/>
      <c r="B119" s="1620"/>
      <c r="C119" s="1607"/>
      <c r="D119" s="1797"/>
      <c r="E119" s="1493">
        <f t="shared" si="15"/>
        <v>0</v>
      </c>
      <c r="F119" s="1885">
        <f t="shared" si="6"/>
        <v>0</v>
      </c>
      <c r="G119" s="1746">
        <f t="shared" si="16"/>
        <v>0</v>
      </c>
    </row>
    <row r="120" spans="1:7" x14ac:dyDescent="0.25">
      <c r="A120" s="1606"/>
      <c r="B120" s="1620"/>
      <c r="C120" s="1607"/>
      <c r="D120" s="1797"/>
      <c r="E120" s="1493">
        <f t="shared" si="15"/>
        <v>0</v>
      </c>
      <c r="F120" s="1885">
        <f t="shared" si="6"/>
        <v>0</v>
      </c>
      <c r="G120" s="1746">
        <f t="shared" si="16"/>
        <v>0</v>
      </c>
    </row>
    <row r="121" spans="1:7" x14ac:dyDescent="0.25">
      <c r="A121" s="1606"/>
      <c r="B121" s="1620"/>
      <c r="C121" s="1607"/>
      <c r="D121" s="1797"/>
      <c r="E121" s="1493">
        <f t="shared" si="15"/>
        <v>0</v>
      </c>
      <c r="F121" s="1885">
        <f t="shared" si="6"/>
        <v>0</v>
      </c>
      <c r="G121" s="1746">
        <f t="shared" si="16"/>
        <v>0</v>
      </c>
    </row>
    <row r="122" spans="1:7" x14ac:dyDescent="0.25">
      <c r="A122" s="1606"/>
      <c r="B122" s="1620"/>
      <c r="C122" s="1607"/>
      <c r="D122" s="1797"/>
      <c r="E122" s="1493">
        <f t="shared" si="15"/>
        <v>0</v>
      </c>
      <c r="F122" s="1885">
        <f t="shared" si="6"/>
        <v>0</v>
      </c>
      <c r="G122" s="1746">
        <f t="shared" si="16"/>
        <v>0</v>
      </c>
    </row>
    <row r="123" spans="1:7" x14ac:dyDescent="0.25">
      <c r="A123" s="1606"/>
      <c r="B123" s="1620"/>
      <c r="C123" s="1607"/>
      <c r="D123" s="1797"/>
      <c r="E123" s="1493">
        <f t="shared" si="15"/>
        <v>0</v>
      </c>
      <c r="F123" s="1885">
        <f t="shared" si="6"/>
        <v>0</v>
      </c>
      <c r="G123" s="1746">
        <f t="shared" si="16"/>
        <v>0</v>
      </c>
    </row>
    <row r="124" spans="1:7" x14ac:dyDescent="0.25">
      <c r="A124" s="1606"/>
      <c r="B124" s="1620"/>
      <c r="C124" s="1607"/>
      <c r="D124" s="1797"/>
      <c r="E124" s="1493">
        <f t="shared" si="15"/>
        <v>0</v>
      </c>
      <c r="F124" s="1885">
        <f t="shared" si="6"/>
        <v>0</v>
      </c>
      <c r="G124" s="1746">
        <f t="shared" si="16"/>
        <v>0</v>
      </c>
    </row>
    <row r="125" spans="1:7" x14ac:dyDescent="0.25">
      <c r="A125" s="1606"/>
      <c r="B125" s="1620"/>
      <c r="C125" s="1607"/>
      <c r="D125" s="1797"/>
      <c r="E125" s="1493">
        <f t="shared" si="15"/>
        <v>0</v>
      </c>
      <c r="F125" s="1885">
        <f t="shared" si="6"/>
        <v>0</v>
      </c>
      <c r="G125" s="1746">
        <f t="shared" si="16"/>
        <v>0</v>
      </c>
    </row>
    <row r="126" spans="1:7" x14ac:dyDescent="0.25">
      <c r="A126" s="1606"/>
      <c r="B126" s="1620"/>
      <c r="C126" s="1607"/>
      <c r="D126" s="1797"/>
      <c r="E126" s="1493">
        <f t="shared" ref="E126:E134" si="17">IF(D126&lt;=25000,D126,IF(D126&gt;25000,25000,0))</f>
        <v>0</v>
      </c>
      <c r="F126" s="1885">
        <f t="shared" si="6"/>
        <v>0</v>
      </c>
      <c r="G126" s="1746">
        <f t="shared" ref="G126:G134" si="18">IF(F126=0,0,D126-F126)</f>
        <v>0</v>
      </c>
    </row>
    <row r="127" spans="1:7" x14ac:dyDescent="0.25">
      <c r="A127" s="1606"/>
      <c r="B127" s="1620"/>
      <c r="C127" s="1607"/>
      <c r="D127" s="1797"/>
      <c r="E127" s="1493">
        <f t="shared" si="17"/>
        <v>0</v>
      </c>
      <c r="F127" s="1885">
        <f t="shared" si="6"/>
        <v>0</v>
      </c>
      <c r="G127" s="1746">
        <f t="shared" si="18"/>
        <v>0</v>
      </c>
    </row>
    <row r="128" spans="1:7" x14ac:dyDescent="0.25">
      <c r="A128" s="1606"/>
      <c r="B128" s="1620"/>
      <c r="C128" s="1607"/>
      <c r="D128" s="1797"/>
      <c r="E128" s="1493">
        <f t="shared" si="17"/>
        <v>0</v>
      </c>
      <c r="F128" s="1885">
        <f t="shared" si="6"/>
        <v>0</v>
      </c>
      <c r="G128" s="1746">
        <f t="shared" si="18"/>
        <v>0</v>
      </c>
    </row>
    <row r="129" spans="1:7" x14ac:dyDescent="0.25">
      <c r="A129" s="1606"/>
      <c r="B129" s="1620"/>
      <c r="C129" s="1607"/>
      <c r="D129" s="1797"/>
      <c r="E129" s="1493">
        <f t="shared" si="17"/>
        <v>0</v>
      </c>
      <c r="F129" s="1885">
        <f t="shared" si="6"/>
        <v>0</v>
      </c>
      <c r="G129" s="1746">
        <f t="shared" si="18"/>
        <v>0</v>
      </c>
    </row>
    <row r="130" spans="1:7" x14ac:dyDescent="0.25">
      <c r="A130" s="1606"/>
      <c r="B130" s="1620"/>
      <c r="C130" s="1607"/>
      <c r="D130" s="1797"/>
      <c r="E130" s="1493">
        <f t="shared" si="17"/>
        <v>0</v>
      </c>
      <c r="F130" s="1885">
        <f t="shared" si="6"/>
        <v>0</v>
      </c>
      <c r="G130" s="1746">
        <f t="shared" si="18"/>
        <v>0</v>
      </c>
    </row>
    <row r="131" spans="1:7" x14ac:dyDescent="0.25">
      <c r="A131" s="1606"/>
      <c r="B131" s="1790"/>
      <c r="C131" s="1607"/>
      <c r="D131" s="1797"/>
      <c r="E131" s="1493">
        <f t="shared" si="17"/>
        <v>0</v>
      </c>
      <c r="F131" s="1885">
        <f t="shared" si="6"/>
        <v>0</v>
      </c>
      <c r="G131" s="1746">
        <f t="shared" si="18"/>
        <v>0</v>
      </c>
    </row>
    <row r="132" spans="1:7" x14ac:dyDescent="0.25">
      <c r="A132" s="1606"/>
      <c r="B132" s="1790"/>
      <c r="C132" s="1607"/>
      <c r="D132" s="1797"/>
      <c r="E132" s="1493">
        <f t="shared" si="17"/>
        <v>0</v>
      </c>
      <c r="F132" s="1885">
        <f t="shared" si="6"/>
        <v>0</v>
      </c>
      <c r="G132" s="1746">
        <f t="shared" si="18"/>
        <v>0</v>
      </c>
    </row>
    <row r="133" spans="1:7" x14ac:dyDescent="0.25">
      <c r="A133" s="1606"/>
      <c r="B133" s="1620"/>
      <c r="C133" s="1607"/>
      <c r="D133" s="1797"/>
      <c r="E133" s="1493">
        <f t="shared" si="17"/>
        <v>0</v>
      </c>
      <c r="F133" s="1885">
        <f t="shared" si="6"/>
        <v>0</v>
      </c>
      <c r="G133" s="1746">
        <f t="shared" si="18"/>
        <v>0</v>
      </c>
    </row>
    <row r="134" spans="1:7" x14ac:dyDescent="0.25">
      <c r="A134" s="1606"/>
      <c r="B134" s="1620"/>
      <c r="C134" s="1607"/>
      <c r="D134" s="1797"/>
      <c r="E134" s="1493">
        <f t="shared" si="17"/>
        <v>0</v>
      </c>
      <c r="F134" s="1885">
        <f t="shared" si="6"/>
        <v>0</v>
      </c>
      <c r="G134" s="1746">
        <f t="shared" si="18"/>
        <v>0</v>
      </c>
    </row>
    <row r="135" spans="1:7" x14ac:dyDescent="0.25">
      <c r="A135" s="1606"/>
      <c r="B135" s="1620"/>
      <c r="C135" s="1607"/>
      <c r="D135" s="1797"/>
      <c r="E135" s="1493">
        <f t="shared" ref="E135:E139" si="19">IF(D135&lt;=25000,D135,IF(D135&gt;25000,25000,0))</f>
        <v>0</v>
      </c>
      <c r="F135" s="1885">
        <f t="shared" si="6"/>
        <v>0</v>
      </c>
      <c r="G135" s="1746">
        <f t="shared" ref="G135:G139" si="20">IF(F135=0,0,D135-F135)</f>
        <v>0</v>
      </c>
    </row>
    <row r="136" spans="1:7" x14ac:dyDescent="0.25">
      <c r="A136" s="1606"/>
      <c r="B136" s="1620"/>
      <c r="C136" s="1607"/>
      <c r="D136" s="1797"/>
      <c r="E136" s="1493">
        <f t="shared" si="19"/>
        <v>0</v>
      </c>
      <c r="F136" s="1885">
        <f t="shared" si="6"/>
        <v>0</v>
      </c>
      <c r="G136" s="1746">
        <f t="shared" si="20"/>
        <v>0</v>
      </c>
    </row>
    <row r="137" spans="1:7" x14ac:dyDescent="0.25">
      <c r="A137" s="1606"/>
      <c r="B137" s="1620"/>
      <c r="C137" s="1607"/>
      <c r="D137" s="1797"/>
      <c r="E137" s="1493">
        <f t="shared" si="19"/>
        <v>0</v>
      </c>
      <c r="F137" s="1885">
        <f t="shared" si="6"/>
        <v>0</v>
      </c>
      <c r="G137" s="1746">
        <f t="shared" si="20"/>
        <v>0</v>
      </c>
    </row>
    <row r="138" spans="1:7" x14ac:dyDescent="0.25">
      <c r="A138" s="1606"/>
      <c r="B138" s="1620"/>
      <c r="C138" s="1607"/>
      <c r="D138" s="1797"/>
      <c r="E138" s="1493">
        <f t="shared" si="19"/>
        <v>0</v>
      </c>
      <c r="F138" s="1885">
        <f t="shared" si="6"/>
        <v>0</v>
      </c>
      <c r="G138" s="1746">
        <f t="shared" si="20"/>
        <v>0</v>
      </c>
    </row>
    <row r="139" spans="1:7" x14ac:dyDescent="0.25">
      <c r="A139" s="1606"/>
      <c r="B139" s="1620"/>
      <c r="C139" s="1607"/>
      <c r="D139" s="1797"/>
      <c r="E139" s="1493">
        <f t="shared" si="19"/>
        <v>0</v>
      </c>
      <c r="F139" s="1885">
        <f t="shared" si="6"/>
        <v>0</v>
      </c>
      <c r="G139" s="1746">
        <f t="shared" si="20"/>
        <v>0</v>
      </c>
    </row>
    <row r="140" spans="1:7" x14ac:dyDescent="0.25">
      <c r="A140" s="1606"/>
      <c r="B140" s="1619"/>
      <c r="C140" s="1607"/>
      <c r="D140" s="1797"/>
      <c r="E140" s="1493">
        <f t="shared" si="2"/>
        <v>0</v>
      </c>
      <c r="F140" s="1885">
        <f t="shared" si="6"/>
        <v>0</v>
      </c>
      <c r="G140" s="1746">
        <f t="shared" si="3"/>
        <v>0</v>
      </c>
    </row>
    <row r="141" spans="1:7" x14ac:dyDescent="0.25">
      <c r="A141" s="1749" t="s">
        <v>156</v>
      </c>
      <c r="B141" s="1750"/>
      <c r="C141" s="1751"/>
      <c r="D141" s="1747">
        <f>SUM(D17:D140)</f>
        <v>4885041</v>
      </c>
      <c r="E141" s="1494">
        <f t="shared" si="0"/>
        <v>25000</v>
      </c>
      <c r="F141" s="1886">
        <f>SUM(F17:F140)</f>
        <v>500000</v>
      </c>
      <c r="G141" s="1748">
        <f>SUM(G17:G140)</f>
        <v>4385041</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6"/>
  <sheetViews>
    <sheetView showGridLines="0" defaultGridColor="0" topLeftCell="A16"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87" t="s">
        <v>1114</v>
      </c>
      <c r="B1" s="1588"/>
      <c r="C1" s="1589"/>
    </row>
    <row r="2" spans="1:9" x14ac:dyDescent="0.2">
      <c r="A2" s="925" t="s">
        <v>1115</v>
      </c>
      <c r="B2" s="926"/>
      <c r="C2" s="926"/>
      <c r="D2" s="926"/>
      <c r="E2" s="927"/>
      <c r="F2" s="927"/>
      <c r="G2" s="928"/>
    </row>
    <row r="3" spans="1:9" ht="12" customHeight="1" x14ac:dyDescent="0.2">
      <c r="A3" s="929" t="s">
        <v>1343</v>
      </c>
      <c r="B3" s="930"/>
      <c r="C3" s="930"/>
      <c r="D3" s="930"/>
      <c r="E3" s="931"/>
      <c r="F3" s="931"/>
      <c r="G3" s="932"/>
    </row>
    <row r="4" spans="1:9" x14ac:dyDescent="0.2">
      <c r="A4" s="933" t="s">
        <v>754</v>
      </c>
      <c r="B4" s="934"/>
      <c r="C4" s="934"/>
      <c r="D4" s="934"/>
      <c r="E4" s="935"/>
      <c r="F4" s="936"/>
      <c r="G4" s="937"/>
      <c r="H4" s="252"/>
      <c r="I4" s="252"/>
    </row>
    <row r="5" spans="1:9" s="343" customFormat="1" ht="57" customHeight="1" x14ac:dyDescent="0.2">
      <c r="A5" s="2399" t="s">
        <v>1666</v>
      </c>
      <c r="B5" s="2400"/>
      <c r="C5" s="2400"/>
      <c r="D5" s="2400"/>
      <c r="E5" s="2400"/>
      <c r="F5" s="2400"/>
      <c r="G5" s="2401"/>
      <c r="H5" s="252"/>
      <c r="I5" s="586"/>
    </row>
    <row r="6" spans="1:9" s="643" customFormat="1" x14ac:dyDescent="0.2">
      <c r="A6" s="1590" t="s">
        <v>205</v>
      </c>
      <c r="B6" s="939"/>
      <c r="C6" s="939"/>
      <c r="D6" s="940"/>
      <c r="E6" s="940"/>
      <c r="F6" s="941"/>
      <c r="G6" s="942"/>
      <c r="H6" s="162"/>
      <c r="I6" s="162"/>
    </row>
    <row r="7" spans="1:9" s="643" customFormat="1" ht="12" customHeight="1" x14ac:dyDescent="0.2">
      <c r="A7" s="943" t="s">
        <v>907</v>
      </c>
      <c r="B7" s="944"/>
      <c r="C7" s="944"/>
      <c r="D7" s="945"/>
      <c r="E7" s="946"/>
      <c r="F7" s="947"/>
      <c r="G7" s="948"/>
      <c r="H7" s="162"/>
      <c r="I7" s="162"/>
    </row>
    <row r="8" spans="1:9" s="643" customFormat="1" ht="12" customHeight="1" x14ac:dyDescent="0.2">
      <c r="A8" s="943" t="s">
        <v>129</v>
      </c>
      <c r="B8" s="944"/>
      <c r="C8" s="944"/>
      <c r="D8" s="945"/>
      <c r="E8" s="946"/>
      <c r="F8" s="947"/>
      <c r="G8" s="948"/>
      <c r="H8" s="162"/>
      <c r="I8" s="162"/>
    </row>
    <row r="9" spans="1:9" s="643" customFormat="1" ht="12" customHeight="1" x14ac:dyDescent="0.2">
      <c r="A9" s="943" t="s">
        <v>130</v>
      </c>
      <c r="B9" s="944"/>
      <c r="C9" s="944"/>
      <c r="D9" s="945"/>
      <c r="E9" s="946"/>
      <c r="F9" s="947"/>
      <c r="G9" s="948"/>
      <c r="H9" s="162"/>
      <c r="I9" s="162"/>
    </row>
    <row r="10" spans="1:9" s="643" customFormat="1" ht="12" customHeight="1" x14ac:dyDescent="0.2">
      <c r="A10" s="943" t="s">
        <v>1907</v>
      </c>
      <c r="B10" s="944"/>
      <c r="C10" s="949"/>
      <c r="D10" s="945"/>
      <c r="E10" s="946">
        <v>535277</v>
      </c>
      <c r="F10" s="947"/>
      <c r="G10" s="948"/>
      <c r="H10" s="162"/>
      <c r="I10" s="162"/>
    </row>
    <row r="11" spans="1:9" s="643" customFormat="1" ht="22.5" customHeight="1" x14ac:dyDescent="0.2">
      <c r="A11" s="2404" t="s">
        <v>1951</v>
      </c>
      <c r="B11" s="2405"/>
      <c r="C11" s="2405"/>
      <c r="D11" s="2406"/>
      <c r="E11" s="950">
        <v>94491</v>
      </c>
      <c r="F11" s="947"/>
      <c r="G11" s="951"/>
      <c r="H11" s="162"/>
      <c r="I11" s="162"/>
    </row>
    <row r="12" spans="1:9" s="643" customFormat="1" ht="12" customHeight="1" x14ac:dyDescent="0.2">
      <c r="A12" s="943" t="s">
        <v>131</v>
      </c>
      <c r="B12" s="944"/>
      <c r="C12" s="944"/>
      <c r="D12" s="945"/>
      <c r="E12" s="946"/>
      <c r="F12" s="947"/>
      <c r="G12" s="948"/>
      <c r="H12" s="162"/>
      <c r="I12" s="162"/>
    </row>
    <row r="13" spans="1:9" s="643" customFormat="1" ht="12" customHeight="1" x14ac:dyDescent="0.2">
      <c r="A13" s="943" t="s">
        <v>203</v>
      </c>
      <c r="B13" s="944"/>
      <c r="C13" s="944"/>
      <c r="D13" s="945"/>
      <c r="E13" s="946"/>
      <c r="F13" s="947"/>
      <c r="G13" s="948"/>
      <c r="H13" s="162"/>
      <c r="I13" s="162"/>
    </row>
    <row r="14" spans="1:9" s="643" customFormat="1" ht="12" customHeight="1" x14ac:dyDescent="0.2">
      <c r="A14" s="943" t="s">
        <v>204</v>
      </c>
      <c r="B14" s="944"/>
      <c r="C14" s="944"/>
      <c r="D14" s="945"/>
      <c r="E14" s="946"/>
      <c r="F14" s="952"/>
      <c r="G14" s="953"/>
      <c r="H14" s="162"/>
      <c r="I14" s="162"/>
    </row>
    <row r="15" spans="1:9" s="643" customFormat="1" ht="12" customHeight="1" x14ac:dyDescent="0.2">
      <c r="A15" s="938" t="s">
        <v>370</v>
      </c>
      <c r="B15" s="940"/>
      <c r="C15" s="940"/>
      <c r="D15" s="940"/>
      <c r="E15" s="940"/>
      <c r="F15" s="940"/>
      <c r="G15" s="954"/>
      <c r="H15" s="162"/>
      <c r="I15" s="162"/>
    </row>
    <row r="16" spans="1:9" s="643" customFormat="1" x14ac:dyDescent="0.2">
      <c r="A16" s="955" t="s">
        <v>1363</v>
      </c>
      <c r="B16" s="956"/>
      <c r="C16" s="957"/>
      <c r="D16" s="936"/>
      <c r="E16" s="931"/>
      <c r="F16" s="931"/>
      <c r="G16" s="932"/>
      <c r="H16" s="162"/>
      <c r="I16" s="162"/>
    </row>
    <row r="17" spans="1:9" s="643" customFormat="1" ht="12" customHeight="1" x14ac:dyDescent="0.2">
      <c r="A17" s="958"/>
      <c r="B17" s="959"/>
      <c r="C17" s="329"/>
      <c r="D17" s="1591" t="s">
        <v>531</v>
      </c>
      <c r="E17" s="1592"/>
      <c r="F17" s="1591" t="s">
        <v>432</v>
      </c>
      <c r="G17" s="1593"/>
      <c r="H17" s="162"/>
      <c r="I17" s="162"/>
    </row>
    <row r="18" spans="1:9" s="259" customFormat="1" ht="11.25" x14ac:dyDescent="0.2">
      <c r="A18" s="961"/>
      <c r="C18" s="962" t="s">
        <v>433</v>
      </c>
      <c r="D18" s="1594" t="s">
        <v>434</v>
      </c>
      <c r="E18" s="1594" t="s">
        <v>53</v>
      </c>
      <c r="F18" s="1594" t="s">
        <v>434</v>
      </c>
      <c r="G18" s="1594" t="s">
        <v>53</v>
      </c>
      <c r="H18" s="178"/>
      <c r="I18" s="178"/>
    </row>
    <row r="19" spans="1:9" s="643" customFormat="1" ht="12" customHeight="1" x14ac:dyDescent="0.2">
      <c r="A19" s="963" t="s">
        <v>455</v>
      </c>
      <c r="B19" s="964"/>
      <c r="C19" s="965" t="s">
        <v>569</v>
      </c>
      <c r="D19" s="1752"/>
      <c r="E19" s="1753">
        <f>'Expenditures 15-22'!K33-SUM('Expenditures 15-22'!G33,'Expenditures 15-22'!I33)+'Expenditures 15-22'!D229</f>
        <v>29214396</v>
      </c>
      <c r="F19" s="1752"/>
      <c r="G19" s="1754">
        <f>'Expenditures 15-22'!K33-SUM('Expenditures 15-22'!G33,'Expenditures 15-22'!I33)+'Expenditures 15-22'!D229</f>
        <v>29214396</v>
      </c>
      <c r="H19" s="960"/>
      <c r="I19" s="162"/>
    </row>
    <row r="20" spans="1:9" s="643" customFormat="1" ht="12" customHeight="1" x14ac:dyDescent="0.2">
      <c r="A20" s="963" t="s">
        <v>54</v>
      </c>
      <c r="B20" s="964"/>
      <c r="C20" s="966"/>
      <c r="D20" s="1755"/>
      <c r="E20" s="1755"/>
      <c r="F20" s="1755"/>
      <c r="G20" s="1756"/>
      <c r="H20" s="960"/>
      <c r="I20" s="162"/>
    </row>
    <row r="21" spans="1:9" s="643" customFormat="1" ht="12" customHeight="1" x14ac:dyDescent="0.2">
      <c r="A21" s="967" t="s">
        <v>400</v>
      </c>
      <c r="B21" s="968"/>
      <c r="C21" s="966">
        <v>2100</v>
      </c>
      <c r="D21" s="1755"/>
      <c r="E21" s="1757">
        <f>'Expenditures 15-22'!K42-SUM('Expenditures 15-22'!G42,'Expenditures 15-22'!I42)+'Expenditures 15-22'!K120-SUM('Expenditures 15-22'!G120,'Expenditures 15-22'!I120)+'Expenditures 15-22'!K180-SUM('Expenditures 15-22'!G180,'Expenditures 15-22'!I180)+'Expenditures 15-22'!D238</f>
        <v>4952700</v>
      </c>
      <c r="F21" s="1755"/>
      <c r="G21" s="1758">
        <f>'Expenditures 15-22'!K42-SUM('Expenditures 15-22'!G42,'Expenditures 15-22'!I42)+'Expenditures 15-22'!K120-SUM('Expenditures 15-22'!G120,'Expenditures 15-22'!I120)+'Expenditures 15-22'!K180-SUM('Expenditures 15-22'!G180,'Expenditures 15-22'!I180)+'Expenditures 15-22'!D238</f>
        <v>4952700</v>
      </c>
      <c r="H21" s="960"/>
      <c r="I21" s="162"/>
    </row>
    <row r="22" spans="1:9" s="643" customFormat="1" ht="12" customHeight="1" x14ac:dyDescent="0.2">
      <c r="A22" s="967" t="s">
        <v>563</v>
      </c>
      <c r="B22" s="968"/>
      <c r="C22" s="966">
        <v>2200</v>
      </c>
      <c r="D22" s="1755"/>
      <c r="E22" s="1757">
        <f>'Expenditures 15-22'!K47-SUM('Expenditures 15-22'!G47,'Expenditures 15-22'!I47)+'Expenditures 15-22'!D243</f>
        <v>1095570</v>
      </c>
      <c r="F22" s="1755"/>
      <c r="G22" s="1758">
        <f>'Expenditures 15-22'!K47-SUM('Expenditures 15-22'!G47,'Expenditures 15-22'!I47)+'Expenditures 15-22'!D243</f>
        <v>1095570</v>
      </c>
      <c r="H22" s="960"/>
      <c r="I22" s="162"/>
    </row>
    <row r="23" spans="1:9" s="643" customFormat="1" ht="12" customHeight="1" x14ac:dyDescent="0.2">
      <c r="A23" s="967" t="s">
        <v>564</v>
      </c>
      <c r="B23" s="968"/>
      <c r="C23" s="966">
        <v>2300</v>
      </c>
      <c r="D23" s="1755"/>
      <c r="E23" s="1757">
        <f>'Expenditures 15-22'!K53-SUM('Expenditures 15-22'!G53,'Expenditures 15-22'!I53)+'Expenditures 15-22'!D257+'Expenditures 15-22'!K330-SUM('Expenditures 15-22'!G330,'Expenditures 15-22'!I330)</f>
        <v>939296</v>
      </c>
      <c r="F23" s="1755"/>
      <c r="G23" s="1757">
        <f>'Expenditures 15-22'!K53-SUM('Expenditures 15-22'!G53,'Expenditures 15-22'!I53)+'Expenditures 15-22'!D257+'Expenditures 15-22'!K330-SUM('Expenditures 15-22'!G330,'Expenditures 15-22'!I330)</f>
        <v>939296</v>
      </c>
      <c r="H23" s="960"/>
      <c r="I23" s="162"/>
    </row>
    <row r="24" spans="1:9" s="643" customFormat="1" ht="12" customHeight="1" x14ac:dyDescent="0.2">
      <c r="A24" s="967" t="s">
        <v>565</v>
      </c>
      <c r="B24" s="968"/>
      <c r="C24" s="966">
        <v>2400</v>
      </c>
      <c r="D24" s="1755"/>
      <c r="E24" s="1757">
        <f>'Expenditures 15-22'!K57-SUM('Expenditures 15-22'!G57,'Expenditures 15-22'!I57)+'Expenditures 15-22'!D261</f>
        <v>2685574</v>
      </c>
      <c r="F24" s="1755"/>
      <c r="G24" s="1758">
        <f>'Expenditures 15-22'!K57-SUM('Expenditures 15-22'!G57,'Expenditures 15-22'!I57)+'Expenditures 15-22'!D261</f>
        <v>2685574</v>
      </c>
      <c r="H24" s="960"/>
      <c r="I24" s="162"/>
    </row>
    <row r="25" spans="1:9" s="643" customFormat="1" ht="12" customHeight="1" x14ac:dyDescent="0.2">
      <c r="A25" s="963" t="s">
        <v>566</v>
      </c>
      <c r="B25" s="969"/>
      <c r="C25" s="966"/>
      <c r="D25" s="1755"/>
      <c r="E25" s="1757"/>
      <c r="F25" s="1755"/>
      <c r="G25" s="1758"/>
      <c r="H25" s="960"/>
      <c r="I25" s="162"/>
    </row>
    <row r="26" spans="1:9" s="643" customFormat="1" ht="12" customHeight="1" x14ac:dyDescent="0.2">
      <c r="A26" s="967" t="s">
        <v>514</v>
      </c>
      <c r="B26" s="970"/>
      <c r="C26" s="966">
        <v>2510</v>
      </c>
      <c r="D26" s="1757">
        <f>'Expenditures 15-22'!K59-SUM('Expenditures 15-22'!G59,'Expenditures 15-22'!I59)+'Expenditures 15-22'!D263-E7</f>
        <v>216654</v>
      </c>
      <c r="E26" s="1757">
        <f>'Expenditures 15-22'!K122-SUM('Expenditures 15-22'!G122,'Expenditures 15-22'!I122)+E7</f>
        <v>2762</v>
      </c>
      <c r="F26" s="1757">
        <f>'Expenditures 15-22'!K59-SUM('Expenditures 15-22'!G59,'Expenditures 15-22'!I59)+'Expenditures 15-22'!D263-E7</f>
        <v>216654</v>
      </c>
      <c r="G26" s="1758">
        <f>'Expenditures 15-22'!K122-SUM('Expenditures 15-22'!G122,'Expenditures 15-22'!I122)+E7</f>
        <v>2762</v>
      </c>
      <c r="H26" s="960"/>
      <c r="I26" s="162"/>
    </row>
    <row r="27" spans="1:9" s="643" customFormat="1" ht="12" customHeight="1" x14ac:dyDescent="0.2">
      <c r="A27" s="967" t="s">
        <v>462</v>
      </c>
      <c r="B27" s="970"/>
      <c r="C27" s="966">
        <v>2520</v>
      </c>
      <c r="D27" s="1757">
        <f>'Expenditures 15-22'!K60-SUM('Expenditures 15-22'!G60,'Expenditures 15-22'!I60)+'Expenditures 15-22'!D264-E8</f>
        <v>874522</v>
      </c>
      <c r="E27" s="1757">
        <f>E8</f>
        <v>0</v>
      </c>
      <c r="F27" s="1757">
        <f>'Expenditures 15-22'!K60-SUM('Expenditures 15-22'!G60,'Expenditures 15-22'!I60)+'Expenditures 15-22'!D264-E8</f>
        <v>874522</v>
      </c>
      <c r="G27" s="1758">
        <f>E8</f>
        <v>0</v>
      </c>
      <c r="H27" s="960"/>
      <c r="I27" s="162"/>
    </row>
    <row r="28" spans="1:9" s="643" customFormat="1" ht="12" customHeight="1" x14ac:dyDescent="0.2">
      <c r="A28" s="967" t="s">
        <v>515</v>
      </c>
      <c r="B28" s="970"/>
      <c r="C28" s="966">
        <v>2540</v>
      </c>
      <c r="D28" s="1759"/>
      <c r="E28" s="1757">
        <f>'Expenditures 15-22'!K61-SUM('Expenditures 15-22'!G61,'Expenditures 15-22'!I61)+'Expenditures 15-22'!K124-SUM('Expenditures 15-22'!G124,'Expenditures 15-22'!I124)+'Expenditures 15-22'!D266</f>
        <v>3502040</v>
      </c>
      <c r="F28" s="1759">
        <f>'Expenditures 15-22'!K61-SUM('Expenditures 15-22'!G61,'Expenditures 15-22'!I61)+'Expenditures 15-22'!K124-SUM('Expenditures 15-22'!G124,'Expenditures 15-22'!I124)+'Expenditures 15-22'!D266-E9</f>
        <v>3502040</v>
      </c>
      <c r="G28" s="1758">
        <f>E9</f>
        <v>0</v>
      </c>
      <c r="H28" s="960"/>
      <c r="I28" s="162"/>
    </row>
    <row r="29" spans="1:9" ht="12" customHeight="1" x14ac:dyDescent="0.2">
      <c r="A29" s="967" t="s">
        <v>516</v>
      </c>
      <c r="B29" s="970"/>
      <c r="C29" s="966">
        <v>2550</v>
      </c>
      <c r="D29" s="1755"/>
      <c r="E29" s="1757">
        <f>'Expenditures 15-22'!K62-SUM('Expenditures 15-22'!G62,'Expenditures 15-22'!I62)+'Expenditures 15-22'!K125-SUM('Expenditures 15-22'!G125,'Expenditures 15-22'!I125)+'Expenditures 15-22'!K182-SUM('Expenditures 15-22'!G182,'Expenditures 15-22'!I182)+'Expenditures 15-22'!D267</f>
        <v>3564845</v>
      </c>
      <c r="F29" s="1755"/>
      <c r="G29" s="1758">
        <f>'Expenditures 15-22'!K62-SUM('Expenditures 15-22'!G62,'Expenditures 15-22'!I62)+'Expenditures 15-22'!K125-SUM('Expenditures 15-22'!G125,'Expenditures 15-22'!I125)+'Expenditures 15-22'!K182-SUM('Expenditures 15-22'!G182,'Expenditures 15-22'!I182)+'Expenditures 15-22'!D267</f>
        <v>3564845</v>
      </c>
      <c r="H29" s="958"/>
    </row>
    <row r="30" spans="1:9" ht="12" customHeight="1" x14ac:dyDescent="0.2">
      <c r="A30" s="967" t="s">
        <v>100</v>
      </c>
      <c r="B30" s="970"/>
      <c r="C30" s="966">
        <v>2560</v>
      </c>
      <c r="D30" s="1755"/>
      <c r="E30" s="1757">
        <f>'Expenditures 15-22'!K63-SUM('Expenditures 15-22'!G63,'Expenditures 15-22'!I63)+'Expenditures 15-22'!D268-E10</f>
        <v>297062</v>
      </c>
      <c r="F30" s="1755"/>
      <c r="G30" s="1757">
        <f>'Expenditures 15-22'!K63-SUM('Expenditures 15-22'!G63,'Expenditures 15-22'!I63)+'Expenditures 15-22'!D268-E10</f>
        <v>297062</v>
      </c>
    </row>
    <row r="31" spans="1:9" ht="12" customHeight="1" x14ac:dyDescent="0.2">
      <c r="A31" s="967" t="s">
        <v>101</v>
      </c>
      <c r="B31" s="970"/>
      <c r="C31" s="966">
        <v>2570</v>
      </c>
      <c r="D31" s="1757">
        <f>'Expenditures 15-22'!K64-SUM('Expenditures 15-22'!G64,'Expenditures 15-22'!I64)+'Expenditures 15-22'!D269-E12</f>
        <v>0</v>
      </c>
      <c r="E31" s="1757">
        <f>E12</f>
        <v>0</v>
      </c>
      <c r="F31" s="1757">
        <f>'Expenditures 15-22'!K64-SUM('Expenditures 15-22'!G64,'Expenditures 15-22'!I64)+'Expenditures 15-22'!D269-E12</f>
        <v>0</v>
      </c>
      <c r="G31" s="1757">
        <f>E12</f>
        <v>0</v>
      </c>
    </row>
    <row r="32" spans="1:9" ht="12" customHeight="1" x14ac:dyDescent="0.2">
      <c r="A32" s="963" t="s">
        <v>517</v>
      </c>
      <c r="B32" s="969"/>
      <c r="C32" s="966"/>
      <c r="D32" s="1755"/>
      <c r="E32" s="1755"/>
      <c r="F32" s="1755"/>
      <c r="G32" s="1755"/>
    </row>
    <row r="33" spans="1:7" ht="12" customHeight="1" x14ac:dyDescent="0.2">
      <c r="A33" s="967" t="s">
        <v>518</v>
      </c>
      <c r="B33" s="970"/>
      <c r="C33" s="966">
        <v>2610</v>
      </c>
      <c r="D33" s="1755"/>
      <c r="E33" s="1757">
        <f>'Expenditures 15-22'!K67-SUM('Expenditures 15-22'!G67,'Expenditures 15-22'!I67)+'Expenditures 15-22'!D272</f>
        <v>0</v>
      </c>
      <c r="F33" s="1755"/>
      <c r="G33" s="1757">
        <f>'Expenditures 15-22'!K67-SUM('Expenditures 15-22'!G67,'Expenditures 15-22'!I67)+'Expenditures 15-22'!D272</f>
        <v>0</v>
      </c>
    </row>
    <row r="34" spans="1:7" ht="12" customHeight="1" x14ac:dyDescent="0.2">
      <c r="A34" s="967" t="s">
        <v>519</v>
      </c>
      <c r="B34" s="970"/>
      <c r="C34" s="966">
        <v>2620</v>
      </c>
      <c r="D34" s="1755"/>
      <c r="E34" s="1757">
        <f>'Expenditures 15-22'!K68-SUM('Expenditures 15-22'!G68,'Expenditures 15-22'!I68)+'Expenditures 15-22'!D273</f>
        <v>0</v>
      </c>
      <c r="F34" s="1755"/>
      <c r="G34" s="1757">
        <f>'Expenditures 15-22'!K68-SUM('Expenditures 15-22'!G68,'Expenditures 15-22'!I68)+'Expenditures 15-22'!D273</f>
        <v>0</v>
      </c>
    </row>
    <row r="35" spans="1:7" ht="12" customHeight="1" x14ac:dyDescent="0.2">
      <c r="A35" s="967" t="s">
        <v>1060</v>
      </c>
      <c r="B35" s="970"/>
      <c r="C35" s="966">
        <v>2630</v>
      </c>
      <c r="D35" s="1755"/>
      <c r="E35" s="1757">
        <f>'Expenditures 15-22'!K69-SUM('Expenditures 15-22'!G69,'Expenditures 15-22'!I69)+'Expenditures 15-22'!D274</f>
        <v>1198168</v>
      </c>
      <c r="F35" s="1755"/>
      <c r="G35" s="1757">
        <f>'Expenditures 15-22'!K69-SUM('Expenditures 15-22'!G69,'Expenditures 15-22'!I69)+'Expenditures 15-22'!D274</f>
        <v>1198168</v>
      </c>
    </row>
    <row r="36" spans="1:7" ht="12" customHeight="1" x14ac:dyDescent="0.2">
      <c r="A36" s="967" t="s">
        <v>402</v>
      </c>
      <c r="B36" s="970"/>
      <c r="C36" s="966">
        <v>2640</v>
      </c>
      <c r="D36" s="1757">
        <f>'Expenditures 15-22'!K70-SUM('Expenditures 15-22'!G70,'Expenditures 15-22'!I70)+'Expenditures 15-22'!D275-E13</f>
        <v>255445</v>
      </c>
      <c r="E36" s="1757">
        <f>E13</f>
        <v>0</v>
      </c>
      <c r="F36" s="1757">
        <f>'Expenditures 15-22'!K70-SUM('Expenditures 15-22'!G70,'Expenditures 15-22'!I70)+'Expenditures 15-22'!D275-E13</f>
        <v>255445</v>
      </c>
      <c r="G36" s="1757">
        <f>E13</f>
        <v>0</v>
      </c>
    </row>
    <row r="37" spans="1:7" ht="12" customHeight="1" x14ac:dyDescent="0.2">
      <c r="A37" s="967" t="s">
        <v>403</v>
      </c>
      <c r="B37" s="970"/>
      <c r="C37" s="966">
        <v>2660</v>
      </c>
      <c r="D37" s="1757">
        <f>'Expenditures 15-22'!K71-SUM('Expenditures 15-22'!G71,'Expenditures 15-22'!I71)+'Expenditures 15-22'!D276-E14</f>
        <v>8793</v>
      </c>
      <c r="E37" s="1757">
        <f>E14</f>
        <v>0</v>
      </c>
      <c r="F37" s="1757">
        <f>'Expenditures 15-22'!K71-SUM('Expenditures 15-22'!G71,'Expenditures 15-22'!I71)+'Expenditures 15-22'!D276-E14</f>
        <v>8793</v>
      </c>
      <c r="G37" s="1757">
        <f>E14</f>
        <v>0</v>
      </c>
    </row>
    <row r="38" spans="1:7" ht="12" customHeight="1" x14ac:dyDescent="0.2">
      <c r="A38" s="963" t="s">
        <v>520</v>
      </c>
      <c r="B38" s="964"/>
      <c r="C38" s="966">
        <v>2900</v>
      </c>
      <c r="D38" s="1755"/>
      <c r="E38" s="1757">
        <f>'Expenditures 15-22'!K73-SUM('Expenditures 15-22'!G73,'Expenditures 15-22'!I73)+'Expenditures 15-22'!K128-SUM('Expenditures 15-22'!G128,'Expenditures 15-22'!I128)+'Expenditures 15-22'!K183-SUM('Expenditures 15-22'!G183,'Expenditures 15-22'!I183)+'Expenditures 15-22'!D278</f>
        <v>8359</v>
      </c>
      <c r="F38" s="1755"/>
      <c r="G38" s="1757">
        <f>'Expenditures 15-22'!K73-SUM('Expenditures 15-22'!G73,'Expenditures 15-22'!I73)+'Expenditures 15-22'!K128-SUM('Expenditures 15-22'!G128,'Expenditures 15-22'!I128)+'Expenditures 15-22'!K183-SUM('Expenditures 15-22'!G183,'Expenditures 15-22'!I183)+'Expenditures 15-22'!D278</f>
        <v>8359</v>
      </c>
    </row>
    <row r="39" spans="1:7" ht="12" customHeight="1" x14ac:dyDescent="0.2">
      <c r="A39" s="963" t="s">
        <v>448</v>
      </c>
      <c r="B39" s="964"/>
      <c r="C39" s="966">
        <v>3000</v>
      </c>
      <c r="D39" s="1755"/>
      <c r="E39" s="1757">
        <f>'Expenditures 15-22'!K75-SUM('Expenditures 15-22'!G75,'Expenditures 15-22'!I75)+'Expenditures 15-22'!K130-SUM('Expenditures 15-22'!G130,'Expenditures 15-22'!I130)+'Expenditures 15-22'!K185-SUM('Expenditures 15-22'!G185,'Expenditures 15-22'!I185)+'Expenditures 15-22'!D280</f>
        <v>10446</v>
      </c>
      <c r="F39" s="1755"/>
      <c r="G39" s="1757">
        <f>'Expenditures 15-22'!K75-SUM('Expenditures 15-22'!G75,'Expenditures 15-22'!I75)+'Expenditures 15-22'!K130-SUM('Expenditures 15-22'!G130,'Expenditures 15-22'!I130)+'Expenditures 15-22'!K185-SUM('Expenditures 15-22'!G185,'Expenditures 15-22'!I185)+'Expenditures 15-22'!D280</f>
        <v>10446</v>
      </c>
    </row>
    <row r="40" spans="1:7" ht="12" customHeight="1" x14ac:dyDescent="0.2">
      <c r="A40" s="963" t="s">
        <v>1797</v>
      </c>
      <c r="B40" s="964"/>
      <c r="C40" s="966"/>
      <c r="D40" s="1755"/>
      <c r="E40" s="1759">
        <f>-'Contracts Paid in CY 29'!G141</f>
        <v>-4385041</v>
      </c>
      <c r="F40" s="1755"/>
      <c r="G40" s="1759">
        <f>-'Contracts Paid in CY 29'!G141</f>
        <v>-4385041</v>
      </c>
    </row>
    <row r="41" spans="1:7" ht="12" customHeight="1" x14ac:dyDescent="0.2">
      <c r="A41" s="971" t="s">
        <v>156</v>
      </c>
      <c r="B41" s="972"/>
      <c r="C41" s="973"/>
      <c r="D41" s="1759">
        <f>SUM(D19:D39)</f>
        <v>1355414</v>
      </c>
      <c r="E41" s="1759">
        <f>SUM(E19:E40)</f>
        <v>43086177</v>
      </c>
      <c r="F41" s="1759">
        <f>SUM(F19:F39)</f>
        <v>4857454</v>
      </c>
      <c r="G41" s="1759">
        <f>SUM(G19:G40)</f>
        <v>39584137</v>
      </c>
    </row>
    <row r="42" spans="1:7" x14ac:dyDescent="0.2">
      <c r="A42" s="960"/>
      <c r="B42" s="162"/>
      <c r="C42" s="974"/>
      <c r="D42" s="2402" t="s">
        <v>521</v>
      </c>
      <c r="E42" s="2403"/>
      <c r="F42" s="975" t="s">
        <v>522</v>
      </c>
      <c r="G42" s="976"/>
    </row>
    <row r="43" spans="1:7" ht="12" customHeight="1" x14ac:dyDescent="0.2">
      <c r="A43" s="960"/>
      <c r="B43" s="162"/>
      <c r="C43" s="974"/>
      <c r="D43" s="1760" t="s">
        <v>472</v>
      </c>
      <c r="E43" s="1761">
        <f>D41</f>
        <v>1355414</v>
      </c>
      <c r="F43" s="1760" t="s">
        <v>472</v>
      </c>
      <c r="G43" s="1761">
        <f>F41</f>
        <v>4857454</v>
      </c>
    </row>
    <row r="44" spans="1:7" ht="12" customHeight="1" x14ac:dyDescent="0.2">
      <c r="A44" s="960"/>
      <c r="B44" s="162"/>
      <c r="C44" s="974"/>
      <c r="D44" s="1760" t="s">
        <v>473</v>
      </c>
      <c r="E44" s="1761">
        <f>E41</f>
        <v>43086177</v>
      </c>
      <c r="F44" s="1760" t="s">
        <v>473</v>
      </c>
      <c r="G44" s="1761">
        <f>G41</f>
        <v>39584137</v>
      </c>
    </row>
    <row r="45" spans="1:7" ht="12" customHeight="1" x14ac:dyDescent="0.2">
      <c r="A45" s="960"/>
      <c r="B45" s="162"/>
      <c r="C45" s="162"/>
      <c r="D45" s="1762" t="s">
        <v>1005</v>
      </c>
      <c r="E45" s="1763">
        <f>(E43/E44)</f>
        <v>3.1458209903375736E-2</v>
      </c>
      <c r="F45" s="1762" t="s">
        <v>1005</v>
      </c>
      <c r="G45" s="1763">
        <f>(G43/G44)</f>
        <v>0.12271213592454977</v>
      </c>
    </row>
    <row r="46" spans="1:7" x14ac:dyDescent="0.2">
      <c r="A46" s="977"/>
      <c r="B46" s="978"/>
      <c r="C46" s="978"/>
      <c r="D46" s="979"/>
      <c r="E46" s="980"/>
      <c r="F46" s="979"/>
      <c r="G46" s="980"/>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L97"/>
  <sheetViews>
    <sheetView showGridLines="0" zoomScale="110" zoomScaleNormal="110" workbookViewId="0">
      <pane ySplit="4" topLeftCell="A5" activePane="bottomLeft" state="frozen"/>
      <selection activeCell="AF22" sqref="AF22"/>
      <selection pane="bottomLeft" activeCell="F22" sqref="F22"/>
    </sheetView>
  </sheetViews>
  <sheetFormatPr defaultColWidth="9.140625" defaultRowHeight="12.75" x14ac:dyDescent="0.2"/>
  <cols>
    <col min="1" max="1" width="54.5703125" style="1829" customWidth="1"/>
    <col min="2" max="2" width="4.140625" style="1829" customWidth="1"/>
    <col min="3" max="4" width="9.85546875" style="1800" customWidth="1"/>
    <col min="5" max="5" width="12.5703125" style="1830" customWidth="1"/>
    <col min="6" max="6" width="67.5703125" style="1800" customWidth="1"/>
    <col min="7" max="7" width="9.140625" style="1800" customWidth="1"/>
    <col min="8" max="8" width="5.5703125" style="1831" bestFit="1" customWidth="1"/>
    <col min="9" max="10" width="2" style="1831" bestFit="1" customWidth="1"/>
    <col min="11" max="11" width="9" style="1831" customWidth="1"/>
    <col min="12" max="16384" width="9.140625" style="1800"/>
  </cols>
  <sheetData>
    <row r="1" spans="1:10" x14ac:dyDescent="0.2">
      <c r="A1" s="2410" t="s">
        <v>1366</v>
      </c>
      <c r="B1" s="2410"/>
      <c r="C1" s="2410"/>
      <c r="D1" s="2410"/>
      <c r="E1" s="2410"/>
      <c r="F1" s="2410"/>
    </row>
    <row r="2" spans="1:10" x14ac:dyDescent="0.2">
      <c r="A2" s="1840" t="s">
        <v>1886</v>
      </c>
      <c r="B2" s="1801"/>
      <c r="C2" s="1840"/>
      <c r="D2" s="1801"/>
      <c r="E2" s="1801"/>
      <c r="F2" s="1802"/>
    </row>
    <row r="3" spans="1:10" x14ac:dyDescent="0.2">
      <c r="A3" s="1840" t="s">
        <v>1952</v>
      </c>
      <c r="B3" s="1801"/>
      <c r="C3" s="1840"/>
      <c r="D3" s="1801"/>
      <c r="E3" s="1801"/>
      <c r="F3" s="1802"/>
    </row>
    <row r="4" spans="1:10" ht="3.75" customHeight="1" x14ac:dyDescent="0.2">
      <c r="A4" s="1801"/>
      <c r="B4" s="1801"/>
      <c r="C4" s="1801"/>
      <c r="D4" s="1801"/>
      <c r="E4" s="1801"/>
      <c r="F4" s="1802"/>
    </row>
    <row r="5" spans="1:10" ht="15" x14ac:dyDescent="0.25">
      <c r="A5" s="2411" t="s">
        <v>1533</v>
      </c>
      <c r="B5" s="2412"/>
      <c r="C5" s="2413"/>
      <c r="D5" s="2413"/>
      <c r="E5" s="2413"/>
      <c r="F5" s="2413"/>
    </row>
    <row r="6" spans="1:10" ht="12" customHeight="1" x14ac:dyDescent="0.25">
      <c r="A6" s="1803"/>
      <c r="B6" s="1804"/>
      <c r="C6" s="2414" t="str">
        <f>COVER!A17</f>
        <v>Hawthorn CCSD 73</v>
      </c>
      <c r="D6" s="2414"/>
      <c r="E6" s="2414"/>
      <c r="F6" s="1805"/>
    </row>
    <row r="7" spans="1:10" ht="11.25" customHeight="1" thickBot="1" x14ac:dyDescent="0.3">
      <c r="A7" s="1803"/>
      <c r="B7" s="1804"/>
      <c r="C7" s="2415">
        <f>COVER!A13</f>
        <v>34049073004</v>
      </c>
      <c r="D7" s="2415"/>
      <c r="E7" s="2415"/>
      <c r="F7" s="1805"/>
    </row>
    <row r="8" spans="1:10" ht="25.5" customHeight="1" thickBot="1" x14ac:dyDescent="0.25">
      <c r="A8" s="1846" t="s">
        <v>1882</v>
      </c>
      <c r="B8" s="1806"/>
      <c r="C8" s="1842" t="s">
        <v>1668</v>
      </c>
      <c r="D8" s="1841" t="s">
        <v>1669</v>
      </c>
      <c r="E8" s="1843" t="s">
        <v>1367</v>
      </c>
      <c r="F8" s="1841" t="s">
        <v>1670</v>
      </c>
      <c r="H8" s="1807" t="b">
        <v>0</v>
      </c>
    </row>
    <row r="9" spans="1:10" ht="15.75" customHeight="1" x14ac:dyDescent="0.2">
      <c r="A9" s="1808" t="s">
        <v>1529</v>
      </c>
      <c r="B9" s="1809"/>
      <c r="C9" s="1810"/>
      <c r="D9" s="1810"/>
      <c r="E9" s="1811"/>
      <c r="F9" s="1812"/>
    </row>
    <row r="10" spans="1:10" ht="27.75" customHeight="1" x14ac:dyDescent="0.2">
      <c r="A10" s="1813" t="s">
        <v>1667</v>
      </c>
      <c r="B10" s="1814"/>
      <c r="C10" s="1815"/>
      <c r="D10" s="1815"/>
      <c r="E10" s="1844" t="s">
        <v>1368</v>
      </c>
      <c r="F10" s="1845" t="s">
        <v>1369</v>
      </c>
    </row>
    <row r="11" spans="1:10" ht="12" customHeight="1" x14ac:dyDescent="0.2">
      <c r="A11" s="1816" t="s">
        <v>1370</v>
      </c>
      <c r="B11" s="1817"/>
      <c r="C11" s="1818"/>
      <c r="D11" s="1818"/>
      <c r="E11" s="1819"/>
      <c r="F11" s="1820"/>
      <c r="H11" s="1831">
        <f>IF(C11="X",5,0)</f>
        <v>0</v>
      </c>
      <c r="I11" s="1831">
        <f>IF(D11="X",5,0)</f>
        <v>0</v>
      </c>
      <c r="J11" s="1831">
        <f>IF(E11="X",5,0)</f>
        <v>0</v>
      </c>
    </row>
    <row r="12" spans="1:10" ht="12" customHeight="1" x14ac:dyDescent="0.2">
      <c r="A12" s="1816" t="s">
        <v>1371</v>
      </c>
      <c r="B12" s="1817"/>
      <c r="C12" s="1818"/>
      <c r="D12" s="1818"/>
      <c r="E12" s="1821"/>
      <c r="F12" s="1820"/>
      <c r="H12" s="1831">
        <f t="shared" ref="H12:H33" si="0">IF(C12="X",5,0)</f>
        <v>0</v>
      </c>
      <c r="I12" s="1831">
        <f t="shared" ref="I12:I33" si="1">IF(D12="X",5,0)</f>
        <v>0</v>
      </c>
      <c r="J12" s="1831">
        <f t="shared" ref="J12:J33" si="2">IF(E12="X",5,0)</f>
        <v>0</v>
      </c>
    </row>
    <row r="13" spans="1:10" ht="12" customHeight="1" x14ac:dyDescent="0.2">
      <c r="A13" s="1816" t="s">
        <v>1372</v>
      </c>
      <c r="B13" s="1817"/>
      <c r="C13" s="1993"/>
      <c r="D13" s="1993"/>
      <c r="E13" s="1994"/>
      <c r="F13" s="1990"/>
      <c r="H13" s="1831">
        <f t="shared" si="0"/>
        <v>0</v>
      </c>
      <c r="I13" s="1831">
        <f t="shared" si="1"/>
        <v>0</v>
      </c>
      <c r="J13" s="1831">
        <f t="shared" si="2"/>
        <v>0</v>
      </c>
    </row>
    <row r="14" spans="1:10" ht="12" customHeight="1" x14ac:dyDescent="0.2">
      <c r="A14" s="1816" t="s">
        <v>1373</v>
      </c>
      <c r="B14" s="1817"/>
      <c r="C14" s="1993" t="s">
        <v>2101</v>
      </c>
      <c r="D14" s="1993" t="s">
        <v>2101</v>
      </c>
      <c r="E14" s="1994"/>
      <c r="F14" s="1990" t="s">
        <v>2158</v>
      </c>
      <c r="H14" s="1831">
        <f t="shared" si="0"/>
        <v>5</v>
      </c>
      <c r="I14" s="1831">
        <f t="shared" si="1"/>
        <v>5</v>
      </c>
      <c r="J14" s="1831">
        <f t="shared" si="2"/>
        <v>0</v>
      </c>
    </row>
    <row r="15" spans="1:10" ht="12" customHeight="1" x14ac:dyDescent="0.2">
      <c r="A15" s="1816" t="s">
        <v>1374</v>
      </c>
      <c r="B15" s="1817"/>
      <c r="C15" s="1993" t="s">
        <v>2101</v>
      </c>
      <c r="D15" s="1993" t="s">
        <v>2101</v>
      </c>
      <c r="E15" s="1994"/>
      <c r="F15" s="1990" t="s">
        <v>2159</v>
      </c>
      <c r="H15" s="1831">
        <f t="shared" si="0"/>
        <v>5</v>
      </c>
      <c r="I15" s="1831">
        <f t="shared" si="1"/>
        <v>5</v>
      </c>
      <c r="J15" s="1831">
        <f t="shared" si="2"/>
        <v>0</v>
      </c>
    </row>
    <row r="16" spans="1:10" ht="12" customHeight="1" x14ac:dyDescent="0.2">
      <c r="A16" s="1816" t="s">
        <v>1375</v>
      </c>
      <c r="B16" s="1817"/>
      <c r="C16" s="1993"/>
      <c r="D16" s="1993"/>
      <c r="E16" s="1994"/>
      <c r="F16" s="1990"/>
      <c r="H16" s="1831">
        <f t="shared" si="0"/>
        <v>0</v>
      </c>
      <c r="I16" s="1831">
        <f t="shared" si="1"/>
        <v>0</v>
      </c>
      <c r="J16" s="1831">
        <f t="shared" si="2"/>
        <v>0</v>
      </c>
    </row>
    <row r="17" spans="1:12" ht="12" customHeight="1" x14ac:dyDescent="0.2">
      <c r="A17" s="1816" t="s">
        <v>1376</v>
      </c>
      <c r="B17" s="1817"/>
      <c r="C17" s="1993"/>
      <c r="D17" s="1993"/>
      <c r="E17" s="1994"/>
      <c r="F17" s="1990"/>
      <c r="H17" s="1831">
        <f t="shared" si="0"/>
        <v>0</v>
      </c>
      <c r="I17" s="1831">
        <f t="shared" si="1"/>
        <v>0</v>
      </c>
      <c r="J17" s="1831">
        <f t="shared" si="2"/>
        <v>0</v>
      </c>
    </row>
    <row r="18" spans="1:12" ht="12" customHeight="1" x14ac:dyDescent="0.2">
      <c r="A18" s="1816" t="s">
        <v>1377</v>
      </c>
      <c r="B18" s="1817"/>
      <c r="C18" s="1993"/>
      <c r="D18" s="1993"/>
      <c r="E18" s="1994"/>
      <c r="F18" s="1990"/>
      <c r="H18" s="1831">
        <f t="shared" si="0"/>
        <v>0</v>
      </c>
      <c r="I18" s="1831">
        <f t="shared" si="1"/>
        <v>0</v>
      </c>
      <c r="J18" s="1831">
        <f t="shared" si="2"/>
        <v>0</v>
      </c>
    </row>
    <row r="19" spans="1:12" ht="12" customHeight="1" x14ac:dyDescent="0.2">
      <c r="A19" s="1816" t="s">
        <v>1514</v>
      </c>
      <c r="B19" s="1817"/>
      <c r="C19" s="1993" t="s">
        <v>2101</v>
      </c>
      <c r="D19" s="1993" t="s">
        <v>2101</v>
      </c>
      <c r="E19" s="1994"/>
      <c r="F19" s="1990" t="s">
        <v>2160</v>
      </c>
      <c r="H19" s="1831">
        <f t="shared" si="0"/>
        <v>5</v>
      </c>
      <c r="I19" s="1831">
        <f t="shared" si="1"/>
        <v>5</v>
      </c>
      <c r="J19" s="1831">
        <f t="shared" si="2"/>
        <v>0</v>
      </c>
    </row>
    <row r="20" spans="1:12" ht="12" customHeight="1" x14ac:dyDescent="0.2">
      <c r="A20" s="1816" t="s">
        <v>1515</v>
      </c>
      <c r="B20" s="1817"/>
      <c r="C20" s="1993" t="s">
        <v>2101</v>
      </c>
      <c r="D20" s="1993" t="s">
        <v>2101</v>
      </c>
      <c r="E20" s="1994"/>
      <c r="F20" s="1990" t="s">
        <v>2161</v>
      </c>
      <c r="H20" s="1831">
        <f t="shared" si="0"/>
        <v>5</v>
      </c>
      <c r="I20" s="1831">
        <f t="shared" si="1"/>
        <v>5</v>
      </c>
      <c r="J20" s="1831">
        <f t="shared" si="2"/>
        <v>0</v>
      </c>
    </row>
    <row r="21" spans="1:12" ht="12" customHeight="1" x14ac:dyDescent="0.2">
      <c r="A21" s="1816" t="s">
        <v>1516</v>
      </c>
      <c r="B21" s="1817"/>
      <c r="C21" s="1993"/>
      <c r="D21" s="1993"/>
      <c r="E21" s="1994"/>
      <c r="F21" s="1990"/>
      <c r="H21" s="1831">
        <f t="shared" si="0"/>
        <v>0</v>
      </c>
      <c r="I21" s="1831">
        <f t="shared" si="1"/>
        <v>0</v>
      </c>
      <c r="J21" s="1831">
        <f t="shared" si="2"/>
        <v>0</v>
      </c>
    </row>
    <row r="22" spans="1:12" ht="12" customHeight="1" x14ac:dyDescent="0.2">
      <c r="A22" s="1816" t="s">
        <v>1517</v>
      </c>
      <c r="B22" s="1817"/>
      <c r="C22" s="1993"/>
      <c r="D22" s="1993"/>
      <c r="E22" s="1994"/>
      <c r="F22" s="1990"/>
      <c r="H22" s="1831">
        <f t="shared" si="0"/>
        <v>0</v>
      </c>
      <c r="I22" s="1831">
        <f t="shared" si="1"/>
        <v>0</v>
      </c>
      <c r="J22" s="1831">
        <f t="shared" si="2"/>
        <v>0</v>
      </c>
    </row>
    <row r="23" spans="1:12" ht="12" customHeight="1" x14ac:dyDescent="0.2">
      <c r="A23" s="1816" t="s">
        <v>1518</v>
      </c>
      <c r="B23" s="1817"/>
      <c r="C23" s="1993"/>
      <c r="D23" s="1993"/>
      <c r="E23" s="1994"/>
      <c r="F23" s="1990"/>
      <c r="H23" s="1831">
        <f t="shared" si="0"/>
        <v>0</v>
      </c>
      <c r="I23" s="1831">
        <f t="shared" si="1"/>
        <v>0</v>
      </c>
      <c r="J23" s="1831">
        <f t="shared" si="2"/>
        <v>0</v>
      </c>
    </row>
    <row r="24" spans="1:12" ht="12" customHeight="1" x14ac:dyDescent="0.2">
      <c r="A24" s="1816" t="s">
        <v>1519</v>
      </c>
      <c r="B24" s="1817"/>
      <c r="C24" s="1993"/>
      <c r="D24" s="1993"/>
      <c r="E24" s="1994"/>
      <c r="F24" s="1990"/>
      <c r="H24" s="1831">
        <f t="shared" si="0"/>
        <v>0</v>
      </c>
      <c r="I24" s="1831">
        <f t="shared" si="1"/>
        <v>0</v>
      </c>
      <c r="J24" s="1831">
        <f t="shared" si="2"/>
        <v>0</v>
      </c>
    </row>
    <row r="25" spans="1:12" ht="12" customHeight="1" x14ac:dyDescent="0.2">
      <c r="A25" s="1816" t="s">
        <v>1520</v>
      </c>
      <c r="B25" s="1817"/>
      <c r="C25" s="1993"/>
      <c r="D25" s="1993"/>
      <c r="E25" s="1994"/>
      <c r="F25" s="1990"/>
      <c r="H25" s="1831">
        <f t="shared" si="0"/>
        <v>0</v>
      </c>
      <c r="I25" s="1831">
        <f t="shared" si="1"/>
        <v>0</v>
      </c>
      <c r="J25" s="1831">
        <f t="shared" si="2"/>
        <v>0</v>
      </c>
    </row>
    <row r="26" spans="1:12" ht="12" customHeight="1" x14ac:dyDescent="0.2">
      <c r="A26" s="1816" t="s">
        <v>1521</v>
      </c>
      <c r="B26" s="1817"/>
      <c r="C26" s="1993" t="s">
        <v>2101</v>
      </c>
      <c r="D26" s="1993" t="s">
        <v>2101</v>
      </c>
      <c r="E26" s="1994"/>
      <c r="F26" s="1990" t="s">
        <v>2162</v>
      </c>
      <c r="H26" s="1831">
        <f t="shared" si="0"/>
        <v>5</v>
      </c>
      <c r="I26" s="1831">
        <f t="shared" si="1"/>
        <v>5</v>
      </c>
      <c r="J26" s="1831">
        <f t="shared" si="2"/>
        <v>0</v>
      </c>
    </row>
    <row r="27" spans="1:12" ht="18.75" x14ac:dyDescent="0.2">
      <c r="A27" s="1816" t="s">
        <v>1522</v>
      </c>
      <c r="B27" s="1817"/>
      <c r="C27" s="1993"/>
      <c r="D27" s="1993"/>
      <c r="E27" s="1994"/>
      <c r="F27" s="1990"/>
      <c r="H27" s="1831">
        <f t="shared" si="0"/>
        <v>0</v>
      </c>
      <c r="I27" s="1831">
        <f t="shared" si="1"/>
        <v>0</v>
      </c>
      <c r="J27" s="1831">
        <f t="shared" si="2"/>
        <v>0</v>
      </c>
    </row>
    <row r="28" spans="1:12" ht="12" customHeight="1" x14ac:dyDescent="0.2">
      <c r="A28" s="1816" t="s">
        <v>1523</v>
      </c>
      <c r="B28" s="1817"/>
      <c r="C28" s="1993" t="s">
        <v>2101</v>
      </c>
      <c r="D28" s="1993" t="s">
        <v>2101</v>
      </c>
      <c r="E28" s="1994"/>
      <c r="F28" s="1990" t="s">
        <v>2165</v>
      </c>
      <c r="H28" s="1831">
        <f t="shared" si="0"/>
        <v>5</v>
      </c>
      <c r="I28" s="1831">
        <f t="shared" si="1"/>
        <v>5</v>
      </c>
      <c r="J28" s="1831">
        <f t="shared" si="2"/>
        <v>0</v>
      </c>
    </row>
    <row r="29" spans="1:12" ht="12" customHeight="1" x14ac:dyDescent="0.2">
      <c r="A29" s="1816" t="s">
        <v>1524</v>
      </c>
      <c r="B29" s="1817"/>
      <c r="C29" s="1993"/>
      <c r="D29" s="1993"/>
      <c r="E29" s="1994"/>
      <c r="F29" s="1990"/>
      <c r="H29" s="1831">
        <f t="shared" si="0"/>
        <v>0</v>
      </c>
      <c r="I29" s="1831">
        <f t="shared" si="1"/>
        <v>0</v>
      </c>
      <c r="J29" s="1831">
        <f t="shared" si="2"/>
        <v>0</v>
      </c>
    </row>
    <row r="30" spans="1:12" ht="12" customHeight="1" x14ac:dyDescent="0.2">
      <c r="A30" s="1816" t="s">
        <v>1525</v>
      </c>
      <c r="B30" s="1817"/>
      <c r="C30" s="1993" t="s">
        <v>2101</v>
      </c>
      <c r="D30" s="1993" t="s">
        <v>2101</v>
      </c>
      <c r="E30" s="1994"/>
      <c r="F30" s="1990" t="s">
        <v>2166</v>
      </c>
      <c r="H30" s="1831">
        <f t="shared" si="0"/>
        <v>5</v>
      </c>
      <c r="I30" s="1831">
        <f t="shared" si="1"/>
        <v>5</v>
      </c>
      <c r="J30" s="1831">
        <f t="shared" si="2"/>
        <v>0</v>
      </c>
    </row>
    <row r="31" spans="1:12" ht="12" customHeight="1" x14ac:dyDescent="0.2">
      <c r="A31" s="1816" t="s">
        <v>1526</v>
      </c>
      <c r="B31" s="1817"/>
      <c r="C31" s="1993"/>
      <c r="D31" s="1993"/>
      <c r="E31" s="1994"/>
      <c r="F31" s="1990"/>
      <c r="H31" s="1831">
        <f t="shared" si="0"/>
        <v>0</v>
      </c>
      <c r="I31" s="1831">
        <f t="shared" si="1"/>
        <v>0</v>
      </c>
      <c r="J31" s="1831">
        <f t="shared" si="2"/>
        <v>0</v>
      </c>
      <c r="L31" s="1822"/>
    </row>
    <row r="32" spans="1:12" ht="12" customHeight="1" x14ac:dyDescent="0.2">
      <c r="A32" s="1816" t="s">
        <v>1527</v>
      </c>
      <c r="B32" s="1817"/>
      <c r="C32" s="1993" t="s">
        <v>2101</v>
      </c>
      <c r="D32" s="1993" t="s">
        <v>2101</v>
      </c>
      <c r="E32" s="1994"/>
      <c r="F32" s="1990" t="s">
        <v>2163</v>
      </c>
      <c r="H32" s="1831">
        <f t="shared" si="0"/>
        <v>5</v>
      </c>
      <c r="I32" s="1831">
        <f t="shared" si="1"/>
        <v>5</v>
      </c>
      <c r="J32" s="1831">
        <f t="shared" si="2"/>
        <v>0</v>
      </c>
    </row>
    <row r="33" spans="1:11" ht="12" customHeight="1" x14ac:dyDescent="0.2">
      <c r="A33" s="1816" t="s">
        <v>1528</v>
      </c>
      <c r="B33" s="1817"/>
      <c r="C33" s="1993" t="s">
        <v>2101</v>
      </c>
      <c r="D33" s="1993" t="s">
        <v>2101</v>
      </c>
      <c r="E33" s="1994"/>
      <c r="F33" s="1990" t="s">
        <v>2164</v>
      </c>
      <c r="H33" s="1831">
        <f t="shared" si="0"/>
        <v>5</v>
      </c>
      <c r="I33" s="1831">
        <f t="shared" si="1"/>
        <v>5</v>
      </c>
      <c r="J33" s="1831">
        <f t="shared" si="2"/>
        <v>0</v>
      </c>
    </row>
    <row r="34" spans="1:11" ht="12" customHeight="1" x14ac:dyDescent="0.25">
      <c r="A34" s="1823"/>
      <c r="B34" s="1823"/>
      <c r="C34" s="1823"/>
      <c r="D34" s="1823"/>
      <c r="E34" s="1823"/>
      <c r="F34" s="1823"/>
      <c r="H34" s="1831">
        <f>SUM(H11:H32)</f>
        <v>40</v>
      </c>
      <c r="I34" s="1831">
        <f>SUM(I11:I32)</f>
        <v>40</v>
      </c>
      <c r="J34" s="1831">
        <f>SUM(J11:J32)</f>
        <v>0</v>
      </c>
      <c r="K34" s="1831">
        <f>SUM(H34:J34)</f>
        <v>80</v>
      </c>
    </row>
    <row r="35" spans="1:11" ht="12" customHeight="1" x14ac:dyDescent="0.2">
      <c r="A35" s="1824" t="s">
        <v>1379</v>
      </c>
      <c r="B35" s="1825"/>
      <c r="C35" s="2416"/>
      <c r="D35" s="2416"/>
      <c r="E35" s="2416"/>
      <c r="F35" s="2417"/>
    </row>
    <row r="36" spans="1:11" ht="12" customHeight="1" x14ac:dyDescent="0.2">
      <c r="A36" s="2407"/>
      <c r="B36" s="2408"/>
      <c r="C36" s="2408"/>
      <c r="D36" s="2408"/>
      <c r="E36" s="2408"/>
      <c r="F36" s="2409"/>
    </row>
    <row r="37" spans="1:11" ht="12" customHeight="1" x14ac:dyDescent="0.2">
      <c r="A37" s="2407"/>
      <c r="B37" s="2408"/>
      <c r="C37" s="2408"/>
      <c r="D37" s="2408"/>
      <c r="E37" s="2408"/>
      <c r="F37" s="2409"/>
    </row>
    <row r="38" spans="1:11" ht="12" customHeight="1" x14ac:dyDescent="0.2">
      <c r="A38" s="2421"/>
      <c r="B38" s="2422"/>
      <c r="C38" s="2422"/>
      <c r="D38" s="2422"/>
      <c r="E38" s="2422"/>
      <c r="F38" s="2423"/>
    </row>
    <row r="39" spans="1:11" ht="4.5" hidden="1" customHeight="1" x14ac:dyDescent="0.2">
      <c r="A39" s="1826"/>
      <c r="B39" s="1826"/>
      <c r="C39" s="1826"/>
      <c r="D39" s="1826"/>
      <c r="E39" s="1826"/>
      <c r="F39" s="1826"/>
    </row>
    <row r="40" spans="1:11" s="1823" customFormat="1" ht="12" customHeight="1" x14ac:dyDescent="0.25">
      <c r="A40" s="1827" t="s">
        <v>1378</v>
      </c>
      <c r="B40" s="1828"/>
      <c r="C40" s="2424"/>
      <c r="D40" s="2424"/>
      <c r="E40" s="2424"/>
      <c r="F40" s="2425"/>
      <c r="H40" s="1832"/>
      <c r="I40" s="1832"/>
      <c r="J40" s="1832"/>
      <c r="K40" s="1832"/>
    </row>
    <row r="41" spans="1:11" s="1823" customFormat="1" ht="12" customHeight="1" x14ac:dyDescent="0.25">
      <c r="A41" s="2426"/>
      <c r="B41" s="2427"/>
      <c r="C41" s="2427"/>
      <c r="D41" s="2427"/>
      <c r="E41" s="2427"/>
      <c r="F41" s="2428"/>
      <c r="H41" s="1832"/>
      <c r="I41" s="1832"/>
      <c r="J41" s="1832"/>
      <c r="K41" s="1832"/>
    </row>
    <row r="42" spans="1:11" s="1823" customFormat="1" ht="12" customHeight="1" x14ac:dyDescent="0.25">
      <c r="A42" s="2426"/>
      <c r="B42" s="2427"/>
      <c r="C42" s="2427"/>
      <c r="D42" s="2427"/>
      <c r="E42" s="2427"/>
      <c r="F42" s="2428"/>
      <c r="H42" s="1832"/>
      <c r="I42" s="1832"/>
      <c r="J42" s="1832"/>
      <c r="K42" s="1832"/>
    </row>
    <row r="43" spans="1:11" s="1823" customFormat="1" ht="15" x14ac:dyDescent="0.25">
      <c r="A43" s="2418"/>
      <c r="B43" s="2419"/>
      <c r="C43" s="2419"/>
      <c r="D43" s="2419"/>
      <c r="E43" s="2419"/>
      <c r="F43" s="2420"/>
      <c r="H43" s="1832"/>
      <c r="I43" s="1832"/>
      <c r="J43" s="1832"/>
      <c r="K43" s="1832"/>
    </row>
    <row r="44" spans="1:11" s="1823" customFormat="1" ht="12" hidden="1" customHeight="1" x14ac:dyDescent="0.25">
      <c r="A44" s="2418"/>
      <c r="B44" s="2419"/>
      <c r="C44" s="2419"/>
      <c r="D44" s="2419"/>
      <c r="E44" s="2419"/>
      <c r="F44" s="2420"/>
      <c r="H44" s="1832"/>
      <c r="I44" s="1832"/>
      <c r="J44" s="1832"/>
      <c r="K44" s="1832"/>
    </row>
    <row r="45" spans="1:11" s="1823" customFormat="1" ht="12" customHeight="1" x14ac:dyDescent="0.25">
      <c r="H45" s="1832"/>
      <c r="I45" s="1832"/>
      <c r="J45" s="1832"/>
      <c r="K45" s="1832"/>
    </row>
    <row r="46" spans="1:11" s="1823" customFormat="1" ht="9.75" customHeight="1" x14ac:dyDescent="0.25">
      <c r="H46" s="1832"/>
      <c r="I46" s="1832"/>
      <c r="J46" s="1832"/>
      <c r="K46" s="1832"/>
    </row>
    <row r="47" spans="1:11" s="1823" customFormat="1" ht="13.5" customHeight="1" x14ac:dyDescent="0.25">
      <c r="H47" s="1832"/>
      <c r="I47" s="1832"/>
      <c r="J47" s="1832"/>
      <c r="K47" s="1832"/>
    </row>
    <row r="48" spans="1:11" s="1823" customFormat="1" ht="15" x14ac:dyDescent="0.25">
      <c r="H48" s="1832"/>
      <c r="I48" s="1832"/>
      <c r="J48" s="1832"/>
      <c r="K48" s="1832"/>
    </row>
    <row r="49" spans="1:11" s="1823" customFormat="1" ht="15" hidden="1" x14ac:dyDescent="0.25">
      <c r="A49" s="1823" t="b">
        <v>0</v>
      </c>
      <c r="H49" s="1832"/>
      <c r="I49" s="1832"/>
      <c r="J49" s="1832"/>
      <c r="K49" s="1832"/>
    </row>
    <row r="50" spans="1:11" s="1823" customFormat="1" ht="15" x14ac:dyDescent="0.25">
      <c r="H50" s="1832"/>
      <c r="I50" s="1832"/>
      <c r="J50" s="1832"/>
      <c r="K50" s="1832"/>
    </row>
    <row r="51" spans="1:11" s="1823" customFormat="1" ht="15" x14ac:dyDescent="0.25">
      <c r="H51" s="1832"/>
      <c r="I51" s="1832"/>
      <c r="J51" s="1832"/>
      <c r="K51" s="1832"/>
    </row>
    <row r="52" spans="1:11" s="1823" customFormat="1" ht="15" x14ac:dyDescent="0.25">
      <c r="H52" s="1832"/>
      <c r="I52" s="1832"/>
      <c r="J52" s="1832"/>
      <c r="K52" s="1832"/>
    </row>
    <row r="53" spans="1:11" s="1823" customFormat="1" ht="15" x14ac:dyDescent="0.25">
      <c r="H53" s="1832"/>
      <c r="I53" s="1832"/>
      <c r="J53" s="1832"/>
      <c r="K53" s="1832"/>
    </row>
    <row r="54" spans="1:11" s="1823" customFormat="1" ht="15" x14ac:dyDescent="0.25">
      <c r="H54" s="1832"/>
      <c r="I54" s="1832"/>
      <c r="J54" s="1832"/>
      <c r="K54" s="1832"/>
    </row>
    <row r="55" spans="1:11" s="1823" customFormat="1" ht="15" x14ac:dyDescent="0.25">
      <c r="H55" s="1832"/>
      <c r="I55" s="1832"/>
      <c r="J55" s="1832"/>
      <c r="K55" s="1832"/>
    </row>
    <row r="56" spans="1:11" s="1823" customFormat="1" ht="15" x14ac:dyDescent="0.25">
      <c r="H56" s="1832"/>
      <c r="I56" s="1832"/>
      <c r="J56" s="1832"/>
      <c r="K56" s="1832"/>
    </row>
    <row r="57" spans="1:11" s="1823" customFormat="1" ht="15" x14ac:dyDescent="0.25">
      <c r="H57" s="1832"/>
      <c r="I57" s="1832"/>
      <c r="J57" s="1832"/>
      <c r="K57" s="1832"/>
    </row>
    <row r="58" spans="1:11" s="1823" customFormat="1" ht="15" x14ac:dyDescent="0.25">
      <c r="H58" s="1832"/>
      <c r="I58" s="1832"/>
      <c r="J58" s="1832"/>
      <c r="K58" s="1832"/>
    </row>
    <row r="59" spans="1:11" s="1823" customFormat="1" ht="15" x14ac:dyDescent="0.25">
      <c r="H59" s="1832"/>
      <c r="I59" s="1832"/>
      <c r="J59" s="1832"/>
      <c r="K59" s="1832"/>
    </row>
    <row r="60" spans="1:11" s="1823" customFormat="1" ht="15" x14ac:dyDescent="0.25">
      <c r="H60" s="1832"/>
      <c r="I60" s="1832"/>
      <c r="J60" s="1832"/>
      <c r="K60" s="1832"/>
    </row>
    <row r="61" spans="1:11" s="1823" customFormat="1" ht="15" x14ac:dyDescent="0.25">
      <c r="H61" s="1832"/>
      <c r="I61" s="1832"/>
      <c r="J61" s="1832"/>
      <c r="K61" s="1832"/>
    </row>
    <row r="62" spans="1:11" s="1823" customFormat="1" ht="15" x14ac:dyDescent="0.25">
      <c r="H62" s="1832"/>
      <c r="I62" s="1832"/>
      <c r="J62" s="1832"/>
      <c r="K62" s="1832"/>
    </row>
    <row r="63" spans="1:11" s="1823" customFormat="1" ht="15" x14ac:dyDescent="0.25">
      <c r="H63" s="1832"/>
      <c r="I63" s="1832"/>
      <c r="J63" s="1832"/>
      <c r="K63" s="1832"/>
    </row>
    <row r="64" spans="1:11" s="1823" customFormat="1" ht="15" x14ac:dyDescent="0.25">
      <c r="H64" s="1832"/>
      <c r="I64" s="1832"/>
      <c r="J64" s="1832"/>
      <c r="K64" s="1832"/>
    </row>
    <row r="65" spans="8:11" s="1823" customFormat="1" ht="15" x14ac:dyDescent="0.25">
      <c r="H65" s="1832"/>
      <c r="I65" s="1832"/>
      <c r="J65" s="1832"/>
      <c r="K65" s="1832"/>
    </row>
    <row r="66" spans="8:11" s="1823" customFormat="1" ht="15" x14ac:dyDescent="0.25">
      <c r="H66" s="1832"/>
      <c r="I66" s="1832"/>
      <c r="J66" s="1832"/>
      <c r="K66" s="1832"/>
    </row>
    <row r="67" spans="8:11" s="1823" customFormat="1" ht="15" x14ac:dyDescent="0.25">
      <c r="H67" s="1832"/>
      <c r="I67" s="1832"/>
      <c r="J67" s="1832"/>
      <c r="K67" s="1832"/>
    </row>
    <row r="68" spans="8:11" s="1823" customFormat="1" ht="15" x14ac:dyDescent="0.25">
      <c r="H68" s="1832"/>
      <c r="I68" s="1832"/>
      <c r="J68" s="1832"/>
      <c r="K68" s="1832"/>
    </row>
    <row r="69" spans="8:11" s="1823" customFormat="1" ht="15" x14ac:dyDescent="0.25">
      <c r="H69" s="1832"/>
      <c r="I69" s="1832"/>
      <c r="J69" s="1832"/>
      <c r="K69" s="1832"/>
    </row>
    <row r="70" spans="8:11" s="1823" customFormat="1" ht="15" x14ac:dyDescent="0.25">
      <c r="H70" s="1832"/>
      <c r="I70" s="1832"/>
      <c r="J70" s="1832"/>
      <c r="K70" s="1832"/>
    </row>
    <row r="71" spans="8:11" s="1823" customFormat="1" ht="15" x14ac:dyDescent="0.25">
      <c r="H71" s="1832"/>
      <c r="I71" s="1832"/>
      <c r="J71" s="1832"/>
      <c r="K71" s="1832"/>
    </row>
    <row r="72" spans="8:11" s="1823" customFormat="1" ht="15" x14ac:dyDescent="0.25">
      <c r="H72" s="1832"/>
      <c r="I72" s="1832"/>
      <c r="J72" s="1832"/>
      <c r="K72" s="1832"/>
    </row>
    <row r="73" spans="8:11" s="1823" customFormat="1" ht="15" x14ac:dyDescent="0.25">
      <c r="H73" s="1832"/>
      <c r="I73" s="1832"/>
      <c r="J73" s="1832"/>
      <c r="K73" s="1832"/>
    </row>
    <row r="74" spans="8:11" s="1823" customFormat="1" ht="15" x14ac:dyDescent="0.25">
      <c r="H74" s="1832"/>
      <c r="I74" s="1832"/>
      <c r="J74" s="1832"/>
      <c r="K74" s="1832"/>
    </row>
    <row r="75" spans="8:11" s="1823" customFormat="1" ht="15" x14ac:dyDescent="0.25">
      <c r="H75" s="1832"/>
      <c r="I75" s="1832"/>
      <c r="J75" s="1832"/>
      <c r="K75" s="1832"/>
    </row>
    <row r="76" spans="8:11" s="1823" customFormat="1" ht="15" x14ac:dyDescent="0.25">
      <c r="H76" s="1832"/>
      <c r="I76" s="1832"/>
      <c r="J76" s="1832"/>
      <c r="K76" s="1832"/>
    </row>
    <row r="77" spans="8:11" s="1823" customFormat="1" ht="15" x14ac:dyDescent="0.25">
      <c r="H77" s="1832"/>
      <c r="I77" s="1832"/>
      <c r="J77" s="1832"/>
      <c r="K77" s="1832"/>
    </row>
    <row r="78" spans="8:11" s="1823" customFormat="1" ht="15" x14ac:dyDescent="0.25">
      <c r="H78" s="1832"/>
      <c r="I78" s="1832"/>
      <c r="J78" s="1832"/>
      <c r="K78" s="1832"/>
    </row>
    <row r="79" spans="8:11" s="1823" customFormat="1" ht="15" x14ac:dyDescent="0.25">
      <c r="H79" s="1832"/>
      <c r="I79" s="1832"/>
      <c r="J79" s="1832"/>
      <c r="K79" s="1832"/>
    </row>
    <row r="80" spans="8:11" s="1823" customFormat="1" ht="15" x14ac:dyDescent="0.25">
      <c r="H80" s="1832"/>
      <c r="I80" s="1832"/>
      <c r="J80" s="1832"/>
      <c r="K80" s="1832"/>
    </row>
    <row r="81" spans="8:11" s="1823" customFormat="1" ht="15" x14ac:dyDescent="0.25">
      <c r="H81" s="1832"/>
      <c r="I81" s="1832"/>
      <c r="J81" s="1832"/>
      <c r="K81" s="1832"/>
    </row>
    <row r="82" spans="8:11" s="1823" customFormat="1" ht="15" x14ac:dyDescent="0.25">
      <c r="H82" s="1832"/>
      <c r="I82" s="1832"/>
      <c r="J82" s="1832"/>
      <c r="K82" s="1832"/>
    </row>
    <row r="83" spans="8:11" s="1823" customFormat="1" ht="15" x14ac:dyDescent="0.25">
      <c r="H83" s="1832"/>
      <c r="I83" s="1832"/>
      <c r="J83" s="1832"/>
      <c r="K83" s="1832"/>
    </row>
    <row r="84" spans="8:11" s="1823" customFormat="1" ht="15" x14ac:dyDescent="0.25">
      <c r="H84" s="1832"/>
      <c r="I84" s="1832"/>
      <c r="J84" s="1832"/>
      <c r="K84" s="1832"/>
    </row>
    <row r="85" spans="8:11" s="1823" customFormat="1" ht="15" x14ac:dyDescent="0.25">
      <c r="H85" s="1832"/>
      <c r="I85" s="1832"/>
      <c r="J85" s="1832"/>
      <c r="K85" s="1832"/>
    </row>
    <row r="86" spans="8:11" s="1823" customFormat="1" ht="15" x14ac:dyDescent="0.25">
      <c r="H86" s="1832"/>
      <c r="I86" s="1832"/>
      <c r="J86" s="1832"/>
      <c r="K86" s="1832"/>
    </row>
    <row r="87" spans="8:11" s="1823" customFormat="1" ht="15" x14ac:dyDescent="0.25">
      <c r="H87" s="1832"/>
      <c r="I87" s="1832"/>
      <c r="J87" s="1832"/>
      <c r="K87" s="1832"/>
    </row>
    <row r="88" spans="8:11" s="1823" customFormat="1" ht="15" x14ac:dyDescent="0.25">
      <c r="H88" s="1832"/>
      <c r="I88" s="1832"/>
      <c r="J88" s="1832"/>
      <c r="K88" s="1832"/>
    </row>
    <row r="89" spans="8:11" s="1823" customFormat="1" ht="15" x14ac:dyDescent="0.25">
      <c r="H89" s="1832"/>
      <c r="I89" s="1832"/>
      <c r="J89" s="1832"/>
      <c r="K89" s="1832"/>
    </row>
    <row r="90" spans="8:11" s="1823" customFormat="1" ht="15" x14ac:dyDescent="0.25">
      <c r="H90" s="1832"/>
      <c r="I90" s="1832"/>
      <c r="J90" s="1832"/>
      <c r="K90" s="1832"/>
    </row>
    <row r="91" spans="8:11" s="1823" customFormat="1" ht="15" x14ac:dyDescent="0.25">
      <c r="H91" s="1832"/>
      <c r="I91" s="1832"/>
      <c r="J91" s="1832"/>
      <c r="K91" s="1832"/>
    </row>
    <row r="92" spans="8:11" s="1823" customFormat="1" ht="15" x14ac:dyDescent="0.25">
      <c r="H92" s="1832"/>
      <c r="I92" s="1832"/>
      <c r="J92" s="1832"/>
      <c r="K92" s="1832"/>
    </row>
    <row r="93" spans="8:11" s="1823" customFormat="1" ht="15" x14ac:dyDescent="0.25">
      <c r="H93" s="1832"/>
      <c r="I93" s="1832"/>
      <c r="J93" s="1832"/>
      <c r="K93" s="1832"/>
    </row>
    <row r="94" spans="8:11" s="1823" customFormat="1" ht="15" x14ac:dyDescent="0.25">
      <c r="H94" s="1832"/>
      <c r="I94" s="1832"/>
      <c r="J94" s="1832"/>
      <c r="K94" s="1832"/>
    </row>
    <row r="95" spans="8:11" s="1823" customFormat="1" ht="15" x14ac:dyDescent="0.25">
      <c r="H95" s="1832"/>
      <c r="I95" s="1832"/>
      <c r="J95" s="1832"/>
      <c r="K95" s="1832"/>
    </row>
    <row r="96" spans="8:11" s="1823" customFormat="1" ht="15" x14ac:dyDescent="0.25">
      <c r="H96" s="1832"/>
      <c r="I96" s="1832"/>
      <c r="J96" s="1832"/>
      <c r="K96" s="1832"/>
    </row>
    <row r="97" spans="8:11" s="1823" customFormat="1" ht="15" x14ac:dyDescent="0.25">
      <c r="H97" s="1832"/>
      <c r="I97" s="1832"/>
      <c r="J97" s="1832"/>
      <c r="K97" s="1832"/>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colorId="8" zoomScale="110" zoomScaleNormal="110" workbookViewId="0">
      <selection activeCell="H18" sqref="H18"/>
    </sheetView>
  </sheetViews>
  <sheetFormatPr defaultColWidth="9.140625" defaultRowHeight="12.75" x14ac:dyDescent="0.2"/>
  <cols>
    <col min="1" max="1" width="3" style="983" customWidth="1"/>
    <col min="2" max="2" width="2.7109375" style="983" customWidth="1"/>
    <col min="3" max="3" width="38.5703125" style="983" customWidth="1"/>
    <col min="4" max="4" width="6.42578125" style="983" customWidth="1"/>
    <col min="5" max="10" width="15.7109375" style="983" customWidth="1"/>
    <col min="11" max="14" width="4.7109375" style="983" customWidth="1"/>
    <col min="15" max="16384" width="9.140625" style="983"/>
  </cols>
  <sheetData>
    <row r="1" spans="1:17" ht="11.85" customHeight="1" x14ac:dyDescent="0.2">
      <c r="A1" s="981"/>
      <c r="B1" s="982"/>
      <c r="E1" s="984"/>
      <c r="F1" s="985" t="s">
        <v>404</v>
      </c>
      <c r="G1" s="986"/>
    </row>
    <row r="2" spans="1:17" ht="11.85" customHeight="1" x14ac:dyDescent="0.2">
      <c r="A2" s="981"/>
      <c r="B2" s="982"/>
      <c r="E2" s="984"/>
      <c r="F2" s="987" t="s">
        <v>289</v>
      </c>
      <c r="G2" s="986"/>
    </row>
    <row r="3" spans="1:17" ht="11.85" customHeight="1" x14ac:dyDescent="0.2">
      <c r="E3" s="984"/>
      <c r="F3" s="987" t="s">
        <v>405</v>
      </c>
      <c r="G3" s="984"/>
    </row>
    <row r="4" spans="1:17" ht="11.85" customHeight="1" x14ac:dyDescent="0.2">
      <c r="E4" s="984"/>
      <c r="F4" s="987" t="s">
        <v>867</v>
      </c>
      <c r="G4" s="984"/>
    </row>
    <row r="5" spans="1:17" ht="12.2" customHeight="1" x14ac:dyDescent="0.2">
      <c r="F5" s="987"/>
    </row>
    <row r="6" spans="1:17" x14ac:dyDescent="0.2">
      <c r="A6" s="1847" t="s">
        <v>671</v>
      </c>
      <c r="B6" s="1595"/>
      <c r="C6" s="1595"/>
      <c r="D6" s="1595"/>
      <c r="E6" s="1596"/>
      <c r="F6" s="988"/>
      <c r="G6" s="982"/>
      <c r="H6" s="989" t="s">
        <v>1027</v>
      </c>
      <c r="I6" s="2434" t="str">
        <f>COVER!A17</f>
        <v>Hawthorn CCSD 73</v>
      </c>
      <c r="J6" s="2435"/>
      <c r="Q6" s="1617"/>
    </row>
    <row r="7" spans="1:17" x14ac:dyDescent="0.2">
      <c r="A7" s="2436" t="s">
        <v>868</v>
      </c>
      <c r="B7" s="2437"/>
      <c r="C7" s="2437"/>
      <c r="D7" s="2437"/>
      <c r="E7" s="2438"/>
      <c r="F7" s="990"/>
      <c r="G7" s="982"/>
      <c r="H7" s="989" t="s">
        <v>371</v>
      </c>
      <c r="I7" s="2439">
        <f>COVER!A13</f>
        <v>34049073004</v>
      </c>
      <c r="J7" s="2439"/>
    </row>
    <row r="8" spans="1:17" ht="8.25" customHeight="1" x14ac:dyDescent="0.2">
      <c r="A8" s="1597"/>
      <c r="B8" s="1598"/>
      <c r="C8" s="1598"/>
      <c r="D8" s="1598"/>
      <c r="E8" s="1599"/>
      <c r="F8" s="991"/>
      <c r="G8" s="992"/>
      <c r="H8" s="992"/>
      <c r="I8" s="992"/>
      <c r="J8" s="992"/>
    </row>
    <row r="9" spans="1:17" ht="13.5" customHeight="1" x14ac:dyDescent="0.2">
      <c r="A9" s="993"/>
      <c r="B9" s="994"/>
      <c r="C9" s="994"/>
      <c r="D9" s="995"/>
      <c r="E9" s="1848" t="s">
        <v>1953</v>
      </c>
      <c r="F9" s="996"/>
      <c r="G9" s="996"/>
      <c r="H9" s="1849" t="s">
        <v>1954</v>
      </c>
      <c r="I9" s="996"/>
      <c r="J9" s="997"/>
    </row>
    <row r="10" spans="1:17" s="1005" customFormat="1" ht="13.5" customHeight="1" x14ac:dyDescent="0.2">
      <c r="A10" s="998"/>
      <c r="B10" s="999"/>
      <c r="C10" s="1000"/>
      <c r="D10" s="1001"/>
      <c r="E10" s="1002" t="s">
        <v>424</v>
      </c>
      <c r="F10" s="1003" t="s">
        <v>425</v>
      </c>
      <c r="G10" s="1004"/>
      <c r="H10" s="1003" t="s">
        <v>424</v>
      </c>
      <c r="I10" s="1003" t="s">
        <v>425</v>
      </c>
      <c r="J10" s="1003"/>
    </row>
    <row r="11" spans="1:17" s="1005" customFormat="1" ht="22.5" x14ac:dyDescent="0.2">
      <c r="A11" s="2440" t="s">
        <v>480</v>
      </c>
      <c r="B11" s="2441"/>
      <c r="C11" s="2442"/>
      <c r="D11" s="1006" t="s">
        <v>870</v>
      </c>
      <c r="E11" s="1006" t="s">
        <v>64</v>
      </c>
      <c r="F11" s="1006" t="s">
        <v>6</v>
      </c>
      <c r="G11" s="1007" t="s">
        <v>156</v>
      </c>
      <c r="H11" s="1007" t="s">
        <v>64</v>
      </c>
      <c r="I11" s="1006" t="s">
        <v>6</v>
      </c>
      <c r="J11" s="1007" t="s">
        <v>156</v>
      </c>
    </row>
    <row r="12" spans="1:17" ht="15" customHeight="1" x14ac:dyDescent="0.2">
      <c r="A12" s="1008">
        <v>1</v>
      </c>
      <c r="B12" s="1009" t="s">
        <v>817</v>
      </c>
      <c r="C12" s="1010"/>
      <c r="D12" s="1011">
        <v>2320</v>
      </c>
      <c r="E12" s="1764">
        <f>'Expenditures 15-22'!K50</f>
        <v>243221</v>
      </c>
      <c r="F12" s="1012"/>
      <c r="G12" s="1764">
        <f t="shared" ref="G12:G18" si="0">SUM(E12:F12)</f>
        <v>243221</v>
      </c>
      <c r="H12" s="1013">
        <v>246010</v>
      </c>
      <c r="I12" s="1012"/>
      <c r="J12" s="1764">
        <f t="shared" ref="J12:J18" si="1">SUM(H12:I12)</f>
        <v>246010</v>
      </c>
    </row>
    <row r="13" spans="1:17" ht="15" customHeight="1" x14ac:dyDescent="0.2">
      <c r="A13" s="1008">
        <v>2</v>
      </c>
      <c r="B13" s="1009" t="s">
        <v>42</v>
      </c>
      <c r="C13" s="1010"/>
      <c r="D13" s="1011">
        <v>2330</v>
      </c>
      <c r="E13" s="1764">
        <f>'Expenditures 15-22'!K51</f>
        <v>1237</v>
      </c>
      <c r="F13" s="1012"/>
      <c r="G13" s="1764">
        <f t="shared" si="0"/>
        <v>1237</v>
      </c>
      <c r="H13" s="1013">
        <v>4440</v>
      </c>
      <c r="I13" s="1012"/>
      <c r="J13" s="1764">
        <f t="shared" si="1"/>
        <v>4440</v>
      </c>
    </row>
    <row r="14" spans="1:17" ht="15" customHeight="1" x14ac:dyDescent="0.2">
      <c r="A14" s="1008">
        <v>3</v>
      </c>
      <c r="B14" s="1009" t="s">
        <v>43</v>
      </c>
      <c r="C14" s="1010"/>
      <c r="D14" s="1014">
        <v>2490</v>
      </c>
      <c r="E14" s="1764">
        <f>'Expenditures 15-22'!K56</f>
        <v>0</v>
      </c>
      <c r="F14" s="1012"/>
      <c r="G14" s="1764">
        <f t="shared" si="0"/>
        <v>0</v>
      </c>
      <c r="H14" s="1013"/>
      <c r="I14" s="1012"/>
      <c r="J14" s="1764">
        <f t="shared" si="1"/>
        <v>0</v>
      </c>
    </row>
    <row r="15" spans="1:17" ht="15" customHeight="1" x14ac:dyDescent="0.2">
      <c r="A15" s="1008">
        <v>4</v>
      </c>
      <c r="B15" s="1009" t="s">
        <v>1067</v>
      </c>
      <c r="C15" s="1010"/>
      <c r="D15" s="1011">
        <v>2510</v>
      </c>
      <c r="E15" s="1764">
        <f>'Expenditures 15-22'!K59</f>
        <v>214285</v>
      </c>
      <c r="F15" s="1764">
        <f>'Expenditures 15-22'!K122</f>
        <v>2762</v>
      </c>
      <c r="G15" s="1764">
        <f t="shared" si="0"/>
        <v>217047</v>
      </c>
      <c r="H15" s="1013">
        <v>221300</v>
      </c>
      <c r="I15" s="1013">
        <v>2850</v>
      </c>
      <c r="J15" s="1764">
        <f t="shared" si="1"/>
        <v>224150</v>
      </c>
    </row>
    <row r="16" spans="1:17" ht="15" customHeight="1" x14ac:dyDescent="0.2">
      <c r="A16" s="1008">
        <v>5</v>
      </c>
      <c r="B16" s="1009" t="s">
        <v>101</v>
      </c>
      <c r="C16" s="1010"/>
      <c r="D16" s="1011">
        <v>2570</v>
      </c>
      <c r="E16" s="1764">
        <f>'Expenditures 15-22'!K64</f>
        <v>0</v>
      </c>
      <c r="F16" s="1012"/>
      <c r="G16" s="1764">
        <f t="shared" si="0"/>
        <v>0</v>
      </c>
      <c r="H16" s="1013"/>
      <c r="I16" s="1012"/>
      <c r="J16" s="1764">
        <f t="shared" si="1"/>
        <v>0</v>
      </c>
    </row>
    <row r="17" spans="1:10" ht="15" customHeight="1" x14ac:dyDescent="0.2">
      <c r="A17" s="1008">
        <v>6</v>
      </c>
      <c r="B17" s="1009" t="s">
        <v>1059</v>
      </c>
      <c r="C17" s="1010"/>
      <c r="D17" s="1011">
        <v>2610</v>
      </c>
      <c r="E17" s="1764">
        <f>'Expenditures 15-22'!K67</f>
        <v>0</v>
      </c>
      <c r="F17" s="1012"/>
      <c r="G17" s="1764">
        <f t="shared" si="0"/>
        <v>0</v>
      </c>
      <c r="H17" s="1013"/>
      <c r="I17" s="1012"/>
      <c r="J17" s="1764">
        <f t="shared" si="1"/>
        <v>0</v>
      </c>
    </row>
    <row r="18" spans="1:10" ht="22.5" customHeight="1" x14ac:dyDescent="0.2">
      <c r="A18" s="1015">
        <v>7</v>
      </c>
      <c r="B18" s="2443" t="s">
        <v>7</v>
      </c>
      <c r="C18" s="2444"/>
      <c r="D18" s="2445"/>
      <c r="E18" s="1016"/>
      <c r="F18" s="1016"/>
      <c r="G18" s="1765">
        <f t="shared" si="0"/>
        <v>0</v>
      </c>
      <c r="H18" s="1013"/>
      <c r="I18" s="1013"/>
      <c r="J18" s="1764">
        <f t="shared" si="1"/>
        <v>0</v>
      </c>
    </row>
    <row r="19" spans="1:10" ht="12.75" customHeight="1" thickBot="1" x14ac:dyDescent="0.25">
      <c r="A19" s="1008">
        <v>8</v>
      </c>
      <c r="B19" s="1017" t="s">
        <v>1160</v>
      </c>
      <c r="D19" s="1018"/>
      <c r="E19" s="1766">
        <f t="shared" ref="E19:J19" si="2">SUM(E12:E17)-E18</f>
        <v>458743</v>
      </c>
      <c r="F19" s="1766">
        <f t="shared" si="2"/>
        <v>2762</v>
      </c>
      <c r="G19" s="1766">
        <f t="shared" si="2"/>
        <v>461505</v>
      </c>
      <c r="H19" s="1766">
        <f t="shared" si="2"/>
        <v>471750</v>
      </c>
      <c r="I19" s="1766">
        <f t="shared" si="2"/>
        <v>2850</v>
      </c>
      <c r="J19" s="1766">
        <f t="shared" si="2"/>
        <v>474600</v>
      </c>
    </row>
    <row r="20" spans="1:10" ht="13.5" thickTop="1" x14ac:dyDescent="0.2">
      <c r="A20" s="1008">
        <v>9</v>
      </c>
      <c r="B20" s="2446" t="s">
        <v>1955</v>
      </c>
      <c r="C20" s="2446"/>
      <c r="D20" s="2447"/>
      <c r="E20" s="1019"/>
      <c r="F20" s="1019"/>
      <c r="G20" s="1019"/>
      <c r="H20" s="1019"/>
      <c r="I20" s="1019"/>
      <c r="J20" s="1767">
        <f>IF(AND(G19&gt;0,J19&gt;0),(((J19-G19)/G19)),"Enter Budget Data")</f>
        <v>2.8374557155393765E-2</v>
      </c>
    </row>
    <row r="21" spans="1:10" ht="9" customHeight="1" x14ac:dyDescent="0.2">
      <c r="B21" s="1020"/>
    </row>
    <row r="22" spans="1:10" x14ac:dyDescent="0.2">
      <c r="A22" s="1021" t="s">
        <v>133</v>
      </c>
      <c r="B22" s="1020"/>
    </row>
    <row r="23" spans="1:10" x14ac:dyDescent="0.2">
      <c r="A23" s="984" t="s">
        <v>1956</v>
      </c>
      <c r="B23" s="1020"/>
    </row>
    <row r="24" spans="1:10" x14ac:dyDescent="0.2">
      <c r="A24" s="984" t="s">
        <v>1969</v>
      </c>
      <c r="B24" s="1020"/>
    </row>
    <row r="25" spans="1:10" x14ac:dyDescent="0.2">
      <c r="A25" s="1022"/>
      <c r="B25" s="1020"/>
    </row>
    <row r="26" spans="1:10" ht="20.100000000000001" customHeight="1" x14ac:dyDescent="0.2">
      <c r="B26" s="1020"/>
      <c r="C26" s="2452"/>
      <c r="D26" s="2452"/>
      <c r="E26" s="1023"/>
      <c r="F26" s="2451"/>
      <c r="G26" s="2451"/>
    </row>
    <row r="27" spans="1:10" x14ac:dyDescent="0.2">
      <c r="B27" s="1020"/>
      <c r="C27" s="1024" t="s">
        <v>1032</v>
      </c>
      <c r="D27" s="1025"/>
      <c r="E27" s="1026"/>
      <c r="F27" s="2448" t="s">
        <v>1496</v>
      </c>
      <c r="G27" s="2448"/>
    </row>
    <row r="28" spans="1:10" ht="28.5" customHeight="1" x14ac:dyDescent="0.2">
      <c r="B28" s="1020"/>
      <c r="C28" s="2450"/>
      <c r="D28" s="2450"/>
      <c r="E28" s="1027"/>
      <c r="F28" s="2450"/>
      <c r="G28" s="2450"/>
    </row>
    <row r="29" spans="1:10" x14ac:dyDescent="0.2">
      <c r="B29" s="1020"/>
      <c r="C29" s="1028" t="s">
        <v>1548</v>
      </c>
      <c r="E29" s="1029"/>
      <c r="F29" s="2449" t="s">
        <v>1497</v>
      </c>
      <c r="G29" s="2449"/>
    </row>
    <row r="30" spans="1:10" ht="9" customHeight="1" x14ac:dyDescent="0.2">
      <c r="B30" s="1020"/>
      <c r="C30" s="1030"/>
      <c r="E30" s="1031"/>
      <c r="F30" s="1032"/>
      <c r="G30" s="1032"/>
    </row>
    <row r="31" spans="1:10" ht="15" customHeight="1" x14ac:dyDescent="0.2">
      <c r="A31" s="984"/>
      <c r="B31" s="1033" t="s">
        <v>1033</v>
      </c>
    </row>
    <row r="32" spans="1:10" ht="9" customHeight="1" x14ac:dyDescent="0.2">
      <c r="A32" s="984"/>
      <c r="B32" s="1021"/>
    </row>
    <row r="33" spans="1:10" ht="12.75" customHeight="1" x14ac:dyDescent="0.2">
      <c r="A33" s="984"/>
      <c r="B33" s="1034"/>
      <c r="C33" s="2431" t="s">
        <v>132</v>
      </c>
      <c r="D33" s="2432"/>
      <c r="E33" s="2432"/>
      <c r="F33" s="2432"/>
      <c r="G33" s="2432"/>
      <c r="H33" s="2432"/>
      <c r="I33" s="2432"/>
    </row>
    <row r="34" spans="1:10" ht="10.35" customHeight="1" x14ac:dyDescent="0.2">
      <c r="C34" s="2432"/>
      <c r="D34" s="2432"/>
      <c r="E34" s="2432"/>
      <c r="F34" s="2432"/>
      <c r="G34" s="2432"/>
      <c r="H34" s="2432"/>
      <c r="I34" s="2432"/>
    </row>
    <row r="35" spans="1:10" ht="7.5" customHeight="1" x14ac:dyDescent="0.2">
      <c r="C35" s="1035"/>
    </row>
    <row r="36" spans="1:10" ht="13.5" customHeight="1" x14ac:dyDescent="0.2">
      <c r="B36" s="1034"/>
      <c r="C36" s="2433" t="s">
        <v>1957</v>
      </c>
      <c r="D36" s="2432"/>
      <c r="E36" s="2432"/>
      <c r="F36" s="2432"/>
      <c r="G36" s="2432"/>
      <c r="H36" s="2432"/>
      <c r="I36" s="2432"/>
      <c r="J36" s="1036"/>
    </row>
    <row r="37" spans="1:10" ht="22.5" customHeight="1" x14ac:dyDescent="0.2">
      <c r="C37" s="2432"/>
      <c r="D37" s="2432"/>
      <c r="E37" s="2432"/>
      <c r="F37" s="2432"/>
      <c r="G37" s="2432"/>
      <c r="H37" s="2432"/>
      <c r="I37" s="2432"/>
      <c r="J37" s="1036"/>
    </row>
    <row r="38" spans="1:10" ht="7.5" customHeight="1" x14ac:dyDescent="0.2">
      <c r="C38" s="1035"/>
      <c r="D38" s="1037"/>
      <c r="E38" s="1038"/>
      <c r="F38" s="1039"/>
      <c r="G38" s="1038"/>
    </row>
    <row r="39" spans="1:10" ht="13.5" customHeight="1" x14ac:dyDescent="0.2">
      <c r="B39" s="1034"/>
      <c r="C39" s="2429" t="s">
        <v>881</v>
      </c>
      <c r="D39" s="2430"/>
      <c r="E39" s="2430"/>
      <c r="F39" s="2430"/>
      <c r="G39" s="2430"/>
      <c r="H39" s="2430"/>
      <c r="I39" s="2430"/>
    </row>
    <row r="40" spans="1:10" ht="13.35" customHeight="1" x14ac:dyDescent="0.2">
      <c r="A40" s="984"/>
      <c r="C40" s="1040"/>
      <c r="D40" s="1040"/>
      <c r="E40" s="1040"/>
      <c r="F40" s="1040"/>
      <c r="G40" s="1040"/>
      <c r="H40" s="1040"/>
      <c r="I40" s="1040"/>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H65"/>
  <sheetViews>
    <sheetView showGridLines="0" zoomScale="110" zoomScaleNormal="110" workbookViewId="0">
      <selection activeCell="B7" sqref="B7"/>
    </sheetView>
  </sheetViews>
  <sheetFormatPr defaultRowHeight="12.75" x14ac:dyDescent="0.2"/>
  <cols>
    <col min="1" max="1" width="3" style="329" customWidth="1"/>
    <col min="2" max="2" width="57" style="329" customWidth="1"/>
    <col min="3" max="3" width="3.140625" style="329" customWidth="1"/>
    <col min="4" max="16384" width="9.140625" style="329"/>
  </cols>
  <sheetData>
    <row r="2" spans="1:8" x14ac:dyDescent="0.2">
      <c r="A2" s="389" t="s">
        <v>258</v>
      </c>
    </row>
    <row r="3" spans="1:8" x14ac:dyDescent="0.2">
      <c r="A3" s="329" t="s">
        <v>259</v>
      </c>
    </row>
    <row r="5" spans="1:8" x14ac:dyDescent="0.2">
      <c r="A5" s="1991">
        <v>1</v>
      </c>
      <c r="B5" s="1995" t="s">
        <v>2167</v>
      </c>
      <c r="C5" s="1995" t="s">
        <v>2168</v>
      </c>
    </row>
    <row r="6" spans="1:8" x14ac:dyDescent="0.2">
      <c r="A6" s="1991">
        <v>2</v>
      </c>
      <c r="B6" s="1995" t="s">
        <v>2169</v>
      </c>
      <c r="C6" s="1996" t="s">
        <v>2177</v>
      </c>
    </row>
    <row r="7" spans="1:8" x14ac:dyDescent="0.2">
      <c r="A7" s="1991">
        <v>3</v>
      </c>
      <c r="B7" s="1995" t="s">
        <v>2217</v>
      </c>
      <c r="C7" s="1996" t="s">
        <v>2170</v>
      </c>
    </row>
    <row r="8" spans="1:8" x14ac:dyDescent="0.2">
      <c r="A8" s="1991">
        <v>4</v>
      </c>
      <c r="B8" s="1995" t="s">
        <v>2176</v>
      </c>
      <c r="C8" s="1996" t="s">
        <v>2178</v>
      </c>
    </row>
    <row r="9" spans="1:8" x14ac:dyDescent="0.2">
      <c r="A9" s="1991">
        <v>5</v>
      </c>
      <c r="B9" s="1995" t="s">
        <v>2171</v>
      </c>
      <c r="C9" s="1995" t="s">
        <v>2172</v>
      </c>
      <c r="D9" s="1995"/>
      <c r="E9" s="1995"/>
      <c r="F9" s="1995"/>
      <c r="G9" s="1995"/>
      <c r="H9" s="1995"/>
    </row>
    <row r="10" spans="1:8" x14ac:dyDescent="0.2">
      <c r="A10" s="1991">
        <v>6</v>
      </c>
      <c r="B10" s="1995" t="s">
        <v>2180</v>
      </c>
      <c r="C10" s="1995" t="s">
        <v>2181</v>
      </c>
      <c r="D10" s="1995"/>
      <c r="E10" s="1995"/>
      <c r="F10" s="1995"/>
      <c r="G10" s="1995"/>
      <c r="H10" s="1995"/>
    </row>
    <row r="11" spans="1:8" x14ac:dyDescent="0.2">
      <c r="A11" s="1991">
        <v>7</v>
      </c>
      <c r="B11" s="1995" t="s">
        <v>2173</v>
      </c>
      <c r="C11" s="1995" t="s">
        <v>2174</v>
      </c>
      <c r="D11" s="1995"/>
      <c r="E11" s="1995"/>
      <c r="F11" s="1995"/>
      <c r="G11" s="1995"/>
      <c r="H11" s="1995"/>
    </row>
    <row r="12" spans="1:8" x14ac:dyDescent="0.2">
      <c r="A12" s="1991">
        <v>8</v>
      </c>
      <c r="B12" s="1995" t="s">
        <v>2182</v>
      </c>
      <c r="C12" s="1995" t="s">
        <v>2183</v>
      </c>
      <c r="D12" s="1995"/>
      <c r="E12" s="1995"/>
      <c r="F12" s="1995"/>
      <c r="G12" s="1995"/>
      <c r="H12" s="1995"/>
    </row>
    <row r="13" spans="1:8" x14ac:dyDescent="0.2">
      <c r="A13" s="1991">
        <v>9</v>
      </c>
      <c r="B13" s="1995" t="s">
        <v>2175</v>
      </c>
      <c r="C13" s="1995" t="s">
        <v>2172</v>
      </c>
      <c r="D13" s="1995"/>
      <c r="E13" s="1995"/>
      <c r="F13" s="1995"/>
      <c r="G13" s="1995"/>
      <c r="H13" s="1995"/>
    </row>
    <row r="14" spans="1:8" x14ac:dyDescent="0.2">
      <c r="A14" s="1041">
        <v>10</v>
      </c>
      <c r="B14" s="1995" t="s">
        <v>2184</v>
      </c>
      <c r="C14" s="1995" t="s">
        <v>2168</v>
      </c>
      <c r="D14" s="1995"/>
      <c r="E14" s="1995"/>
      <c r="F14" s="1995"/>
      <c r="G14" s="1995"/>
      <c r="H14" s="1995"/>
    </row>
    <row r="15" spans="1:8" x14ac:dyDescent="0.2">
      <c r="A15" s="1041">
        <v>11</v>
      </c>
      <c r="B15" s="1995" t="s">
        <v>2185</v>
      </c>
      <c r="C15" s="1995" t="s">
        <v>2179</v>
      </c>
      <c r="D15" s="1995"/>
      <c r="E15" s="1995"/>
      <c r="F15" s="1995"/>
      <c r="G15" s="1995"/>
      <c r="H15" s="1995"/>
    </row>
    <row r="16" spans="1:8" x14ac:dyDescent="0.2">
      <c r="A16" s="1041"/>
    </row>
    <row r="17" spans="1:2" x14ac:dyDescent="0.2">
      <c r="A17" s="1041"/>
    </row>
    <row r="18" spans="1:2" x14ac:dyDescent="0.2">
      <c r="A18" s="1041"/>
    </row>
    <row r="19" spans="1:2" x14ac:dyDescent="0.2">
      <c r="A19" s="1041"/>
      <c r="B19" s="1992"/>
    </row>
    <row r="20" spans="1:2" x14ac:dyDescent="0.2">
      <c r="A20" s="1041"/>
    </row>
    <row r="21" spans="1:2" x14ac:dyDescent="0.2">
      <c r="A21" s="1041"/>
    </row>
    <row r="22" spans="1:2" x14ac:dyDescent="0.2">
      <c r="A22" s="1041"/>
    </row>
    <row r="23" spans="1:2" x14ac:dyDescent="0.2">
      <c r="A23" s="1041"/>
    </row>
    <row r="24" spans="1:2" x14ac:dyDescent="0.2">
      <c r="A24" s="1041"/>
    </row>
    <row r="25" spans="1:2" x14ac:dyDescent="0.2">
      <c r="A25" s="1041"/>
    </row>
    <row r="26" spans="1:2" x14ac:dyDescent="0.2">
      <c r="A26" s="1041"/>
    </row>
    <row r="27" spans="1:2" x14ac:dyDescent="0.2">
      <c r="A27" s="1041"/>
    </row>
    <row r="28" spans="1:2" x14ac:dyDescent="0.2">
      <c r="A28" s="1041"/>
    </row>
    <row r="29" spans="1:2" x14ac:dyDescent="0.2">
      <c r="A29" s="1041"/>
    </row>
    <row r="30" spans="1:2" x14ac:dyDescent="0.2">
      <c r="A30" s="1041"/>
    </row>
    <row r="31" spans="1:2" x14ac:dyDescent="0.2">
      <c r="A31" s="1041"/>
    </row>
    <row r="32" spans="1:2" x14ac:dyDescent="0.2">
      <c r="A32" s="1041"/>
    </row>
    <row r="33" spans="1:1" x14ac:dyDescent="0.2">
      <c r="A33" s="1041"/>
    </row>
    <row r="34" spans="1:1" x14ac:dyDescent="0.2">
      <c r="A34" s="1041"/>
    </row>
    <row r="35" spans="1:1" x14ac:dyDescent="0.2">
      <c r="A35" s="1041"/>
    </row>
    <row r="36" spans="1:1" x14ac:dyDescent="0.2">
      <c r="A36" s="1041"/>
    </row>
    <row r="37" spans="1:1" x14ac:dyDescent="0.2">
      <c r="A37" s="1041"/>
    </row>
    <row r="38" spans="1:1" x14ac:dyDescent="0.2">
      <c r="A38" s="1041"/>
    </row>
    <row r="39" spans="1:1" x14ac:dyDescent="0.2">
      <c r="A39" s="1041"/>
    </row>
    <row r="40" spans="1:1" x14ac:dyDescent="0.2">
      <c r="A40" s="1041"/>
    </row>
    <row r="41" spans="1:1" x14ac:dyDescent="0.2">
      <c r="A41" s="1041"/>
    </row>
    <row r="42" spans="1:1" x14ac:dyDescent="0.2">
      <c r="A42" s="1041"/>
    </row>
    <row r="43" spans="1:1" x14ac:dyDescent="0.2">
      <c r="A43" s="1041"/>
    </row>
    <row r="44" spans="1:1" x14ac:dyDescent="0.2">
      <c r="A44" s="1041"/>
    </row>
    <row r="45" spans="1:1" x14ac:dyDescent="0.2">
      <c r="A45" s="1041"/>
    </row>
    <row r="46" spans="1:1" x14ac:dyDescent="0.2">
      <c r="A46" s="1041"/>
    </row>
    <row r="47" spans="1:1" x14ac:dyDescent="0.2">
      <c r="A47" s="1041"/>
    </row>
    <row r="48" spans="1:1" x14ac:dyDescent="0.2">
      <c r="A48" s="1041"/>
    </row>
    <row r="49" spans="1:2" x14ac:dyDescent="0.2">
      <c r="A49" s="1041"/>
    </row>
    <row r="50" spans="1:2" x14ac:dyDescent="0.2">
      <c r="A50" s="1041"/>
    </row>
    <row r="51" spans="1:2" x14ac:dyDescent="0.2">
      <c r="A51" s="1041"/>
    </row>
    <row r="52" spans="1:2" x14ac:dyDescent="0.2">
      <c r="A52" s="1041"/>
    </row>
    <row r="53" spans="1:2" x14ac:dyDescent="0.2">
      <c r="A53" s="1041"/>
    </row>
    <row r="54" spans="1:2" x14ac:dyDescent="0.2">
      <c r="A54" s="1041"/>
    </row>
    <row r="55" spans="1:2" x14ac:dyDescent="0.2">
      <c r="A55" s="1041"/>
    </row>
    <row r="56" spans="1:2" x14ac:dyDescent="0.2">
      <c r="A56" s="1041"/>
    </row>
    <row r="57" spans="1:2" x14ac:dyDescent="0.2">
      <c r="A57" s="1041"/>
    </row>
    <row r="58" spans="1:2" x14ac:dyDescent="0.2">
      <c r="A58" s="1041"/>
    </row>
    <row r="59" spans="1:2" x14ac:dyDescent="0.2">
      <c r="A59" s="1041"/>
    </row>
    <row r="60" spans="1:2" x14ac:dyDescent="0.2">
      <c r="A60" s="1041"/>
    </row>
    <row r="61" spans="1:2" x14ac:dyDescent="0.2">
      <c r="A61" s="1041"/>
    </row>
    <row r="62" spans="1:2" x14ac:dyDescent="0.2">
      <c r="A62" s="1041"/>
    </row>
    <row r="63" spans="1:2" x14ac:dyDescent="0.2">
      <c r="A63" s="1041"/>
    </row>
    <row r="64" spans="1:2" x14ac:dyDescent="0.2">
      <c r="A64" s="1041"/>
      <c r="B64" s="258" t="str">
        <f>COVER!A17</f>
        <v>Hawthorn CCSD 73</v>
      </c>
    </row>
    <row r="65" spans="2:2" x14ac:dyDescent="0.2">
      <c r="B65" s="1042">
        <f>COVER!A13</f>
        <v>34049073004</v>
      </c>
    </row>
  </sheetData>
  <phoneticPr fontId="19"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AF22" sqref="AF2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1833</v>
      </c>
      <c r="C4" s="162" t="s">
        <v>1168</v>
      </c>
      <c r="D4" s="169" t="s">
        <v>10</v>
      </c>
      <c r="E4" s="170" t="s">
        <v>22</v>
      </c>
    </row>
    <row r="5" spans="1:5" x14ac:dyDescent="0.2">
      <c r="A5" s="168" t="s">
        <v>1835</v>
      </c>
      <c r="C5" s="162" t="s">
        <v>1168</v>
      </c>
      <c r="D5" s="169" t="s">
        <v>10</v>
      </c>
      <c r="E5" s="170" t="s">
        <v>22</v>
      </c>
    </row>
    <row r="6" spans="1:5" x14ac:dyDescent="0.2">
      <c r="A6" s="168" t="s">
        <v>1834</v>
      </c>
      <c r="C6" s="162" t="s">
        <v>1168</v>
      </c>
      <c r="D6" s="167" t="s">
        <v>11</v>
      </c>
      <c r="E6" s="170" t="s">
        <v>940</v>
      </c>
    </row>
    <row r="7" spans="1:5" x14ac:dyDescent="0.2">
      <c r="A7" s="168" t="s">
        <v>1836</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1837</v>
      </c>
      <c r="C11" s="162" t="s">
        <v>1168</v>
      </c>
      <c r="D11" s="169" t="s">
        <v>14</v>
      </c>
      <c r="E11" s="170" t="s">
        <v>1155</v>
      </c>
    </row>
    <row r="12" spans="1:5" x14ac:dyDescent="0.2">
      <c r="B12" s="169" t="s">
        <v>1838</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1839</v>
      </c>
      <c r="C15" s="162" t="s">
        <v>1168</v>
      </c>
      <c r="D15" s="169" t="s">
        <v>17</v>
      </c>
      <c r="E15" s="170" t="s">
        <v>635</v>
      </c>
    </row>
    <row r="16" spans="1:5" x14ac:dyDescent="0.2">
      <c r="A16" s="172"/>
      <c r="B16" s="162" t="s">
        <v>1840</v>
      </c>
      <c r="C16" s="162" t="s">
        <v>1168</v>
      </c>
      <c r="D16" s="169" t="s">
        <v>680</v>
      </c>
      <c r="E16" s="170" t="s">
        <v>1039</v>
      </c>
    </row>
    <row r="17" spans="1:5" x14ac:dyDescent="0.2">
      <c r="B17" s="167" t="s">
        <v>987</v>
      </c>
      <c r="C17" s="162" t="s">
        <v>1168</v>
      </c>
    </row>
    <row r="18" spans="1:5" x14ac:dyDescent="0.2">
      <c r="B18" s="167" t="s">
        <v>1846</v>
      </c>
      <c r="D18" s="169" t="s">
        <v>18</v>
      </c>
      <c r="E18" s="170" t="s">
        <v>1040</v>
      </c>
    </row>
    <row r="19" spans="1:5" x14ac:dyDescent="0.2">
      <c r="A19" s="168" t="s">
        <v>1098</v>
      </c>
      <c r="C19" s="162" t="s">
        <v>1168</v>
      </c>
      <c r="D19" s="169"/>
      <c r="E19" s="171"/>
    </row>
    <row r="20" spans="1:5" x14ac:dyDescent="0.2">
      <c r="B20" s="167" t="s">
        <v>1841</v>
      </c>
      <c r="C20" s="162" t="s">
        <v>1168</v>
      </c>
      <c r="D20" s="169" t="s">
        <v>19</v>
      </c>
      <c r="E20" s="170" t="s">
        <v>51</v>
      </c>
    </row>
    <row r="21" spans="1:5" x14ac:dyDescent="0.2">
      <c r="B21" s="167" t="s">
        <v>1842</v>
      </c>
      <c r="C21" s="162" t="s">
        <v>1168</v>
      </c>
      <c r="D21" s="169" t="s">
        <v>20</v>
      </c>
      <c r="E21" s="170" t="s">
        <v>1597</v>
      </c>
    </row>
    <row r="22" spans="1:5" x14ac:dyDescent="0.2">
      <c r="A22" s="168"/>
      <c r="B22" s="162" t="s">
        <v>1830</v>
      </c>
      <c r="C22" s="162" t="s">
        <v>1168</v>
      </c>
      <c r="D22" s="167" t="s">
        <v>1832</v>
      </c>
      <c r="E22" s="1789" t="s">
        <v>1598</v>
      </c>
    </row>
    <row r="23" spans="1:5" x14ac:dyDescent="0.2">
      <c r="A23" s="168"/>
      <c r="B23" s="162" t="s">
        <v>1831</v>
      </c>
      <c r="D23" s="167" t="s">
        <v>636</v>
      </c>
      <c r="E23" s="1789" t="s">
        <v>958</v>
      </c>
    </row>
    <row r="24" spans="1:5" x14ac:dyDescent="0.2">
      <c r="A24" s="168" t="s">
        <v>1596</v>
      </c>
      <c r="C24" s="162" t="s">
        <v>1168</v>
      </c>
      <c r="D24" s="167" t="s">
        <v>1380</v>
      </c>
      <c r="E24" s="170" t="s">
        <v>959</v>
      </c>
    </row>
    <row r="25" spans="1:5" x14ac:dyDescent="0.2">
      <c r="A25" s="168" t="s">
        <v>1843</v>
      </c>
      <c r="C25" s="162" t="s">
        <v>1168</v>
      </c>
      <c r="D25" s="169" t="s">
        <v>21</v>
      </c>
      <c r="E25" s="170" t="s">
        <v>1041</v>
      </c>
    </row>
    <row r="26" spans="1:5" x14ac:dyDescent="0.2">
      <c r="A26" s="168" t="s">
        <v>1844</v>
      </c>
      <c r="C26" s="162" t="s">
        <v>1168</v>
      </c>
      <c r="D26" s="169" t="s">
        <v>562</v>
      </c>
      <c r="E26" s="170" t="s">
        <v>1042</v>
      </c>
    </row>
    <row r="27" spans="1:5" x14ac:dyDescent="0.2">
      <c r="A27" s="168" t="s">
        <v>1845</v>
      </c>
      <c r="C27" s="162" t="s">
        <v>1168</v>
      </c>
      <c r="D27" s="169" t="s">
        <v>556</v>
      </c>
      <c r="E27" s="170" t="s">
        <v>682</v>
      </c>
    </row>
    <row r="28" spans="1:5" x14ac:dyDescent="0.2">
      <c r="A28" s="168" t="s">
        <v>1847</v>
      </c>
      <c r="D28" s="169" t="s">
        <v>683</v>
      </c>
      <c r="E28" s="170" t="s">
        <v>1353</v>
      </c>
    </row>
    <row r="29" spans="1:5" x14ac:dyDescent="0.2">
      <c r="A29" s="168" t="s">
        <v>1848</v>
      </c>
      <c r="D29" s="169" t="s">
        <v>1381</v>
      </c>
      <c r="E29" s="170" t="s">
        <v>1362</v>
      </c>
    </row>
    <row r="30" spans="1:5" x14ac:dyDescent="0.2">
      <c r="A30" s="173" t="s">
        <v>1849</v>
      </c>
      <c r="C30" s="162" t="s">
        <v>1168</v>
      </c>
      <c r="D30" s="169" t="s">
        <v>40</v>
      </c>
      <c r="E30" s="170" t="s">
        <v>981</v>
      </c>
    </row>
    <row r="31" spans="1:5" x14ac:dyDescent="0.2">
      <c r="A31" s="168" t="s">
        <v>1508</v>
      </c>
      <c r="C31" s="162" t="s">
        <v>1168</v>
      </c>
      <c r="D31" s="167"/>
      <c r="E31" s="171"/>
    </row>
    <row r="32" spans="1:5" x14ac:dyDescent="0.2">
      <c r="B32" s="167" t="s">
        <v>1850</v>
      </c>
      <c r="C32" s="162" t="s">
        <v>1168</v>
      </c>
      <c r="D32" s="169" t="s">
        <v>1509</v>
      </c>
      <c r="E32" s="170" t="s">
        <v>1382</v>
      </c>
    </row>
    <row r="33" spans="1:5" x14ac:dyDescent="0.2">
      <c r="A33" s="172"/>
      <c r="D33" s="169"/>
      <c r="E33" s="171"/>
    </row>
    <row r="34" spans="1:5" x14ac:dyDescent="0.2">
      <c r="A34" s="172"/>
      <c r="D34" s="169"/>
      <c r="E34" s="171"/>
    </row>
    <row r="35" spans="1:5" ht="15.75" customHeight="1" thickBot="1" x14ac:dyDescent="0.25">
      <c r="A35" s="2170" t="s">
        <v>1064</v>
      </c>
      <c r="B35" s="2170"/>
      <c r="C35" s="2170"/>
      <c r="D35" s="2170"/>
      <c r="E35" s="21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67" t="s">
        <v>690</v>
      </c>
      <c r="B40" s="2167"/>
      <c r="C40" s="2167"/>
      <c r="D40" s="2167"/>
      <c r="E40" s="2167"/>
    </row>
    <row r="41" spans="1:5" x14ac:dyDescent="0.2">
      <c r="A41" s="2168" t="s">
        <v>1595</v>
      </c>
      <c r="B41" s="2168"/>
      <c r="C41" s="2168"/>
      <c r="D41" s="2168"/>
      <c r="E41" s="2168"/>
    </row>
    <row r="42" spans="1:5" ht="12.75" customHeight="1" x14ac:dyDescent="0.2">
      <c r="A42" s="2169" t="s">
        <v>1021</v>
      </c>
      <c r="B42" s="2169"/>
      <c r="C42" s="2169"/>
      <c r="D42" s="2169"/>
      <c r="E42" s="2169"/>
    </row>
    <row r="43" spans="1:5" ht="6.75" customHeight="1" x14ac:dyDescent="0.2">
      <c r="A43" s="167"/>
      <c r="B43" s="176"/>
    </row>
    <row r="44" spans="1:5" x14ac:dyDescent="0.2">
      <c r="A44" s="185" t="s">
        <v>982</v>
      </c>
      <c r="B44" s="186" t="s">
        <v>1876</v>
      </c>
    </row>
    <row r="45" spans="1:5" ht="6.75" customHeight="1" x14ac:dyDescent="0.2">
      <c r="A45" s="187"/>
      <c r="B45" s="186"/>
    </row>
    <row r="46" spans="1:5" x14ac:dyDescent="0.2">
      <c r="A46" s="185" t="s">
        <v>983</v>
      </c>
      <c r="B46" s="169" t="s">
        <v>1600</v>
      </c>
    </row>
    <row r="47" spans="1:5" ht="9.75" customHeight="1" x14ac:dyDescent="0.2">
      <c r="A47" s="189"/>
      <c r="B47" s="188"/>
    </row>
    <row r="48" spans="1:5" x14ac:dyDescent="0.2">
      <c r="A48" s="169" t="s">
        <v>1599</v>
      </c>
      <c r="B48" s="169" t="s">
        <v>1604</v>
      </c>
      <c r="C48" s="177"/>
    </row>
    <row r="49" spans="1:3" ht="9.75" customHeight="1" x14ac:dyDescent="0.2">
      <c r="A49" s="188"/>
      <c r="B49" s="188"/>
      <c r="C49" s="177"/>
    </row>
    <row r="50" spans="1:3" x14ac:dyDescent="0.2">
      <c r="A50" s="200" t="s">
        <v>1601</v>
      </c>
      <c r="B50" s="198" t="s">
        <v>1605</v>
      </c>
    </row>
    <row r="51" spans="1:3" x14ac:dyDescent="0.2">
      <c r="B51" s="169" t="s">
        <v>1745</v>
      </c>
    </row>
    <row r="52" spans="1:3" x14ac:dyDescent="0.2">
      <c r="A52" s="190"/>
      <c r="B52" s="188" t="s">
        <v>1765</v>
      </c>
    </row>
    <row r="53" spans="1:3" ht="4.5" customHeight="1" x14ac:dyDescent="0.2">
      <c r="A53" s="190"/>
      <c r="B53" s="190"/>
    </row>
    <row r="54" spans="1:3" x14ac:dyDescent="0.2">
      <c r="A54" s="190"/>
      <c r="B54" s="201" t="s">
        <v>1602</v>
      </c>
    </row>
    <row r="55" spans="1:3" ht="8.25" customHeight="1" x14ac:dyDescent="0.2">
      <c r="A55" s="190"/>
      <c r="B55" s="191"/>
    </row>
    <row r="56" spans="1:3" x14ac:dyDescent="0.2">
      <c r="A56" s="192"/>
      <c r="B56" s="169" t="s">
        <v>1746</v>
      </c>
    </row>
    <row r="57" spans="1:3" x14ac:dyDescent="0.2">
      <c r="A57" s="193"/>
      <c r="B57" s="190" t="s">
        <v>1748</v>
      </c>
    </row>
    <row r="58" spans="1:3" x14ac:dyDescent="0.2">
      <c r="A58" s="194"/>
      <c r="B58" s="190" t="s">
        <v>1749</v>
      </c>
    </row>
    <row r="59" spans="1:3" x14ac:dyDescent="0.2">
      <c r="A59" s="195"/>
      <c r="B59" s="1438" t="s">
        <v>1750</v>
      </c>
    </row>
    <row r="60" spans="1:3" x14ac:dyDescent="0.2">
      <c r="A60" s="196"/>
      <c r="B60" s="1438" t="s">
        <v>1751</v>
      </c>
    </row>
    <row r="61" spans="1:3" ht="6" customHeight="1" x14ac:dyDescent="0.2">
      <c r="A61" s="197"/>
      <c r="B61" s="189"/>
    </row>
    <row r="62" spans="1:3" x14ac:dyDescent="0.2">
      <c r="A62" s="169" t="s">
        <v>1603</v>
      </c>
      <c r="B62" s="198" t="s">
        <v>1747</v>
      </c>
    </row>
    <row r="63" spans="1:3" x14ac:dyDescent="0.2">
      <c r="A63" s="188"/>
      <c r="B63" s="169" t="s">
        <v>1762</v>
      </c>
    </row>
    <row r="64" spans="1:3" x14ac:dyDescent="0.2">
      <c r="A64" s="195"/>
      <c r="B64" s="1440" t="s">
        <v>1752</v>
      </c>
    </row>
    <row r="65" spans="1:9" x14ac:dyDescent="0.2">
      <c r="A65" s="188"/>
      <c r="B65" s="169" t="s">
        <v>1763</v>
      </c>
    </row>
    <row r="66" spans="1:9" x14ac:dyDescent="0.2">
      <c r="A66" s="190"/>
      <c r="B66" s="190" t="s">
        <v>1753</v>
      </c>
    </row>
    <row r="67" spans="1:9" ht="12" customHeight="1" x14ac:dyDescent="0.2">
      <c r="A67" s="188"/>
      <c r="B67" s="169" t="s">
        <v>1764</v>
      </c>
    </row>
    <row r="68" spans="1:9" x14ac:dyDescent="0.2">
      <c r="A68" s="189"/>
      <c r="B68" s="190" t="s">
        <v>1754</v>
      </c>
    </row>
    <row r="69" spans="1:9" x14ac:dyDescent="0.2">
      <c r="A69" s="190"/>
      <c r="B69" s="188" t="s">
        <v>1755</v>
      </c>
    </row>
    <row r="70" spans="1:9" ht="13.5" customHeight="1" x14ac:dyDescent="0.2">
      <c r="A70" s="190"/>
      <c r="B70" s="188" t="s">
        <v>1756</v>
      </c>
    </row>
    <row r="71" spans="1:9" ht="12" customHeight="1" x14ac:dyDescent="0.2">
      <c r="A71" s="192"/>
      <c r="B71" s="1439" t="s">
        <v>1606</v>
      </c>
    </row>
    <row r="72" spans="1:9" ht="9" customHeight="1" x14ac:dyDescent="0.2">
      <c r="A72" s="192"/>
      <c r="B72" s="199"/>
    </row>
    <row r="73" spans="1:9" x14ac:dyDescent="0.2">
      <c r="A73" s="189" t="s">
        <v>1607</v>
      </c>
      <c r="B73" s="169" t="s">
        <v>1758</v>
      </c>
    </row>
    <row r="74" spans="1:9" x14ac:dyDescent="0.2">
      <c r="A74" s="189"/>
      <c r="B74" s="169" t="s">
        <v>1757</v>
      </c>
    </row>
    <row r="75" spans="1:9" ht="8.25" customHeight="1" x14ac:dyDescent="0.2">
      <c r="A75" s="189"/>
      <c r="B75" s="189"/>
    </row>
    <row r="76" spans="1:9" ht="12.2" customHeight="1" x14ac:dyDescent="0.2">
      <c r="A76" s="189" t="s">
        <v>1608</v>
      </c>
      <c r="B76" s="198" t="s">
        <v>1759</v>
      </c>
    </row>
    <row r="77" spans="1:9" ht="12.2" customHeight="1" x14ac:dyDescent="0.2">
      <c r="A77" s="190"/>
      <c r="B77" s="169" t="s">
        <v>1609</v>
      </c>
      <c r="C77" s="179"/>
      <c r="D77" s="180"/>
      <c r="E77" s="181"/>
      <c r="F77" s="181"/>
      <c r="G77" s="181"/>
      <c r="H77" s="181"/>
      <c r="I77" s="181"/>
    </row>
    <row r="78" spans="1:9" ht="11.25" customHeight="1" x14ac:dyDescent="0.2">
      <c r="A78" s="190"/>
      <c r="B78" s="190" t="s">
        <v>1761</v>
      </c>
      <c r="C78" s="179"/>
      <c r="D78" s="182"/>
      <c r="E78" s="182"/>
      <c r="F78" s="182"/>
      <c r="G78" s="182"/>
      <c r="H78" s="182"/>
      <c r="I78" s="181"/>
    </row>
    <row r="79" spans="1:9" ht="12.2" customHeight="1" x14ac:dyDescent="0.2">
      <c r="A79" s="190"/>
      <c r="B79" s="169" t="s">
        <v>1610</v>
      </c>
      <c r="C79" s="179"/>
      <c r="D79" s="182"/>
      <c r="E79" s="182"/>
      <c r="F79" s="182"/>
      <c r="G79" s="182"/>
      <c r="H79" s="182"/>
      <c r="I79" s="181"/>
    </row>
    <row r="80" spans="1:9" ht="11.25" customHeight="1" x14ac:dyDescent="0.2">
      <c r="A80" s="189"/>
      <c r="B80" s="190" t="s">
        <v>1760</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AF22" sqref="AF2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1401</v>
      </c>
      <c r="D6" s="24"/>
    </row>
    <row r="7" spans="1:4" ht="13.5" customHeight="1" x14ac:dyDescent="0.2">
      <c r="A7" s="23"/>
      <c r="B7" s="25"/>
      <c r="C7" s="65" t="s">
        <v>1402</v>
      </c>
      <c r="D7" s="24"/>
    </row>
    <row r="8" spans="1:4" ht="13.5" customHeight="1" x14ac:dyDescent="0.2">
      <c r="A8" s="23"/>
      <c r="B8" s="146" t="s">
        <v>942</v>
      </c>
      <c r="C8" s="65" t="s">
        <v>1387</v>
      </c>
      <c r="D8" s="24"/>
    </row>
    <row r="9" spans="1:4" ht="13.5" customHeight="1" x14ac:dyDescent="0.2">
      <c r="A9" s="14"/>
      <c r="B9" s="144" t="s">
        <v>943</v>
      </c>
      <c r="C9" s="142" t="s">
        <v>1306</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1386</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1312</v>
      </c>
      <c r="C15" s="142" t="s">
        <v>1313</v>
      </c>
    </row>
    <row r="16" spans="1:4" ht="12.75" customHeight="1" x14ac:dyDescent="0.2">
      <c r="C16" s="142" t="s">
        <v>1314</v>
      </c>
    </row>
    <row r="17" spans="3:3" ht="12.75" customHeight="1" x14ac:dyDescent="0.2">
      <c r="C17" s="66" t="s">
        <v>1315</v>
      </c>
    </row>
    <row r="19" spans="3:3" x14ac:dyDescent="0.2">
      <c r="C19" s="7"/>
    </row>
  </sheetData>
  <sheetProtection password="F60E" sheet="1" objects="1" scenarios="1"/>
  <phoneticPr fontId="19"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I23" sqref="I23"/>
    </sheetView>
  </sheetViews>
  <sheetFormatPr defaultRowHeight="12.75" x14ac:dyDescent="0.2"/>
  <cols>
    <col min="1" max="1" width="1.85546875" style="329" customWidth="1"/>
    <col min="2" max="2" width="59.7109375" style="329" customWidth="1"/>
    <col min="3" max="16384" width="9.140625" style="329"/>
  </cols>
  <sheetData>
    <row r="11" spans="1:6" x14ac:dyDescent="0.2">
      <c r="B11" s="1043"/>
      <c r="C11" s="1043"/>
      <c r="D11" s="1043"/>
      <c r="E11" s="1043"/>
      <c r="F11" s="1043"/>
    </row>
    <row r="13" spans="1:6" x14ac:dyDescent="0.2">
      <c r="A13" s="1044" t="s">
        <v>1480</v>
      </c>
    </row>
    <row r="15" spans="1:6" x14ac:dyDescent="0.2">
      <c r="A15" s="389" t="s">
        <v>856</v>
      </c>
    </row>
    <row r="16" spans="1:6" s="1043" customFormat="1" ht="45" customHeight="1" x14ac:dyDescent="0.2">
      <c r="A16" s="1045"/>
      <c r="B16" s="1045" t="s">
        <v>1671</v>
      </c>
    </row>
    <row r="17" spans="1:2" ht="6" customHeight="1" x14ac:dyDescent="0.2"/>
    <row r="18" spans="1:2" ht="24.75" customHeight="1" x14ac:dyDescent="0.2">
      <c r="A18" s="2453" t="s">
        <v>1672</v>
      </c>
      <c r="B18" s="2453"/>
    </row>
  </sheetData>
  <sheetProtection selectLockedCells="1"/>
  <mergeCells count="1">
    <mergeCell ref="A18:B18"/>
  </mergeCells>
  <phoneticPr fontId="19"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Document.2017" dvAspect="DVASPECT_ICON" shapeId="35842" r:id="rId4">
          <objectPr defaultSize="0" r:id="rId5">
            <anchor moveWithCells="1">
              <from>
                <xdr:col>1</xdr:col>
                <xdr:colOff>0</xdr:colOff>
                <xdr:row>7</xdr:row>
                <xdr:rowOff>0</xdr:rowOff>
              </from>
              <to>
                <xdr:col>1</xdr:col>
                <xdr:colOff>914400</xdr:colOff>
                <xdr:row>11</xdr:row>
                <xdr:rowOff>38100</xdr:rowOff>
              </to>
            </anchor>
          </objectPr>
        </oleObject>
      </mc:Choice>
      <mc:Fallback>
        <oleObject progId="Acrobat.Document.2017" dvAspect="DVASPECT_ICON" shapeId="35842"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AF22" sqref="AF22"/>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54" t="s">
        <v>1677</v>
      </c>
      <c r="B1" s="2455"/>
      <c r="C1" s="2455"/>
      <c r="D1" s="2455"/>
      <c r="E1" s="2455"/>
      <c r="F1" s="2456"/>
    </row>
    <row r="2" spans="1:8" ht="45" customHeight="1" x14ac:dyDescent="0.2">
      <c r="A2" s="2464" t="s">
        <v>1961</v>
      </c>
      <c r="B2" s="2465"/>
      <c r="C2" s="2465"/>
      <c r="D2" s="2465"/>
      <c r="E2" s="2465"/>
      <c r="F2" s="2466"/>
      <c r="G2" s="1046"/>
      <c r="H2" s="1046"/>
    </row>
    <row r="3" spans="1:8" ht="57" customHeight="1" x14ac:dyDescent="0.2">
      <c r="A3" s="2467" t="s">
        <v>1673</v>
      </c>
      <c r="B3" s="2468"/>
      <c r="C3" s="2468"/>
      <c r="D3" s="2468"/>
      <c r="E3" s="2468"/>
      <c r="F3" s="2469"/>
      <c r="G3" s="1046"/>
      <c r="H3" s="1046"/>
    </row>
    <row r="4" spans="1:8" ht="14.25" customHeight="1" x14ac:dyDescent="0.2">
      <c r="A4" s="2473" t="s">
        <v>1962</v>
      </c>
      <c r="B4" s="2474"/>
      <c r="C4" s="2474"/>
      <c r="D4" s="2474"/>
      <c r="E4" s="2474"/>
      <c r="F4" s="2475"/>
      <c r="G4" s="1046"/>
      <c r="H4" s="1046"/>
    </row>
    <row r="5" spans="1:8" ht="14.25" customHeight="1" x14ac:dyDescent="0.2">
      <c r="A5" s="2476" t="s">
        <v>1958</v>
      </c>
      <c r="B5" s="2477"/>
      <c r="C5" s="2477"/>
      <c r="D5" s="2477"/>
      <c r="E5" s="2477"/>
      <c r="F5" s="2478"/>
      <c r="G5" s="1046"/>
      <c r="H5" s="1046"/>
    </row>
    <row r="6" spans="1:8" s="1047" customFormat="1" ht="41.25" customHeight="1" x14ac:dyDescent="0.2">
      <c r="A6" s="2470" t="s">
        <v>1678</v>
      </c>
      <c r="B6" s="2471"/>
      <c r="C6" s="2471"/>
      <c r="D6" s="2471"/>
      <c r="E6" s="2471"/>
      <c r="F6" s="2472"/>
    </row>
    <row r="7" spans="1:8" ht="42" customHeight="1" x14ac:dyDescent="0.2">
      <c r="A7" s="1048" t="s">
        <v>480</v>
      </c>
      <c r="B7" s="1049" t="s">
        <v>1483</v>
      </c>
      <c r="C7" s="1049" t="s">
        <v>1484</v>
      </c>
      <c r="D7" s="1049" t="s">
        <v>1482</v>
      </c>
      <c r="E7" s="1049" t="s">
        <v>1485</v>
      </c>
      <c r="F7" s="1049" t="s">
        <v>1354</v>
      </c>
    </row>
    <row r="8" spans="1:8" s="1051" customFormat="1" ht="14.25" customHeight="1" x14ac:dyDescent="0.2">
      <c r="A8" s="1050" t="s">
        <v>1355</v>
      </c>
      <c r="B8" s="1768">
        <f>'Acct Summary 7-8'!C8</f>
        <v>42611827</v>
      </c>
      <c r="C8" s="1768">
        <f>'Acct Summary 7-8'!D8</f>
        <v>4225862</v>
      </c>
      <c r="D8" s="1768">
        <f>'Acct Summary 7-8'!F8</f>
        <v>3755847</v>
      </c>
      <c r="E8" s="1768">
        <f>'Acct Summary 7-8'!I8</f>
        <v>387825</v>
      </c>
      <c r="F8" s="1768">
        <f>SUM(B8:E8)</f>
        <v>50981361</v>
      </c>
    </row>
    <row r="9" spans="1:8" s="1051" customFormat="1" ht="14.25" customHeight="1" thickBot="1" x14ac:dyDescent="0.25">
      <c r="A9" s="1050" t="s">
        <v>1356</v>
      </c>
      <c r="B9" s="1769">
        <f>'Acct Summary 7-8'!C17</f>
        <v>42516323</v>
      </c>
      <c r="C9" s="1769">
        <f>'Acct Summary 7-8'!D17</f>
        <v>3688892</v>
      </c>
      <c r="D9" s="1769">
        <f>'Acct Summary 7-8'!F17</f>
        <v>3483324</v>
      </c>
      <c r="E9" s="1768"/>
      <c r="F9" s="1768">
        <f>SUM(B9:E9)</f>
        <v>49688539</v>
      </c>
    </row>
    <row r="10" spans="1:8" s="1051" customFormat="1" ht="14.25" thickTop="1" thickBot="1" x14ac:dyDescent="0.25">
      <c r="A10" s="1052" t="s">
        <v>1357</v>
      </c>
      <c r="B10" s="1770">
        <f>(B8-B9)</f>
        <v>95504</v>
      </c>
      <c r="C10" s="1770">
        <f>(C8-C9)</f>
        <v>536970</v>
      </c>
      <c r="D10" s="1770">
        <f>(D8-D9)</f>
        <v>272523</v>
      </c>
      <c r="E10" s="1769">
        <f>(E8-E9)</f>
        <v>387825</v>
      </c>
      <c r="F10" s="1771">
        <f>SUM(F8-F9)</f>
        <v>1292822</v>
      </c>
    </row>
    <row r="11" spans="1:8" s="1051" customFormat="1" ht="14.25" thickTop="1" thickBot="1" x14ac:dyDescent="0.25">
      <c r="A11" s="1053" t="s">
        <v>1959</v>
      </c>
      <c r="B11" s="1772">
        <f>'Acct Summary 7-8'!C81</f>
        <v>7601143</v>
      </c>
      <c r="C11" s="1772">
        <f>'Acct Summary 7-8'!D81</f>
        <v>4698019</v>
      </c>
      <c r="D11" s="1772">
        <f>'Acct Summary 7-8'!F81</f>
        <v>1898601</v>
      </c>
      <c r="E11" s="1772">
        <f>'Acct Summary 7-8'!I81</f>
        <v>18653165</v>
      </c>
      <c r="F11" s="1773">
        <f>SUM(B11:E11)</f>
        <v>32850928</v>
      </c>
    </row>
    <row r="12" spans="1:8" ht="16.5" customHeight="1" thickTop="1" x14ac:dyDescent="0.2">
      <c r="A12" s="1054"/>
      <c r="B12" s="1055"/>
      <c r="C12" s="2458" t="str">
        <f>IF(AND(F10&lt;0,F11&gt;=0,ABS(F10*3)&gt;ABS(F11)),A16,IF(AND(F10&lt;0,F11&gt;0,ABS(F10*3)&lt;=ABS(F11)),A17,IF(AND(F10&lt;0,F11&lt;0),A16,IF(F11=0,A19,A18))))</f>
        <v>Balanced - no deficit reduction plan is required.</v>
      </c>
      <c r="D12" s="2459"/>
      <c r="E12" s="2459"/>
      <c r="F12" s="2460"/>
    </row>
    <row r="13" spans="1:8" ht="19.5" customHeight="1" x14ac:dyDescent="0.2">
      <c r="A13" s="1056"/>
      <c r="B13" s="1057"/>
      <c r="C13" s="2458"/>
      <c r="D13" s="2459"/>
      <c r="E13" s="2459"/>
      <c r="F13" s="2460"/>
      <c r="H13" s="1046"/>
    </row>
    <row r="14" spans="1:8" ht="19.5" customHeight="1" x14ac:dyDescent="0.2">
      <c r="A14" s="1056"/>
      <c r="B14" s="1057"/>
      <c r="C14" s="2458"/>
      <c r="D14" s="2459"/>
      <c r="E14" s="2459"/>
      <c r="F14" s="2460"/>
      <c r="H14" s="1046"/>
    </row>
    <row r="15" spans="1:8" ht="17.25" customHeight="1" x14ac:dyDescent="0.2">
      <c r="A15" s="1056"/>
      <c r="B15" s="1057"/>
      <c r="C15" s="2461"/>
      <c r="D15" s="2462"/>
      <c r="E15" s="2462"/>
      <c r="F15" s="2463"/>
      <c r="H15" s="1046"/>
    </row>
    <row r="16" spans="1:8" s="310" customFormat="1" ht="51.75" hidden="1" customHeight="1" x14ac:dyDescent="0.2">
      <c r="A16" s="2457" t="s">
        <v>1674</v>
      </c>
      <c r="B16" s="2457"/>
      <c r="C16" s="2457"/>
      <c r="D16" s="2457"/>
      <c r="E16" s="2457"/>
      <c r="F16" s="310" t="s">
        <v>1358</v>
      </c>
    </row>
    <row r="17" spans="1:6" hidden="1" x14ac:dyDescent="0.2">
      <c r="A17" s="316" t="s">
        <v>1675</v>
      </c>
      <c r="F17" s="1058" t="s">
        <v>1359</v>
      </c>
    </row>
    <row r="18" spans="1:6" hidden="1" x14ac:dyDescent="0.2">
      <c r="A18" s="316" t="s">
        <v>1676</v>
      </c>
      <c r="F18" s="316" t="s">
        <v>1397</v>
      </c>
    </row>
    <row r="19" spans="1:6" hidden="1" x14ac:dyDescent="0.2">
      <c r="A19" s="316" t="s">
        <v>1396</v>
      </c>
      <c r="F19" s="316" t="s">
        <v>1361</v>
      </c>
    </row>
    <row r="20" spans="1:6" ht="14.25" customHeight="1" x14ac:dyDescent="0.2"/>
    <row r="21" spans="1:6" x14ac:dyDescent="0.2">
      <c r="B21" s="1059"/>
    </row>
    <row r="48" spans="3:3" x14ac:dyDescent="0.2">
      <c r="C48" s="1058"/>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 colorId="8" zoomScale="110" zoomScaleNormal="110" workbookViewId="0">
      <selection activeCell="D49" sqref="D49"/>
    </sheetView>
  </sheetViews>
  <sheetFormatPr defaultColWidth="9.140625" defaultRowHeight="12" x14ac:dyDescent="0.2"/>
  <cols>
    <col min="1" max="1" width="2.7109375" style="1105" customWidth="1"/>
    <col min="2" max="2" width="3.140625" style="1105" customWidth="1"/>
    <col min="3" max="3" width="96.140625" style="1045" customWidth="1"/>
    <col min="4" max="4" width="42.140625" style="242" customWidth="1"/>
    <col min="5" max="5" width="2.7109375" style="1064" customWidth="1"/>
    <col min="6" max="6" width="1" style="1064" customWidth="1"/>
    <col min="7" max="16384" width="9.140625" style="1064"/>
  </cols>
  <sheetData>
    <row r="1" spans="1:4" ht="4.5" customHeight="1" thickBot="1" x14ac:dyDescent="0.25">
      <c r="A1" s="1060"/>
      <c r="B1" s="1061"/>
      <c r="C1" s="1062"/>
      <c r="D1" s="1063"/>
    </row>
    <row r="2" spans="1:4" ht="7.5" customHeight="1" thickTop="1" x14ac:dyDescent="0.2">
      <c r="A2" s="1850"/>
      <c r="B2" s="1851"/>
      <c r="C2" s="1852"/>
      <c r="D2" s="1853"/>
    </row>
    <row r="3" spans="1:4" ht="36" customHeight="1" x14ac:dyDescent="0.2">
      <c r="A3" s="2479" t="s">
        <v>664</v>
      </c>
      <c r="B3" s="2480"/>
      <c r="C3" s="2480"/>
      <c r="D3" s="2481"/>
    </row>
    <row r="4" spans="1:4" x14ac:dyDescent="0.2">
      <c r="A4" s="1124" t="s">
        <v>1679</v>
      </c>
      <c r="B4" s="1125"/>
      <c r="C4" s="1126"/>
      <c r="D4" s="1127"/>
    </row>
    <row r="5" spans="1:4" ht="21" customHeight="1" x14ac:dyDescent="0.2">
      <c r="A5" s="1120"/>
      <c r="B5" s="1121">
        <v>1</v>
      </c>
      <c r="C5" s="1122" t="s">
        <v>1809</v>
      </c>
      <c r="D5" s="1123"/>
    </row>
    <row r="6" spans="1:4" s="643" customFormat="1" ht="14.25" customHeight="1" x14ac:dyDescent="0.2">
      <c r="A6" s="1110"/>
      <c r="B6" s="1065">
        <f t="shared" ref="B6:B13" si="0">B5+1</f>
        <v>2</v>
      </c>
      <c r="C6" s="1066" t="s">
        <v>863</v>
      </c>
      <c r="D6" s="1067"/>
    </row>
    <row r="7" spans="1:4" s="643" customFormat="1" ht="12.75" x14ac:dyDescent="0.2">
      <c r="A7" s="1110"/>
      <c r="B7" s="1065">
        <f t="shared" si="0"/>
        <v>3</v>
      </c>
      <c r="C7" s="2490" t="s">
        <v>1491</v>
      </c>
      <c r="D7" s="2491"/>
    </row>
    <row r="8" spans="1:4" s="643" customFormat="1" ht="12.75" x14ac:dyDescent="0.2">
      <c r="A8" s="1110"/>
      <c r="B8" s="1065"/>
      <c r="C8" s="1068" t="s">
        <v>1490</v>
      </c>
      <c r="D8" s="1069"/>
    </row>
    <row r="9" spans="1:4" s="643" customFormat="1" ht="14.25" customHeight="1" x14ac:dyDescent="0.2">
      <c r="A9" s="1110"/>
      <c r="B9" s="1065">
        <f>B7+1</f>
        <v>4</v>
      </c>
      <c r="C9" s="1066" t="s">
        <v>1887</v>
      </c>
      <c r="D9" s="1067"/>
    </row>
    <row r="10" spans="1:4" s="643" customFormat="1" ht="14.25" customHeight="1" x14ac:dyDescent="0.2">
      <c r="A10" s="1110"/>
      <c r="B10" s="1065">
        <f t="shared" si="0"/>
        <v>5</v>
      </c>
      <c r="C10" s="1066" t="s">
        <v>638</v>
      </c>
      <c r="D10" s="1067"/>
    </row>
    <row r="11" spans="1:4" s="643" customFormat="1" ht="14.25" customHeight="1" x14ac:dyDescent="0.2">
      <c r="A11" s="1110"/>
      <c r="B11" s="1065">
        <f t="shared" si="0"/>
        <v>6</v>
      </c>
      <c r="C11" s="1066" t="s">
        <v>777</v>
      </c>
      <c r="D11" s="1067"/>
    </row>
    <row r="12" spans="1:4" s="643" customFormat="1" ht="14.25" customHeight="1" x14ac:dyDescent="0.2">
      <c r="A12" s="1110"/>
      <c r="B12" s="1065">
        <f t="shared" si="0"/>
        <v>7</v>
      </c>
      <c r="C12" s="1066" t="s">
        <v>1061</v>
      </c>
      <c r="D12" s="1067"/>
    </row>
    <row r="13" spans="1:4" s="643" customFormat="1" ht="14.25" customHeight="1" x14ac:dyDescent="0.2">
      <c r="A13" s="1110"/>
      <c r="B13" s="1065">
        <f t="shared" si="0"/>
        <v>8</v>
      </c>
      <c r="C13" s="1106" t="s">
        <v>778</v>
      </c>
      <c r="D13" s="1067"/>
    </row>
    <row r="14" spans="1:4" s="643" customFormat="1" ht="14.25" customHeight="1" x14ac:dyDescent="0.2">
      <c r="A14" s="1110"/>
      <c r="B14" s="1107">
        <v>9</v>
      </c>
      <c r="C14" s="1108" t="s">
        <v>1492</v>
      </c>
      <c r="D14" s="1109"/>
    </row>
    <row r="15" spans="1:4" s="643" customFormat="1" ht="21.75" customHeight="1" x14ac:dyDescent="0.2">
      <c r="A15" s="2482" t="s">
        <v>1007</v>
      </c>
      <c r="B15" s="2483"/>
      <c r="C15" s="2483"/>
      <c r="D15" s="2484"/>
    </row>
    <row r="16" spans="1:4" s="643" customFormat="1" ht="24" customHeight="1" x14ac:dyDescent="0.2">
      <c r="A16" s="2485" t="s">
        <v>662</v>
      </c>
      <c r="B16" s="2486"/>
      <c r="C16" s="2486"/>
      <c r="D16" s="2487"/>
    </row>
    <row r="17" spans="1:10" s="643" customFormat="1" ht="12.75" customHeight="1" x14ac:dyDescent="0.2">
      <c r="A17" s="1128" t="s">
        <v>1680</v>
      </c>
      <c r="B17" s="1129"/>
      <c r="C17" s="1130"/>
      <c r="D17" s="1131"/>
    </row>
    <row r="18" spans="1:10" s="643" customFormat="1" ht="12.75" customHeight="1" x14ac:dyDescent="0.2">
      <c r="A18" s="1132" t="s">
        <v>1681</v>
      </c>
      <c r="B18" s="1133"/>
      <c r="C18" s="1134"/>
      <c r="D18" s="1135"/>
    </row>
    <row r="19" spans="1:10" ht="6.75" customHeight="1" thickBot="1" x14ac:dyDescent="0.25">
      <c r="A19" s="1136"/>
      <c r="B19" s="1137"/>
      <c r="C19" s="1138"/>
      <c r="D19" s="1139"/>
    </row>
    <row r="20" spans="1:10" s="1143" customFormat="1" ht="12.75" thickTop="1" x14ac:dyDescent="0.2">
      <c r="A20" s="1140"/>
      <c r="B20" s="1141" t="s">
        <v>1682</v>
      </c>
      <c r="C20" s="1142"/>
      <c r="D20" s="1145" t="s">
        <v>709</v>
      </c>
    </row>
    <row r="21" spans="1:10" x14ac:dyDescent="0.2">
      <c r="A21" s="1070"/>
      <c r="B21" s="1071">
        <v>1</v>
      </c>
      <c r="C21" s="2494" t="s">
        <v>313</v>
      </c>
      <c r="D21" s="2495"/>
    </row>
    <row r="22" spans="1:10" ht="12.75" x14ac:dyDescent="0.2">
      <c r="A22" s="1111"/>
      <c r="B22" s="1112">
        <v>2</v>
      </c>
      <c r="C22" s="2492" t="s">
        <v>1511</v>
      </c>
      <c r="D22" s="2493"/>
    </row>
    <row r="23" spans="1:10" ht="12.2" customHeight="1" x14ac:dyDescent="0.2">
      <c r="A23" s="1111"/>
      <c r="B23" s="1112"/>
      <c r="C23" s="1113" t="s">
        <v>953</v>
      </c>
      <c r="D23" s="1114" t="str">
        <f>IF(COVER!O11="X","CASH",IF(COVER!O12="X","ACCRUAL ","PLEASE CHECK AN ACCOUNTING BASIS."))</f>
        <v>CASH</v>
      </c>
    </row>
    <row r="24" spans="1:10" ht="12.2" customHeight="1" x14ac:dyDescent="0.2">
      <c r="A24" s="1111"/>
      <c r="B24" s="1112"/>
      <c r="C24" s="1113" t="s">
        <v>1319</v>
      </c>
      <c r="D24" s="1114" t="str">
        <f>IF(COVER!O11="X","OK",IF(AND('Aud Quest 2'!J90=0,'Aud Quest 2'!I77&lt;DATE(2017,12,31)),"ENTER ACCOUNTING INFO",IF(AND('Aud Quest 2'!J90&gt;0,'Aud Quest 2'!I77&lt;DATE(2017,12,31)),"OK")))</f>
        <v>OK</v>
      </c>
    </row>
    <row r="25" spans="1:10" x14ac:dyDescent="0.2">
      <c r="A25" s="1072"/>
      <c r="B25" s="1073"/>
      <c r="C25" s="1074" t="s">
        <v>1513</v>
      </c>
      <c r="D25" s="1075" t="str">
        <f>IF(AND(COVER!J29="X",COVER!J30="X",COVER!L30&lt;&gt;"X"),"OK",IF(AND(COVER!J29="X",COVER!J30&lt;&gt;"X",COVER!L30="X"),"OK",IF(AND(COVER!L29="X",COVER!J30&lt;&gt;"X"),"OK","PLEASE CHECK YES or NO.")))</f>
        <v>OK</v>
      </c>
    </row>
    <row r="26" spans="1:10" x14ac:dyDescent="0.2">
      <c r="A26" s="1072"/>
      <c r="B26" s="1115"/>
      <c r="C26" s="1076" t="s">
        <v>1512</v>
      </c>
      <c r="D26" s="1077" t="str">
        <f>IF(AND(COVER!J29="X",COVER!J30="X",COVER!L29&lt;&gt;"X"),"OK",IF(AND(COVER!J29="X",COVER!J30&lt;&gt;"X",COVER!L30="X"),"SENDING AN A-133 SEPERATELY!",IF(AND(COVER!L29="X",COVER!J30&lt;&gt;"X"),"OK","PLEASE CHECK YES or NO.")))</f>
        <v>OK</v>
      </c>
    </row>
    <row r="27" spans="1:10" ht="12" hidden="1" customHeight="1" x14ac:dyDescent="0.2">
      <c r="A27" s="1078"/>
      <c r="B27" s="1115"/>
      <c r="C27" s="1074" t="s">
        <v>974</v>
      </c>
      <c r="D27" s="1077" t="str">
        <f>IF(AND(COVER!J29="X",COVER!J31="X",COVER!L29&lt;&gt;"X"),"OK",IF(AND(COVER!J29="X",COVER!J31&lt;&gt;"X",COVER!L31="X"),"NO FINDINGS WERE ISSUED",IF(AND(COVER!L29="X",COVER!J31&lt;&gt;"X"),"OK","PLEASE CHECK YES or NO.")))</f>
        <v>OK</v>
      </c>
    </row>
    <row r="28" spans="1:10" ht="24" hidden="1" customHeight="1" x14ac:dyDescent="0.2">
      <c r="A28" s="1078"/>
      <c r="B28" s="1115"/>
      <c r="C28" s="1074" t="s">
        <v>841</v>
      </c>
      <c r="D28" s="1079" t="str">
        <f>IF('Aud Quest 2'!B53="X",IF('Aud Quest 2'!F53&gt;"00/00/00 ","Enter Effective Date","ok"))</f>
        <v>ok</v>
      </c>
    </row>
    <row r="29" spans="1:10" x14ac:dyDescent="0.2">
      <c r="A29" s="1072"/>
      <c r="B29" s="1115"/>
      <c r="C29" s="1076" t="s">
        <v>1360</v>
      </c>
      <c r="D29" s="1077"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70"/>
      <c r="B30" s="1112">
        <f>B22+1</f>
        <v>3</v>
      </c>
      <c r="C30" s="1080" t="s">
        <v>824</v>
      </c>
      <c r="D30" s="1081"/>
    </row>
    <row r="31" spans="1:10" x14ac:dyDescent="0.2">
      <c r="A31" s="1072"/>
      <c r="B31" s="1082"/>
      <c r="C31" s="1116" t="s">
        <v>253</v>
      </c>
      <c r="D31" s="1083" t="str">
        <f>IF(SUM('FP Info 3'!J10:L10)&lt;=0.0999999,"OK","CORRECT THE TAX RATES BY MOVING THE DECIMAL TWO PLACES TO THE LEFT.")</f>
        <v>OK</v>
      </c>
      <c r="E31" s="359"/>
      <c r="F31" s="359"/>
      <c r="G31" s="359"/>
      <c r="H31" s="359"/>
      <c r="I31" s="359"/>
      <c r="J31" s="359"/>
    </row>
    <row r="32" spans="1:10" x14ac:dyDescent="0.2">
      <c r="A32" s="1072"/>
      <c r="B32" s="1117"/>
      <c r="C32" s="1084" t="s">
        <v>977</v>
      </c>
      <c r="D32" s="1075" t="str">
        <f>IF(OR(COVER!B6="x",'FP Info 3'!B31="X",'FP Info 3'!B32="X"),"OK","ENTRY IS REQUIRED!")</f>
        <v>OK</v>
      </c>
    </row>
    <row r="33" spans="1:12" s="1088" customFormat="1" ht="12.75" customHeight="1" x14ac:dyDescent="0.2">
      <c r="A33" s="1085"/>
      <c r="B33" s="1112">
        <f>B30+1</f>
        <v>4</v>
      </c>
      <c r="C33" s="1086" t="s">
        <v>779</v>
      </c>
      <c r="D33" s="1087"/>
    </row>
    <row r="34" spans="1:12" s="1088" customFormat="1" x14ac:dyDescent="0.2">
      <c r="A34" s="1089"/>
      <c r="B34" s="1112"/>
      <c r="C34" s="1090" t="s">
        <v>825</v>
      </c>
      <c r="D34" s="1075" t="str">
        <f>IF('Assets-Liab 5-6'!C4&lt;-0.49, "ERROR!","OK")</f>
        <v>OK</v>
      </c>
    </row>
    <row r="35" spans="1:12" x14ac:dyDescent="0.2">
      <c r="A35" s="1089"/>
      <c r="B35" s="1112"/>
      <c r="C35" s="1090" t="s">
        <v>305</v>
      </c>
      <c r="D35" s="1075" t="str">
        <f>IF('Assets-Liab 5-6'!D4&lt;-0.49, "ERROR!","OK")</f>
        <v>OK</v>
      </c>
      <c r="L35" s="1144"/>
    </row>
    <row r="36" spans="1:12" x14ac:dyDescent="0.2">
      <c r="A36" s="1089"/>
      <c r="B36" s="1112"/>
      <c r="C36" s="1090" t="s">
        <v>780</v>
      </c>
      <c r="D36" s="1075" t="str">
        <f>IF('Assets-Liab 5-6'!E4&lt;-0.49, "ERROR!","OK")</f>
        <v>OK</v>
      </c>
    </row>
    <row r="37" spans="1:12" x14ac:dyDescent="0.2">
      <c r="A37" s="1089"/>
      <c r="B37" s="1112"/>
      <c r="C37" s="1090" t="s">
        <v>306</v>
      </c>
      <c r="D37" s="1075" t="str">
        <f>IF('Assets-Liab 5-6'!F4&lt;-0.49, "ERROR!","OK")</f>
        <v>OK</v>
      </c>
    </row>
    <row r="38" spans="1:12" x14ac:dyDescent="0.2">
      <c r="A38" s="1089"/>
      <c r="B38" s="1112"/>
      <c r="C38" s="1090" t="s">
        <v>307</v>
      </c>
      <c r="D38" s="1075" t="str">
        <f>IF('Assets-Liab 5-6'!G4&lt;-0.49, "ERROR!","OK")</f>
        <v>OK</v>
      </c>
    </row>
    <row r="39" spans="1:12" x14ac:dyDescent="0.2">
      <c r="A39" s="1089"/>
      <c r="B39" s="1112"/>
      <c r="C39" s="1090" t="s">
        <v>781</v>
      </c>
      <c r="D39" s="1075" t="str">
        <f>IF('Assets-Liab 5-6'!H4&lt;-0.49, "ERROR!","OK")</f>
        <v>OK</v>
      </c>
    </row>
    <row r="40" spans="1:12" x14ac:dyDescent="0.2">
      <c r="A40" s="1089"/>
      <c r="B40" s="1112"/>
      <c r="C40" s="1090" t="s">
        <v>308</v>
      </c>
      <c r="D40" s="1075" t="str">
        <f>IF('Assets-Liab 5-6'!I4&lt;-0.49, "ERROR!","OK")</f>
        <v>OK</v>
      </c>
    </row>
    <row r="41" spans="1:12" x14ac:dyDescent="0.2">
      <c r="A41" s="1089"/>
      <c r="B41" s="1112"/>
      <c r="C41" s="1090" t="s">
        <v>782</v>
      </c>
      <c r="D41" s="1075" t="str">
        <f>IF('Assets-Liab 5-6'!J4&lt;-0.49, "ERROR!","OK")</f>
        <v>OK</v>
      </c>
    </row>
    <row r="42" spans="1:12" x14ac:dyDescent="0.2">
      <c r="A42" s="1089"/>
      <c r="B42" s="1112"/>
      <c r="C42" s="1090" t="s">
        <v>309</v>
      </c>
      <c r="D42" s="1075" t="str">
        <f>IF('Assets-Liab 5-6'!K4&lt;-0.49, "ERROR!","OK")</f>
        <v>OK</v>
      </c>
    </row>
    <row r="43" spans="1:12" x14ac:dyDescent="0.2">
      <c r="A43" s="1091"/>
      <c r="B43" s="1092">
        <f>B33+1</f>
        <v>5</v>
      </c>
      <c r="C43" s="2496" t="s">
        <v>535</v>
      </c>
      <c r="D43" s="2497"/>
    </row>
    <row r="44" spans="1:12" x14ac:dyDescent="0.2">
      <c r="A44" s="1091"/>
      <c r="B44" s="1093"/>
      <c r="C44" s="1094" t="s">
        <v>1322</v>
      </c>
      <c r="D44" s="1095" t="str">
        <f>IF(SUM('Assets-Liab 5-6'!C13)&lt;&gt;SUM('Assets-Liab 5-6'!C41),"ERROR!","OK")</f>
        <v>OK</v>
      </c>
    </row>
    <row r="45" spans="1:12" x14ac:dyDescent="0.2">
      <c r="A45" s="1091"/>
      <c r="B45" s="1093"/>
      <c r="C45" s="1094" t="s">
        <v>1323</v>
      </c>
      <c r="D45" s="1095" t="str">
        <f>IF(SUM('Assets-Liab 5-6'!D13)&lt;&gt;SUM('Assets-Liab 5-6'!D41),"ERROR!","OK")</f>
        <v>OK</v>
      </c>
    </row>
    <row r="46" spans="1:12" x14ac:dyDescent="0.2">
      <c r="A46" s="1091"/>
      <c r="B46" s="1093"/>
      <c r="C46" s="1094" t="s">
        <v>1324</v>
      </c>
      <c r="D46" s="1095" t="str">
        <f>IF(SUM('Assets-Liab 5-6'!E13)&lt;&gt;SUM('Assets-Liab 5-6'!E41),"ERROR!","OK")</f>
        <v>OK</v>
      </c>
    </row>
    <row r="47" spans="1:12" x14ac:dyDescent="0.2">
      <c r="A47" s="1091"/>
      <c r="B47" s="1093"/>
      <c r="C47" s="1094" t="s">
        <v>1325</v>
      </c>
      <c r="D47" s="1095" t="str">
        <f>IF(SUM('Assets-Liab 5-6'!F13)&lt;&gt;SUM('Assets-Liab 5-6'!F41),"ERROR!","OK")</f>
        <v>OK</v>
      </c>
    </row>
    <row r="48" spans="1:12" x14ac:dyDescent="0.2">
      <c r="A48" s="1091"/>
      <c r="B48" s="1093"/>
      <c r="C48" s="1094" t="s">
        <v>1326</v>
      </c>
      <c r="D48" s="1095" t="str">
        <f>IF(SUM('Assets-Liab 5-6'!G13)&lt;&gt;SUM('Assets-Liab 5-6'!G41),"ERROR!","OK")</f>
        <v>OK</v>
      </c>
    </row>
    <row r="49" spans="1:4" x14ac:dyDescent="0.2">
      <c r="A49" s="1091"/>
      <c r="B49" s="1093"/>
      <c r="C49" s="1094" t="s">
        <v>1327</v>
      </c>
      <c r="D49" s="1095" t="str">
        <f>IF(SUM('Assets-Liab 5-6'!H13)&lt;&gt;SUM('Assets-Liab 5-6'!H41),"ERROR!","OK")</f>
        <v>OK</v>
      </c>
    </row>
    <row r="50" spans="1:4" x14ac:dyDescent="0.2">
      <c r="A50" s="1091"/>
      <c r="B50" s="1093"/>
      <c r="C50" s="1094" t="s">
        <v>1328</v>
      </c>
      <c r="D50" s="1095" t="str">
        <f>IF(SUM('Assets-Liab 5-6'!I13)&lt;&gt;SUM('Assets-Liab 5-6'!I41),"ERROR!","OK")</f>
        <v>OK</v>
      </c>
    </row>
    <row r="51" spans="1:4" x14ac:dyDescent="0.2">
      <c r="A51" s="1091"/>
      <c r="B51" s="1093"/>
      <c r="C51" s="1094" t="s">
        <v>1329</v>
      </c>
      <c r="D51" s="1095" t="str">
        <f>IF(SUM('Assets-Liab 5-6'!J13)&lt;&gt;SUM('Assets-Liab 5-6'!J41),"ERROR!","OK")</f>
        <v>OK</v>
      </c>
    </row>
    <row r="52" spans="1:4" x14ac:dyDescent="0.2">
      <c r="A52" s="1091"/>
      <c r="B52" s="1093"/>
      <c r="C52" s="1094" t="s">
        <v>1330</v>
      </c>
      <c r="D52" s="1095" t="str">
        <f>IF(SUM('Assets-Liab 5-6'!K13)&lt;&gt;SUM('Assets-Liab 5-6'!K41),"ERROR!","OK")</f>
        <v>OK</v>
      </c>
    </row>
    <row r="53" spans="1:4" x14ac:dyDescent="0.2">
      <c r="A53" s="1091"/>
      <c r="B53" s="1093"/>
      <c r="C53" s="1094" t="s">
        <v>1331</v>
      </c>
      <c r="D53" s="1095" t="str">
        <f>IF(SUM('Assets-Liab 5-6'!L13)&lt;&gt;('Assets-Liab 5-6'!L41),"ERROR!","OK")</f>
        <v>OK</v>
      </c>
    </row>
    <row r="54" spans="1:4" x14ac:dyDescent="0.2">
      <c r="A54" s="1091"/>
      <c r="B54" s="1093"/>
      <c r="C54" s="1094" t="s">
        <v>1332</v>
      </c>
      <c r="D54" s="1095" t="str">
        <f>IF(SUM('Assets-Liab 5-6'!M23)&lt;&gt;('Assets-Liab 5-6'!M41),"ERROR!","OK")</f>
        <v>OK</v>
      </c>
    </row>
    <row r="55" spans="1:4" x14ac:dyDescent="0.2">
      <c r="A55" s="1091"/>
      <c r="B55" s="1093"/>
      <c r="C55" s="1094" t="s">
        <v>1333</v>
      </c>
      <c r="D55" s="1095" t="str">
        <f>IF(SUM('Assets-Liab 5-6'!N23)&lt;&gt;('Assets-Liab 5-6'!N41),"ERROR!","OK")</f>
        <v>OK</v>
      </c>
    </row>
    <row r="56" spans="1:4" x14ac:dyDescent="0.2">
      <c r="A56" s="1072"/>
      <c r="B56" s="1092">
        <f>B43+1</f>
        <v>6</v>
      </c>
      <c r="C56" s="2488" t="s">
        <v>783</v>
      </c>
      <c r="D56" s="2489"/>
    </row>
    <row r="57" spans="1:4" s="1088" customFormat="1" x14ac:dyDescent="0.2">
      <c r="A57" s="1072"/>
      <c r="B57" s="1082"/>
      <c r="C57" s="1090" t="s">
        <v>1334</v>
      </c>
      <c r="D57" s="1096" t="str">
        <f>IF('Assets-Liab 5-6'!C38+'Assets-Liab 5-6'!C39='Acct Summary 7-8'!C81,"OK","ERROR!")</f>
        <v>OK</v>
      </c>
    </row>
    <row r="58" spans="1:4" x14ac:dyDescent="0.2">
      <c r="A58" s="1072"/>
      <c r="B58" s="1082"/>
      <c r="C58" s="1090" t="s">
        <v>1335</v>
      </c>
      <c r="D58" s="1096" t="str">
        <f>IF((('Assets-Liab 5-6'!D38+'Assets-Liab 5-6'!D39) ='Acct Summary 7-8'!D81), "OK", "ERROR!" )</f>
        <v>OK</v>
      </c>
    </row>
    <row r="59" spans="1:4" s="1088" customFormat="1" x14ac:dyDescent="0.2">
      <c r="A59" s="1072"/>
      <c r="B59" s="1082"/>
      <c r="C59" s="1090" t="s">
        <v>1336</v>
      </c>
      <c r="D59" s="1096" t="str">
        <f>IF((('Assets-Liab 5-6'!E38 + 'Assets-Liab 5-6'!E39) ='Acct Summary 7-8'!E81), "OK", "ERROR!" )</f>
        <v>OK</v>
      </c>
    </row>
    <row r="60" spans="1:4" x14ac:dyDescent="0.2">
      <c r="A60" s="1072"/>
      <c r="B60" s="1082"/>
      <c r="C60" s="1090" t="s">
        <v>1337</v>
      </c>
      <c r="D60" s="1096" t="str">
        <f>IF((('Assets-Liab 5-6'!F38 + 'Assets-Liab 5-6'!F39) ='Acct Summary 7-8'!F81), "OK", "ERROR!" )</f>
        <v>OK</v>
      </c>
    </row>
    <row r="61" spans="1:4" ht="12.75" customHeight="1" x14ac:dyDescent="0.2">
      <c r="A61" s="1072"/>
      <c r="B61" s="1082"/>
      <c r="C61" s="1090" t="s">
        <v>1350</v>
      </c>
      <c r="D61" s="1096" t="str">
        <f>IF((('Assets-Liab 5-6'!G38 + 'Assets-Liab 5-6'!G39) ='Acct Summary 7-8'!G81), "OK", "ERROR!" )</f>
        <v>OK</v>
      </c>
    </row>
    <row r="62" spans="1:4" x14ac:dyDescent="0.2">
      <c r="A62" s="1072"/>
      <c r="B62" s="1082"/>
      <c r="C62" s="1090" t="s">
        <v>1338</v>
      </c>
      <c r="D62" s="1096" t="str">
        <f>IF((('Assets-Liab 5-6'!H38 + 'Assets-Liab 5-6'!H39) ='Acct Summary 7-8'!H81), "OK", "ERROR!" )</f>
        <v>OK</v>
      </c>
    </row>
    <row r="63" spans="1:4" ht="12.75" customHeight="1" x14ac:dyDescent="0.2">
      <c r="A63" s="1072"/>
      <c r="B63" s="1082"/>
      <c r="C63" s="1090" t="s">
        <v>1339</v>
      </c>
      <c r="D63" s="1096" t="str">
        <f>IF((('Assets-Liab 5-6'!I38 + 'Assets-Liab 5-6'!I39) ='Acct Summary 7-8'!I81), "OK", "ERROR!" )</f>
        <v>OK</v>
      </c>
    </row>
    <row r="64" spans="1:4" x14ac:dyDescent="0.2">
      <c r="A64" s="1072"/>
      <c r="B64" s="1082"/>
      <c r="C64" s="1090" t="s">
        <v>1340</v>
      </c>
      <c r="D64" s="1096" t="str">
        <f>IF((('Assets-Liab 5-6'!J38 + 'Assets-Liab 5-6'!J39) ='Acct Summary 7-8'!J81), "OK", "ERROR!" )</f>
        <v>OK</v>
      </c>
    </row>
    <row r="65" spans="1:4" x14ac:dyDescent="0.2">
      <c r="A65" s="1089"/>
      <c r="B65" s="1082"/>
      <c r="C65" s="1090" t="s">
        <v>1351</v>
      </c>
      <c r="D65" s="1096" t="str">
        <f>IF((('Assets-Liab 5-6'!K38 + 'Assets-Liab 5-6'!K39) ='Acct Summary 7-8'!K81), "OK", "ERROR!" )</f>
        <v>OK</v>
      </c>
    </row>
    <row r="66" spans="1:4" x14ac:dyDescent="0.2">
      <c r="A66" s="1070"/>
      <c r="B66" s="1112">
        <f>B56+1+1</f>
        <v>8</v>
      </c>
      <c r="C66" s="1118" t="s">
        <v>1888</v>
      </c>
      <c r="D66" s="1097"/>
    </row>
    <row r="67" spans="1:4" x14ac:dyDescent="0.2">
      <c r="A67" s="1091"/>
      <c r="B67" s="1112"/>
      <c r="C67" s="1119" t="s">
        <v>1020</v>
      </c>
      <c r="D67" s="1097"/>
    </row>
    <row r="68" spans="1:4" x14ac:dyDescent="0.2">
      <c r="A68" s="1072"/>
      <c r="B68" s="1082"/>
      <c r="C68" s="1074" t="s">
        <v>1889</v>
      </c>
      <c r="D68" s="1096" t="str">
        <f>IF('Short-Term Long-Term Debt 24'!F49=SUM(,'Acct Summary 7-8'!C33:K33),"OK","ERROR!")</f>
        <v>OK</v>
      </c>
    </row>
    <row r="69" spans="1:4" x14ac:dyDescent="0.2">
      <c r="A69" s="1072"/>
      <c r="B69" s="1082"/>
      <c r="C69" s="1074" t="s">
        <v>1890</v>
      </c>
      <c r="D69" s="1096" t="str">
        <f>IF('Expenditures 15-22'!H170&lt;&gt;'Short-Term Long-Term Debt 24'!H49,"ERROR!","OK")</f>
        <v>OK</v>
      </c>
    </row>
    <row r="70" spans="1:4" x14ac:dyDescent="0.2">
      <c r="A70" s="1070"/>
      <c r="B70" s="1092">
        <f>B66+1</f>
        <v>9</v>
      </c>
      <c r="C70" s="2488" t="s">
        <v>1683</v>
      </c>
      <c r="D70" s="2489"/>
    </row>
    <row r="71" spans="1:4" x14ac:dyDescent="0.2">
      <c r="A71" s="1070"/>
      <c r="B71" s="1092"/>
      <c r="C71" s="1074" t="s">
        <v>1341</v>
      </c>
      <c r="D71" s="1098" t="str">
        <f>IF(SUM('Acct Summary 7-8'!C27:K27) =SUM( 'Acct Summary 7-8'!C49:K49),"OK", "ERROR")</f>
        <v>OK</v>
      </c>
    </row>
    <row r="72" spans="1:4" x14ac:dyDescent="0.2">
      <c r="A72" s="1072"/>
      <c r="B72" s="1082"/>
      <c r="C72" s="1090" t="s">
        <v>1342</v>
      </c>
      <c r="D72" s="1096" t="str">
        <f>IF(SUM('Acct Summary 7-8'!C28:K28)=SUM('Acct Summary 7-8'!C50:K50),"OK","ERROR!")</f>
        <v>OK</v>
      </c>
    </row>
    <row r="73" spans="1:4" ht="24" x14ac:dyDescent="0.2">
      <c r="A73" s="1099"/>
      <c r="B73" s="1082"/>
      <c r="C73" s="1090" t="s">
        <v>1684</v>
      </c>
      <c r="D73" s="1098" t="str">
        <f>IF(SUM('Acct Summary 7-8'!C42:K42)&gt;=SUM( 'Acct Summary 7-8'!C74:K74),"OK", "ERROR")</f>
        <v>OK</v>
      </c>
    </row>
    <row r="74" spans="1:4" x14ac:dyDescent="0.2">
      <c r="A74" s="1070"/>
      <c r="B74" s="1092">
        <f>B70+1</f>
        <v>10</v>
      </c>
      <c r="C74" s="1086" t="s">
        <v>1891</v>
      </c>
      <c r="D74" s="1100"/>
    </row>
    <row r="75" spans="1:4" x14ac:dyDescent="0.2">
      <c r="A75" s="1072"/>
      <c r="B75" s="1082"/>
      <c r="C75" s="1090" t="s">
        <v>1364</v>
      </c>
      <c r="D75" s="1096" t="str">
        <f>IF(SUM('Assets-Liab 5-6'!C38:H38)&gt;=SUM('Rest Tax Levies-Tort Im 25'!G25:K25),"OK","ERROR")</f>
        <v>OK</v>
      </c>
    </row>
    <row r="76" spans="1:4" x14ac:dyDescent="0.2">
      <c r="A76" s="1072"/>
      <c r="B76" s="1082"/>
      <c r="C76" s="1090" t="s">
        <v>1405</v>
      </c>
      <c r="D76" s="1096" t="str">
        <f>IF(SUM('Assets-Liab 5-6'!C39:K39)&gt;0,"OK","ENTRY IS REQUIRED!")</f>
        <v>OK</v>
      </c>
    </row>
    <row r="77" spans="1:4" x14ac:dyDescent="0.2">
      <c r="A77" s="1072"/>
      <c r="B77" s="1101">
        <f>B74+1</f>
        <v>11</v>
      </c>
      <c r="C77" s="1146" t="s">
        <v>1365</v>
      </c>
      <c r="D77" s="1096"/>
    </row>
    <row r="78" spans="1:4" x14ac:dyDescent="0.2">
      <c r="A78" s="1072"/>
      <c r="B78" s="1082"/>
      <c r="C78" s="1090" t="s">
        <v>1892</v>
      </c>
      <c r="D78" s="1096" t="str">
        <f>IF(ISNUMBER('Acct Summary 7-8'!C9),"OK","ENTRY IS REQUIRED!")</f>
        <v>OK</v>
      </c>
    </row>
    <row r="79" spans="1:4" x14ac:dyDescent="0.2">
      <c r="A79" s="1091"/>
      <c r="B79" s="1092">
        <f>B74+1+1</f>
        <v>12</v>
      </c>
      <c r="C79" s="1102" t="s">
        <v>1877</v>
      </c>
      <c r="D79" s="1103" t="str">
        <f>IF(OR(COVER!$B$6="X",'PCTC-OEPP 27-28'!F78&gt;0),"OK","PLEASE ENTER 9 MO ADA.")</f>
        <v>OK</v>
      </c>
    </row>
    <row r="80" spans="1:4" x14ac:dyDescent="0.2">
      <c r="A80" s="1070"/>
      <c r="B80" s="1092">
        <v>13</v>
      </c>
      <c r="C80" s="1102" t="s">
        <v>1893</v>
      </c>
      <c r="D80" s="1103" t="str">
        <f>IF('Contracts Paid in CY 29'!D141&gt;0,"OK","PLEASE ENTER CONTRACTS PAID IN CURRENT YEAR.")</f>
        <v>OK</v>
      </c>
    </row>
    <row r="81" spans="1:4" x14ac:dyDescent="0.2">
      <c r="A81" s="1070"/>
      <c r="B81" s="1092">
        <v>14</v>
      </c>
      <c r="C81" s="1102" t="s">
        <v>1411</v>
      </c>
      <c r="D81" s="1095" t="str">
        <f>IF('Shared Outsourced Services 31'!B8="X","OK",IF('Shared Outsourced Services 31'!K34&gt;0,"OK","ENTRY REQUIRED!"))</f>
        <v>OK</v>
      </c>
    </row>
    <row r="82" spans="1:4" x14ac:dyDescent="0.2">
      <c r="A82" s="1091"/>
      <c r="B82" s="1092">
        <v>15</v>
      </c>
      <c r="C82" s="1102" t="s">
        <v>1410</v>
      </c>
      <c r="D82" s="1104"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9"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34049073004</v>
      </c>
    </row>
    <row r="3" spans="1:2" x14ac:dyDescent="0.2">
      <c r="A3" t="s">
        <v>955</v>
      </c>
      <c r="B3" s="138" t="str">
        <f>COVER!A15</f>
        <v>LAKE</v>
      </c>
    </row>
    <row r="4" spans="1:2" x14ac:dyDescent="0.2">
      <c r="A4" t="s">
        <v>1006</v>
      </c>
      <c r="B4" s="138" t="str">
        <f>COVER!A17</f>
        <v>Hawthorn CCSD 73</v>
      </c>
    </row>
    <row r="5" spans="1:2" x14ac:dyDescent="0.2">
      <c r="A5" t="s">
        <v>703</v>
      </c>
      <c r="B5" s="138">
        <f>COVER!A38</f>
        <v>0</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1530</v>
      </c>
      <c r="B12" s="138" t="str">
        <f>IF(COVER!J29="x","Yes",IF(COVER!L29="X","No",0))</f>
        <v>Yes</v>
      </c>
    </row>
    <row r="13" spans="1:2" x14ac:dyDescent="0.2">
      <c r="A13" s="1" t="s">
        <v>1531</v>
      </c>
      <c r="B13" s="138" t="str">
        <f>IF(COVER!J30="x","Yes",IF(COVER!L30="x","No",0))</f>
        <v>Yes</v>
      </c>
    </row>
    <row r="14" spans="1:2" x14ac:dyDescent="0.2">
      <c r="A14" t="s">
        <v>475</v>
      </c>
      <c r="B14" s="138" t="str">
        <f>IF(COVER!J31="x","Yes",IF(COVER!L31="x","No",0))</f>
        <v>Yes</v>
      </c>
    </row>
    <row r="15" spans="1:2" x14ac:dyDescent="0.2">
      <c r="A15" t="s">
        <v>576</v>
      </c>
      <c r="B15" s="138" t="str">
        <f>COVER!T23</f>
        <v>066-005142</v>
      </c>
    </row>
    <row r="16" spans="1:2" x14ac:dyDescent="0.2">
      <c r="A16" t="s">
        <v>421</v>
      </c>
      <c r="B16" s="138" t="str">
        <f>COVER!T13</f>
        <v>EDER, CASELLA &amp; CO.</v>
      </c>
    </row>
    <row r="17" spans="1:2" x14ac:dyDescent="0.2">
      <c r="A17" t="s">
        <v>883</v>
      </c>
      <c r="B17" s="138" t="str">
        <f>COVER!T15</f>
        <v>KEVIN SMITH</v>
      </c>
    </row>
    <row r="18" spans="1:2" x14ac:dyDescent="0.2">
      <c r="A18" t="s">
        <v>1149</v>
      </c>
      <c r="B18" s="138" t="str">
        <f>COVER!T17</f>
        <v>5400 WEST ELM STREET, SUITE 203</v>
      </c>
    </row>
    <row r="19" spans="1:2" x14ac:dyDescent="0.2">
      <c r="A19" t="s">
        <v>885</v>
      </c>
      <c r="B19" s="138" t="str">
        <f>COVER!T25</f>
        <v>CPAS@EDERCASELLA.COM</v>
      </c>
    </row>
    <row r="20" spans="1:2" x14ac:dyDescent="0.2">
      <c r="A20" t="s">
        <v>886</v>
      </c>
      <c r="B20" s="138" t="str">
        <f>COVER!T19</f>
        <v>MCHENRY</v>
      </c>
    </row>
    <row r="21" spans="1:2" x14ac:dyDescent="0.2">
      <c r="A21" t="s">
        <v>478</v>
      </c>
      <c r="B21" s="138" t="str">
        <f>COVER!X19</f>
        <v>IL</v>
      </c>
    </row>
    <row r="22" spans="1:2" x14ac:dyDescent="0.2">
      <c r="A22" t="s">
        <v>887</v>
      </c>
      <c r="B22" s="138">
        <f>COVER!Z19</f>
        <v>60050</v>
      </c>
    </row>
    <row r="23" spans="1:2" x14ac:dyDescent="0.2">
      <c r="A23" t="s">
        <v>1151</v>
      </c>
      <c r="B23" s="138" t="str">
        <f>COVER!T21</f>
        <v>815-344-1300</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Yes</v>
      </c>
    </row>
    <row r="48" spans="1:2" x14ac:dyDescent="0.2">
      <c r="A48" t="s">
        <v>482</v>
      </c>
      <c r="B48" s="138" t="str">
        <f>IF('Aud Quest 2'!B51="x","Yes",IF('Aud Quest 2'!B51&lt;&gt;"x","0"))</f>
        <v>0</v>
      </c>
    </row>
    <row r="49" spans="1:4" x14ac:dyDescent="0.2">
      <c r="A49" s="1" t="s">
        <v>1468</v>
      </c>
      <c r="B49" s="138" t="str">
        <f>IF('Aud Quest 2'!B53="x","Yes",IF('Aud Quest 2'!B53&lt;&gt;"x","0"))</f>
        <v>Yes</v>
      </c>
    </row>
    <row r="50" spans="1:4" x14ac:dyDescent="0.2">
      <c r="A50" s="1" t="s">
        <v>1467</v>
      </c>
      <c r="B50" s="150">
        <f>'Aud Quest 2'!H53</f>
        <v>33239</v>
      </c>
    </row>
    <row r="51" spans="1:4" x14ac:dyDescent="0.2">
      <c r="A51" s="1" t="s">
        <v>1469</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5190217</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7706219</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105076</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105076</v>
      </c>
      <c r="C91" s="2" t="s">
        <v>572</v>
      </c>
      <c r="D91" s="2" t="str">
        <f t="shared" si="0"/>
        <v>Error?</v>
      </c>
    </row>
    <row r="92" spans="1:4" x14ac:dyDescent="0.2">
      <c r="A92" s="5">
        <v>31</v>
      </c>
      <c r="B92" s="138">
        <f>'Assets-Liab 5-6'!C39</f>
        <v>7601143</v>
      </c>
      <c r="D92" s="2" t="str">
        <f t="shared" si="0"/>
        <v>Error?</v>
      </c>
    </row>
    <row r="93" spans="1:4" x14ac:dyDescent="0.2">
      <c r="A93" s="5">
        <v>32</v>
      </c>
      <c r="B93" s="138">
        <f>'Assets-Liab 5-6'!C41</f>
        <v>7706219</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3164574</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4698019</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4698019</v>
      </c>
      <c r="D123" s="2" t="str">
        <f t="shared" si="0"/>
        <v>Error?</v>
      </c>
    </row>
    <row r="124" spans="1:4" x14ac:dyDescent="0.2">
      <c r="A124" s="5">
        <v>63</v>
      </c>
      <c r="B124" s="138">
        <f>'Assets-Liab 5-6'!D41</f>
        <v>4698019</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3342427</v>
      </c>
      <c r="D129" s="2" t="str">
        <f t="shared" si="1"/>
        <v>Error?</v>
      </c>
    </row>
    <row r="130" spans="1:4" x14ac:dyDescent="0.2">
      <c r="A130" s="5">
        <v>69</v>
      </c>
      <c r="B130" s="138">
        <f>'Assets-Liab 5-6'!E12</f>
        <v>0</v>
      </c>
      <c r="D130" s="2" t="str">
        <f t="shared" si="1"/>
        <v>Error?</v>
      </c>
    </row>
    <row r="131" spans="1:4" x14ac:dyDescent="0.2">
      <c r="A131" s="5">
        <v>70</v>
      </c>
      <c r="B131" s="138">
        <f>'Assets-Liab 5-6'!E13</f>
        <v>4962053</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4962053</v>
      </c>
      <c r="D140" s="2" t="str">
        <f t="shared" si="1"/>
        <v>Error?</v>
      </c>
    </row>
    <row r="141" spans="1:4" x14ac:dyDescent="0.2">
      <c r="A141" s="5">
        <v>80</v>
      </c>
      <c r="B141" s="138">
        <f>'Assets-Liab 5-6'!E41</f>
        <v>4962053</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1278893</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1898601</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1898601</v>
      </c>
      <c r="D170" s="2" t="str">
        <f t="shared" si="1"/>
        <v>Error?</v>
      </c>
    </row>
    <row r="171" spans="1:4" x14ac:dyDescent="0.2">
      <c r="A171" s="5">
        <v>110</v>
      </c>
      <c r="B171" s="138">
        <f>'Assets-Liab 5-6'!F41</f>
        <v>1898601</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1728156</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2565562</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2565562</v>
      </c>
      <c r="D189" s="2" t="str">
        <f t="shared" si="1"/>
        <v>Error?</v>
      </c>
    </row>
    <row r="190" spans="1:4" x14ac:dyDescent="0.2">
      <c r="A190" s="5">
        <v>129</v>
      </c>
      <c r="B190" s="138">
        <f>'Assets-Liab 5-6'!G41</f>
        <v>2565562</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6973602</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10352772</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10352772</v>
      </c>
      <c r="D212" s="2" t="str">
        <f t="shared" si="2"/>
        <v>Error?</v>
      </c>
    </row>
    <row r="213" spans="1:4" x14ac:dyDescent="0.2">
      <c r="A213" s="12">
        <v>152</v>
      </c>
      <c r="B213" s="138">
        <f>'Assets-Liab 5-6'!H41</f>
        <v>10352772</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1480528</v>
      </c>
      <c r="D273" s="2" t="str">
        <f t="shared" si="3"/>
        <v>Error?</v>
      </c>
    </row>
    <row r="274" spans="1:4" x14ac:dyDescent="0.2">
      <c r="A274" s="5">
        <v>213</v>
      </c>
      <c r="B274" s="138">
        <f>'Assets-Liab 5-6'!M17</f>
        <v>91090274</v>
      </c>
      <c r="D274" s="2" t="str">
        <f t="shared" si="3"/>
        <v>Error?</v>
      </c>
    </row>
    <row r="275" spans="1:4" x14ac:dyDescent="0.2">
      <c r="A275" s="5">
        <v>214</v>
      </c>
      <c r="B275" s="138">
        <f>'Assets-Liab 5-6'!M18</f>
        <v>2014013</v>
      </c>
      <c r="D275" s="2" t="str">
        <f t="shared" si="3"/>
        <v>Error?</v>
      </c>
    </row>
    <row r="276" spans="1:4" x14ac:dyDescent="0.2">
      <c r="A276" s="5">
        <v>215</v>
      </c>
      <c r="B276" s="138">
        <f>'Assets-Liab 5-6'!M19</f>
        <v>3426350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103606829</v>
      </c>
      <c r="C279" s="2" t="s">
        <v>572</v>
      </c>
      <c r="D279" s="2" t="str">
        <f t="shared" si="3"/>
        <v>Error?</v>
      </c>
    </row>
    <row r="280" spans="1:4" x14ac:dyDescent="0.2">
      <c r="A280" s="5">
        <v>219</v>
      </c>
      <c r="B280" s="138">
        <f>'Assets-Liab 5-6'!M40</f>
        <v>103606829</v>
      </c>
      <c r="D280" s="2" t="str">
        <f t="shared" si="3"/>
        <v>Error?</v>
      </c>
    </row>
    <row r="281" spans="1:4" x14ac:dyDescent="0.2">
      <c r="A281" s="5">
        <v>220</v>
      </c>
      <c r="B281" s="138">
        <f>'Assets-Liab 5-6'!M41</f>
        <v>103606829</v>
      </c>
      <c r="C281" s="2" t="s">
        <v>572</v>
      </c>
      <c r="D281" s="2" t="str">
        <f t="shared" si="3"/>
        <v>Error?</v>
      </c>
    </row>
    <row r="282" spans="1:4" x14ac:dyDescent="0.2">
      <c r="A282" s="5">
        <v>221</v>
      </c>
      <c r="B282" s="138">
        <f>'Assets-Liab 5-6'!N21</f>
        <v>4962053</v>
      </c>
      <c r="D282" s="2" t="str">
        <f t="shared" si="3"/>
        <v>Error?</v>
      </c>
    </row>
    <row r="283" spans="1:4" x14ac:dyDescent="0.2">
      <c r="A283" s="5">
        <v>222</v>
      </c>
      <c r="B283" s="138">
        <f>'Assets-Liab 5-6'!N22</f>
        <v>45077811</v>
      </c>
      <c r="D283" s="2" t="str">
        <f t="shared" si="3"/>
        <v>Error?</v>
      </c>
    </row>
    <row r="284" spans="1:4" x14ac:dyDescent="0.2">
      <c r="A284" s="5">
        <v>223</v>
      </c>
      <c r="B284" s="138">
        <f>'Assets-Liab 5-6'!N23</f>
        <v>50039864</v>
      </c>
      <c r="C284" s="2" t="s">
        <v>572</v>
      </c>
      <c r="D284" s="2" t="str">
        <f t="shared" si="3"/>
        <v>Error?</v>
      </c>
    </row>
    <row r="285" spans="1:4" x14ac:dyDescent="0.2">
      <c r="A285" s="5">
        <v>224</v>
      </c>
      <c r="B285" s="138">
        <f>'Assets-Liab 5-6'!N36</f>
        <v>50039864</v>
      </c>
      <c r="D285" s="2" t="str">
        <f t="shared" si="3"/>
        <v>Error?</v>
      </c>
    </row>
    <row r="286" spans="1:4" x14ac:dyDescent="0.2">
      <c r="A286" s="10">
        <v>225</v>
      </c>
      <c r="D286" s="2" t="str">
        <f t="shared" si="3"/>
        <v>OK</v>
      </c>
    </row>
    <row r="287" spans="1:4" x14ac:dyDescent="0.2">
      <c r="A287" s="5">
        <v>226</v>
      </c>
      <c r="B287" s="138">
        <f>'Assets-Liab 5-6'!N37</f>
        <v>50039864</v>
      </c>
      <c r="C287" s="2" t="s">
        <v>572</v>
      </c>
      <c r="D287" s="2" t="str">
        <f t="shared" si="3"/>
        <v>Error?</v>
      </c>
    </row>
    <row r="288" spans="1:4" x14ac:dyDescent="0.2">
      <c r="A288" s="5">
        <v>227</v>
      </c>
      <c r="B288" s="138">
        <f>'Assets-Liab 5-6'!N41</f>
        <v>50039864</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10380216</v>
      </c>
      <c r="D618" s="2" t="str">
        <f t="shared" si="8"/>
        <v>Error?</v>
      </c>
    </row>
    <row r="619" spans="1:4" x14ac:dyDescent="0.2">
      <c r="A619" s="5">
        <v>558</v>
      </c>
      <c r="B619" s="138">
        <f>'Acct Summary 7-8'!H34</f>
        <v>3119784</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1343503</v>
      </c>
      <c r="D651" s="2" t="str">
        <f t="shared" si="9"/>
        <v>Error?</v>
      </c>
    </row>
    <row r="652" spans="1:4" x14ac:dyDescent="0.2">
      <c r="A652" s="5">
        <v>591</v>
      </c>
      <c r="B652" s="138">
        <f>'Acct Summary 7-8'!I34</f>
        <v>160729</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15805446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1582965</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353725</v>
      </c>
      <c r="D718" s="2" t="str">
        <f t="shared" si="10"/>
        <v>Error?</v>
      </c>
    </row>
    <row r="719" spans="1:4" x14ac:dyDescent="0.2">
      <c r="A719" s="5">
        <v>658</v>
      </c>
      <c r="B719" s="138">
        <f>'Expenditures 15-22'!C15</f>
        <v>251419</v>
      </c>
      <c r="D719" s="2" t="str">
        <f t="shared" si="10"/>
        <v>Error?</v>
      </c>
    </row>
    <row r="720" spans="1:4" x14ac:dyDescent="0.2">
      <c r="A720" s="5">
        <v>659</v>
      </c>
      <c r="B720" s="138">
        <f>'Expenditures 15-22'!C33</f>
        <v>22363462</v>
      </c>
      <c r="C720" s="2" t="s">
        <v>572</v>
      </c>
      <c r="D720" s="2" t="str">
        <f t="shared" si="10"/>
        <v>Error?</v>
      </c>
    </row>
    <row r="721" spans="1:4" x14ac:dyDescent="0.2">
      <c r="A721" s="5">
        <v>660</v>
      </c>
      <c r="B721" s="138">
        <f>'Expenditures 15-22'!C36</f>
        <v>943838</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283386</v>
      </c>
      <c r="D723" s="2" t="str">
        <f t="shared" si="10"/>
        <v>Error?</v>
      </c>
    </row>
    <row r="724" spans="1:4" x14ac:dyDescent="0.2">
      <c r="A724" s="5">
        <v>663</v>
      </c>
      <c r="B724" s="138">
        <f>'Expenditures 15-22'!C39</f>
        <v>408163</v>
      </c>
      <c r="D724" s="2" t="str">
        <f t="shared" si="10"/>
        <v>Error?</v>
      </c>
    </row>
    <row r="725" spans="1:4" x14ac:dyDescent="0.2">
      <c r="A725" s="5">
        <v>664</v>
      </c>
      <c r="B725" s="138">
        <f>'Expenditures 15-22'!C40</f>
        <v>955407</v>
      </c>
      <c r="D725" s="2" t="str">
        <f t="shared" si="10"/>
        <v>Error?</v>
      </c>
    </row>
    <row r="726" spans="1:4" x14ac:dyDescent="0.2">
      <c r="A726" s="5">
        <v>665</v>
      </c>
      <c r="B726" s="138">
        <f>'Expenditures 15-22'!C41</f>
        <v>1185207</v>
      </c>
      <c r="D726" s="2" t="str">
        <f t="shared" si="10"/>
        <v>Error?</v>
      </c>
    </row>
    <row r="727" spans="1:4" x14ac:dyDescent="0.2">
      <c r="A727" s="5">
        <v>666</v>
      </c>
      <c r="B727" s="138">
        <f>'Expenditures 15-22'!C42</f>
        <v>3776001</v>
      </c>
      <c r="C727" s="2" t="s">
        <v>572</v>
      </c>
      <c r="D727" s="2" t="str">
        <f t="shared" si="10"/>
        <v>Error?</v>
      </c>
    </row>
    <row r="728" spans="1:4" x14ac:dyDescent="0.2">
      <c r="A728" s="5">
        <v>667</v>
      </c>
      <c r="B728" s="138">
        <f>'Expenditures 15-22'!C44</f>
        <v>311278</v>
      </c>
      <c r="D728" s="2" t="str">
        <f t="shared" si="10"/>
        <v>Error?</v>
      </c>
    </row>
    <row r="729" spans="1:4" x14ac:dyDescent="0.2">
      <c r="A729" s="5">
        <v>668</v>
      </c>
      <c r="B729" s="138">
        <f>'Expenditures 15-22'!C45</f>
        <v>296889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608167</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237700</v>
      </c>
      <c r="D733" s="2" t="str">
        <f t="shared" si="10"/>
        <v>Error?</v>
      </c>
    </row>
    <row r="734" spans="1:4" x14ac:dyDescent="0.2">
      <c r="A734" s="5">
        <v>673</v>
      </c>
      <c r="B734" s="138">
        <f>'Expenditures 15-22'!C53</f>
        <v>237700</v>
      </c>
      <c r="C734" s="2" t="s">
        <v>572</v>
      </c>
      <c r="D734" s="2" t="str">
        <f t="shared" si="10"/>
        <v>Error?</v>
      </c>
    </row>
    <row r="735" spans="1:4" x14ac:dyDescent="0.2">
      <c r="A735" s="5">
        <v>674</v>
      </c>
      <c r="B735" s="138">
        <f>'Expenditures 15-22'!C55</f>
        <v>1969198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1969198</v>
      </c>
      <c r="C737" s="2" t="s">
        <v>572</v>
      </c>
      <c r="D737" s="2" t="str">
        <f t="shared" si="10"/>
        <v>Error?</v>
      </c>
    </row>
    <row r="738" spans="1:4" x14ac:dyDescent="0.2">
      <c r="A738" s="5">
        <v>677</v>
      </c>
      <c r="B738" s="138">
        <f>'Expenditures 15-22'!C59</f>
        <v>160915</v>
      </c>
      <c r="D738" s="2" t="str">
        <f t="shared" si="10"/>
        <v>Error?</v>
      </c>
    </row>
    <row r="739" spans="1:4" x14ac:dyDescent="0.2">
      <c r="A739" s="5">
        <v>678</v>
      </c>
      <c r="B739" s="138">
        <f>'Expenditures 15-22'!C60</f>
        <v>603522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15829</v>
      </c>
      <c r="D741" s="2" t="str">
        <f t="shared" si="10"/>
        <v>Error?</v>
      </c>
    </row>
    <row r="742" spans="1:4" x14ac:dyDescent="0.2">
      <c r="A742" s="5">
        <v>681</v>
      </c>
      <c r="B742" s="138">
        <f>'Expenditures 15-22'!C63</f>
        <v>121885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902151</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676797</v>
      </c>
      <c r="D748" s="2" t="str">
        <f t="shared" si="10"/>
        <v>Error?</v>
      </c>
    </row>
    <row r="749" spans="1:4" x14ac:dyDescent="0.2">
      <c r="A749" s="5">
        <v>688</v>
      </c>
      <c r="B749" s="138">
        <f>'Expenditures 15-22'!C70</f>
        <v>141934</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818731</v>
      </c>
      <c r="C753" s="2" t="s">
        <v>572</v>
      </c>
      <c r="D753" s="2" t="str">
        <f t="shared" si="10"/>
        <v>Error?</v>
      </c>
    </row>
    <row r="754" spans="1:4" x14ac:dyDescent="0.2">
      <c r="A754" s="5">
        <v>693</v>
      </c>
      <c r="B754" s="138">
        <f>'Expenditures 15-22'!C73</f>
        <v>2450</v>
      </c>
      <c r="D754" s="2" t="str">
        <f t="shared" si="10"/>
        <v>Error?</v>
      </c>
    </row>
    <row r="755" spans="1:4" x14ac:dyDescent="0.2">
      <c r="A755" s="5">
        <v>694</v>
      </c>
      <c r="B755" s="138">
        <f>'Expenditures 15-22'!C74</f>
        <v>8314398</v>
      </c>
      <c r="C755" s="2" t="s">
        <v>572</v>
      </c>
      <c r="D755" s="2" t="str">
        <f t="shared" si="10"/>
        <v>Error?</v>
      </c>
    </row>
    <row r="756" spans="1:4" x14ac:dyDescent="0.2">
      <c r="A756" s="5">
        <v>695</v>
      </c>
      <c r="B756" s="138">
        <f>'Expenditures 15-22'!C75</f>
        <v>3605</v>
      </c>
      <c r="D756" s="2" t="str">
        <f t="shared" si="10"/>
        <v>Error?</v>
      </c>
    </row>
    <row r="757" spans="1:4" x14ac:dyDescent="0.2">
      <c r="A757" s="5">
        <v>696</v>
      </c>
      <c r="B757" s="138">
        <f>'Expenditures 15-22'!C114</f>
        <v>30681465</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2543797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350147</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5241</v>
      </c>
      <c r="D776" s="2" t="str">
        <f t="shared" si="11"/>
        <v>Error?</v>
      </c>
    </row>
    <row r="777" spans="1:4" x14ac:dyDescent="0.2">
      <c r="A777" s="5">
        <v>716</v>
      </c>
      <c r="B777" s="138">
        <f>'Expenditures 15-22'!D15</f>
        <v>2796</v>
      </c>
      <c r="D777" s="2" t="str">
        <f t="shared" si="11"/>
        <v>Error?</v>
      </c>
    </row>
    <row r="778" spans="1:4" x14ac:dyDescent="0.2">
      <c r="A778" s="5">
        <v>717</v>
      </c>
      <c r="B778" s="138">
        <f>'Expenditures 15-22'!D33</f>
        <v>3962396</v>
      </c>
      <c r="C778" s="2" t="s">
        <v>572</v>
      </c>
      <c r="D778" s="2" t="str">
        <f t="shared" si="11"/>
        <v>Error?</v>
      </c>
    </row>
    <row r="779" spans="1:4" x14ac:dyDescent="0.2">
      <c r="A779" s="5">
        <v>718</v>
      </c>
      <c r="B779" s="138">
        <f>'Expenditures 15-22'!D36</f>
        <v>137221</v>
      </c>
      <c r="D779" s="2" t="str">
        <f t="shared" si="11"/>
        <v>Error?</v>
      </c>
    </row>
    <row r="780" spans="1:4" x14ac:dyDescent="0.2">
      <c r="A780" s="5">
        <v>719</v>
      </c>
      <c r="B780" s="138">
        <f>'Expenditures 15-22'!D37</f>
        <v>0</v>
      </c>
      <c r="D780" s="2" t="str">
        <f t="shared" si="11"/>
        <v>Error?</v>
      </c>
    </row>
    <row r="781" spans="1:4" x14ac:dyDescent="0.2">
      <c r="A781" s="5">
        <v>720</v>
      </c>
      <c r="B781" s="138">
        <f>'Expenditures 15-22'!D38</f>
        <v>46135</v>
      </c>
      <c r="D781" s="2" t="str">
        <f t="shared" si="11"/>
        <v>Error?</v>
      </c>
    </row>
    <row r="782" spans="1:4" x14ac:dyDescent="0.2">
      <c r="A782" s="5">
        <v>721</v>
      </c>
      <c r="B782" s="138">
        <f>'Expenditures 15-22'!D39</f>
        <v>57446</v>
      </c>
      <c r="D782" s="2" t="str">
        <f t="shared" si="11"/>
        <v>Error?</v>
      </c>
    </row>
    <row r="783" spans="1:4" x14ac:dyDescent="0.2">
      <c r="A783" s="5">
        <v>722</v>
      </c>
      <c r="B783" s="138">
        <f>'Expenditures 15-22'!D40</f>
        <v>158210</v>
      </c>
      <c r="D783" s="2" t="str">
        <f t="shared" si="11"/>
        <v>Error?</v>
      </c>
    </row>
    <row r="784" spans="1:4" x14ac:dyDescent="0.2">
      <c r="A784" s="5">
        <v>723</v>
      </c>
      <c r="B784" s="138">
        <f>'Expenditures 15-22'!D41</f>
        <v>293998</v>
      </c>
      <c r="D784" s="2" t="str">
        <f t="shared" si="11"/>
        <v>Error?</v>
      </c>
    </row>
    <row r="785" spans="1:4" x14ac:dyDescent="0.2">
      <c r="A785" s="5">
        <v>724</v>
      </c>
      <c r="B785" s="138">
        <f>'Expenditures 15-22'!D42</f>
        <v>693010</v>
      </c>
      <c r="C785" s="2" t="s">
        <v>572</v>
      </c>
      <c r="D785" s="2" t="str">
        <f t="shared" si="11"/>
        <v>Error?</v>
      </c>
    </row>
    <row r="786" spans="1:4" x14ac:dyDescent="0.2">
      <c r="A786" s="5">
        <v>725</v>
      </c>
      <c r="B786" s="138">
        <f>'Expenditures 15-22'!D44</f>
        <v>85803</v>
      </c>
      <c r="D786" s="2" t="str">
        <f t="shared" si="11"/>
        <v>Error?</v>
      </c>
    </row>
    <row r="787" spans="1:4" x14ac:dyDescent="0.2">
      <c r="A787" s="5">
        <v>726</v>
      </c>
      <c r="B787" s="138">
        <f>'Expenditures 15-22'!D45</f>
        <v>71846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157649</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316</v>
      </c>
      <c r="D791" s="2" t="str">
        <f t="shared" si="11"/>
        <v>Error?</v>
      </c>
    </row>
    <row r="792" spans="1:4" x14ac:dyDescent="0.2">
      <c r="A792" s="5">
        <v>731</v>
      </c>
      <c r="B792" s="138">
        <f>'Expenditures 15-22'!D53</f>
        <v>316</v>
      </c>
      <c r="C792" s="2" t="s">
        <v>572</v>
      </c>
      <c r="D792" s="2" t="str">
        <f t="shared" si="11"/>
        <v>Error?</v>
      </c>
    </row>
    <row r="793" spans="1:4" x14ac:dyDescent="0.2">
      <c r="A793" s="5">
        <v>732</v>
      </c>
      <c r="B793" s="138">
        <f>'Expenditures 15-22'!D55</f>
        <v>504624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504624</v>
      </c>
      <c r="C795" s="2" t="s">
        <v>572</v>
      </c>
      <c r="D795" s="2" t="str">
        <f t="shared" si="11"/>
        <v>Error?</v>
      </c>
    </row>
    <row r="796" spans="1:4" x14ac:dyDescent="0.2">
      <c r="A796" s="5">
        <v>735</v>
      </c>
      <c r="B796" s="138">
        <f>'Expenditures 15-22'!D59</f>
        <v>32182</v>
      </c>
      <c r="D796" s="2" t="str">
        <f t="shared" si="11"/>
        <v>Error?</v>
      </c>
    </row>
    <row r="797" spans="1:4" x14ac:dyDescent="0.2">
      <c r="A797" s="5">
        <v>736</v>
      </c>
      <c r="B797" s="138">
        <f>'Expenditures 15-22'!D60</f>
        <v>124139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52</v>
      </c>
      <c r="D799" s="2" t="str">
        <f t="shared" si="11"/>
        <v>Error?</v>
      </c>
    </row>
    <row r="800" spans="1:4" x14ac:dyDescent="0.2">
      <c r="A800" s="5">
        <v>739</v>
      </c>
      <c r="B800" s="138">
        <f>'Expenditures 15-22'!D63</f>
        <v>243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156616</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138329</v>
      </c>
      <c r="D806" s="2" t="str">
        <f t="shared" si="11"/>
        <v>Error?</v>
      </c>
    </row>
    <row r="807" spans="1:4" x14ac:dyDescent="0.2">
      <c r="A807" s="5">
        <v>746</v>
      </c>
      <c r="B807" s="138">
        <f>'Expenditures 15-22'!D70</f>
        <v>48865</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187194</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1699409</v>
      </c>
      <c r="C813" s="2" t="s">
        <v>572</v>
      </c>
      <c r="D813" s="2" t="str">
        <f t="shared" si="11"/>
        <v>Error?</v>
      </c>
    </row>
    <row r="814" spans="1:4" x14ac:dyDescent="0.2">
      <c r="A814" s="5">
        <v>753</v>
      </c>
      <c r="B814" s="138">
        <f>'Expenditures 15-22'!D75</f>
        <v>397</v>
      </c>
      <c r="D814" s="2" t="str">
        <f t="shared" si="11"/>
        <v>Error?</v>
      </c>
    </row>
    <row r="815" spans="1:4" x14ac:dyDescent="0.2">
      <c r="A815" s="5">
        <v>754</v>
      </c>
      <c r="B815" s="138">
        <f>'Expenditures 15-22'!D114</f>
        <v>5662202</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98124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64600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12660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295260</v>
      </c>
      <c r="C836" s="2" t="s">
        <v>572</v>
      </c>
      <c r="D836" s="2" t="str">
        <f t="shared" si="12"/>
        <v>Error?</v>
      </c>
    </row>
    <row r="837" spans="1:4" x14ac:dyDescent="0.2">
      <c r="A837" s="5">
        <v>776</v>
      </c>
      <c r="B837" s="138">
        <f>'Expenditures 15-22'!E36</f>
        <v>9840</v>
      </c>
      <c r="D837" s="2" t="str">
        <f t="shared" si="12"/>
        <v>Error?</v>
      </c>
    </row>
    <row r="838" spans="1:4" x14ac:dyDescent="0.2">
      <c r="A838" s="5">
        <v>777</v>
      </c>
      <c r="B838" s="138">
        <f>'Expenditures 15-22'!E37</f>
        <v>135339</v>
      </c>
      <c r="D838" s="2" t="str">
        <f t="shared" si="12"/>
        <v>Error?</v>
      </c>
    </row>
    <row r="839" spans="1:4" x14ac:dyDescent="0.2">
      <c r="A839" s="5">
        <v>778</v>
      </c>
      <c r="B839" s="138">
        <f>'Expenditures 15-22'!E38</f>
        <v>64859</v>
      </c>
      <c r="D839" s="2" t="str">
        <f t="shared" si="12"/>
        <v>Error?</v>
      </c>
    </row>
    <row r="840" spans="1:4" x14ac:dyDescent="0.2">
      <c r="A840" s="5">
        <v>779</v>
      </c>
      <c r="B840" s="138">
        <f>'Expenditures 15-22'!E39</f>
        <v>2675</v>
      </c>
      <c r="D840" s="2" t="str">
        <f t="shared" si="12"/>
        <v>Error?</v>
      </c>
    </row>
    <row r="841" spans="1:4" x14ac:dyDescent="0.2">
      <c r="A841" s="5">
        <v>780</v>
      </c>
      <c r="B841" s="138">
        <f>'Expenditures 15-22'!E40</f>
        <v>12158</v>
      </c>
      <c r="D841" s="2" t="str">
        <f t="shared" si="12"/>
        <v>Error?</v>
      </c>
    </row>
    <row r="842" spans="1:4" x14ac:dyDescent="0.2">
      <c r="A842" s="5">
        <v>781</v>
      </c>
      <c r="B842" s="138">
        <f>'Expenditures 15-22'!E41</f>
        <v>83739</v>
      </c>
      <c r="D842" s="2" t="str">
        <f t="shared" si="12"/>
        <v>Error?</v>
      </c>
    </row>
    <row r="843" spans="1:4" x14ac:dyDescent="0.2">
      <c r="A843" s="5">
        <v>782</v>
      </c>
      <c r="B843" s="138">
        <f>'Expenditures 15-22'!E42</f>
        <v>308610</v>
      </c>
      <c r="C843" s="2" t="s">
        <v>572</v>
      </c>
      <c r="D843" s="2" t="str">
        <f t="shared" si="12"/>
        <v>Error?</v>
      </c>
    </row>
    <row r="844" spans="1:4" x14ac:dyDescent="0.2">
      <c r="A844" s="5">
        <v>783</v>
      </c>
      <c r="B844" s="138">
        <f>'Expenditures 15-22'!E44</f>
        <v>238046</v>
      </c>
      <c r="D844" s="2" t="str">
        <f t="shared" si="12"/>
        <v>Error?</v>
      </c>
    </row>
    <row r="845" spans="1:4" x14ac:dyDescent="0.2">
      <c r="A845" s="5">
        <v>784</v>
      </c>
      <c r="B845" s="138">
        <f>'Expenditures 15-22'!E45</f>
        <v>0</v>
      </c>
      <c r="D845" s="2" t="str">
        <f t="shared" si="12"/>
        <v>Error?</v>
      </c>
    </row>
    <row r="846" spans="1:4" x14ac:dyDescent="0.2">
      <c r="A846" s="5">
        <v>785</v>
      </c>
      <c r="B846" s="138">
        <f>'Expenditures 15-22'!E46</f>
        <v>5488</v>
      </c>
      <c r="D846" s="2" t="str">
        <f t="shared" si="12"/>
        <v>Error?</v>
      </c>
    </row>
    <row r="847" spans="1:4" x14ac:dyDescent="0.2">
      <c r="A847" s="5">
        <v>786</v>
      </c>
      <c r="B847" s="138">
        <f>'Expenditures 15-22'!E47</f>
        <v>243534</v>
      </c>
      <c r="C847" s="2" t="s">
        <v>572</v>
      </c>
      <c r="D847" s="2" t="str">
        <f t="shared" si="12"/>
        <v>Error?</v>
      </c>
    </row>
    <row r="848" spans="1:4" x14ac:dyDescent="0.2">
      <c r="A848" s="5">
        <v>787</v>
      </c>
      <c r="B848" s="138">
        <f>'Expenditures 15-22'!E49</f>
        <v>324494</v>
      </c>
      <c r="D848" s="2" t="str">
        <f t="shared" si="12"/>
        <v>Error?</v>
      </c>
    </row>
    <row r="849" spans="1:4" x14ac:dyDescent="0.2">
      <c r="A849" s="5">
        <v>788</v>
      </c>
      <c r="B849" s="138">
        <f>'Expenditures 15-22'!E50</f>
        <v>1971</v>
      </c>
      <c r="D849" s="2" t="str">
        <f t="shared" si="12"/>
        <v>Error?</v>
      </c>
    </row>
    <row r="850" spans="1:4" x14ac:dyDescent="0.2">
      <c r="A850" s="5">
        <v>789</v>
      </c>
      <c r="B850" s="138">
        <f>'Expenditures 15-22'!E53</f>
        <v>326829</v>
      </c>
      <c r="C850" s="2" t="s">
        <v>572</v>
      </c>
      <c r="D850" s="2" t="str">
        <f t="shared" si="12"/>
        <v>Error?</v>
      </c>
    </row>
    <row r="851" spans="1:4" x14ac:dyDescent="0.2">
      <c r="A851" s="5">
        <v>790</v>
      </c>
      <c r="B851" s="138">
        <f>'Expenditures 15-22'!E55</f>
        <v>25516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25516</v>
      </c>
      <c r="C853" s="2" t="s">
        <v>572</v>
      </c>
      <c r="D853" s="2" t="str">
        <f t="shared" si="12"/>
        <v>Error?</v>
      </c>
    </row>
    <row r="854" spans="1:4" x14ac:dyDescent="0.2">
      <c r="A854" s="5">
        <v>793</v>
      </c>
      <c r="B854" s="138">
        <f>'Expenditures 15-22'!E59</f>
        <v>9929</v>
      </c>
      <c r="D854" s="2" t="str">
        <f t="shared" si="12"/>
        <v>Error?</v>
      </c>
    </row>
    <row r="855" spans="1:4" x14ac:dyDescent="0.2">
      <c r="A855" s="5">
        <v>794</v>
      </c>
      <c r="B855" s="138">
        <f>'Expenditures 15-22'!E60</f>
        <v>29174</v>
      </c>
      <c r="D855" s="2" t="str">
        <f t="shared" si="12"/>
        <v>Error?</v>
      </c>
    </row>
    <row r="856" spans="1:4" x14ac:dyDescent="0.2">
      <c r="A856" s="5">
        <v>795</v>
      </c>
      <c r="B856" s="138">
        <f>'Expenditures 15-22'!E61</f>
        <v>14</v>
      </c>
      <c r="D856" s="2" t="str">
        <f t="shared" si="12"/>
        <v>Error?</v>
      </c>
    </row>
    <row r="857" spans="1:4" x14ac:dyDescent="0.2">
      <c r="A857" s="5">
        <v>796</v>
      </c>
      <c r="B857" s="138">
        <f>'Expenditures 15-22'!E62</f>
        <v>60281</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99398</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257572</v>
      </c>
      <c r="D864" s="2" t="str">
        <f t="shared" si="12"/>
        <v>Error?</v>
      </c>
    </row>
    <row r="865" spans="1:4" x14ac:dyDescent="0.2">
      <c r="A865" s="5">
        <v>804</v>
      </c>
      <c r="B865" s="138">
        <f>'Expenditures 15-22'!E70</f>
        <v>1747</v>
      </c>
      <c r="D865" s="2" t="str">
        <f t="shared" si="12"/>
        <v>Error?</v>
      </c>
    </row>
    <row r="866" spans="1:4" x14ac:dyDescent="0.2">
      <c r="A866" s="10">
        <v>805</v>
      </c>
      <c r="D866" s="2" t="str">
        <f t="shared" si="12"/>
        <v>OK</v>
      </c>
    </row>
    <row r="867" spans="1:4" x14ac:dyDescent="0.2">
      <c r="A867" s="5">
        <v>806</v>
      </c>
      <c r="B867" s="138">
        <f>'Expenditures 15-22'!E71</f>
        <v>8793</v>
      </c>
      <c r="D867" s="2" t="str">
        <f t="shared" si="12"/>
        <v>Error?</v>
      </c>
    </row>
    <row r="868" spans="1:4" x14ac:dyDescent="0.2">
      <c r="A868" s="10">
        <v>807</v>
      </c>
      <c r="D868" s="2" t="str">
        <f t="shared" si="12"/>
        <v>OK</v>
      </c>
    </row>
    <row r="869" spans="1:4" x14ac:dyDescent="0.2">
      <c r="A869" s="5">
        <v>808</v>
      </c>
      <c r="B869" s="138">
        <f>'Expenditures 15-22'!E72</f>
        <v>268112</v>
      </c>
      <c r="C869" s="2" t="s">
        <v>572</v>
      </c>
      <c r="D869" s="2" t="str">
        <f t="shared" si="12"/>
        <v>Error?</v>
      </c>
    </row>
    <row r="870" spans="1:4" x14ac:dyDescent="0.2">
      <c r="A870" s="5">
        <v>809</v>
      </c>
      <c r="B870" s="138">
        <f>'Expenditures 15-22'!E73</f>
        <v>5909</v>
      </c>
      <c r="D870" s="2" t="str">
        <f t="shared" si="12"/>
        <v>Error?</v>
      </c>
    </row>
    <row r="871" spans="1:4" x14ac:dyDescent="0.2">
      <c r="A871" s="5">
        <v>810</v>
      </c>
      <c r="B871" s="138">
        <f>'Expenditures 15-22'!E74</f>
        <v>1277908</v>
      </c>
      <c r="C871" s="2" t="s">
        <v>572</v>
      </c>
      <c r="D871" s="2" t="str">
        <f t="shared" si="12"/>
        <v>Error?</v>
      </c>
    </row>
    <row r="872" spans="1:4" x14ac:dyDescent="0.2">
      <c r="A872" s="5">
        <v>811</v>
      </c>
      <c r="B872" s="138">
        <f>'Expenditures 15-22'!E75</f>
        <v>6394</v>
      </c>
      <c r="D872" s="2" t="str">
        <f t="shared" si="12"/>
        <v>Error?</v>
      </c>
    </row>
    <row r="873" spans="1:4" x14ac:dyDescent="0.2">
      <c r="A873" s="5">
        <v>812</v>
      </c>
      <c r="B873" s="138">
        <f>'Expenditures 15-22'!E114</f>
        <v>1579562</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740401</v>
      </c>
      <c r="D879" s="2" t="str">
        <f t="shared" si="12"/>
        <v>Error?</v>
      </c>
    </row>
    <row r="880" spans="1:4" x14ac:dyDescent="0.2">
      <c r="A880" s="5">
        <v>819</v>
      </c>
      <c r="B880" s="138">
        <f>'Expenditures 15-22'!F16</f>
        <v>1392</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16056</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12722</v>
      </c>
      <c r="D892" s="2" t="str">
        <f t="shared" si="12"/>
        <v>Error?</v>
      </c>
    </row>
    <row r="893" spans="1:4" x14ac:dyDescent="0.2">
      <c r="A893" s="5">
        <v>832</v>
      </c>
      <c r="B893" s="138">
        <f>'Expenditures 15-22'!F15</f>
        <v>8068</v>
      </c>
      <c r="D893" s="2" t="str">
        <f t="shared" si="12"/>
        <v>Error?</v>
      </c>
    </row>
    <row r="894" spans="1:4" x14ac:dyDescent="0.2">
      <c r="A894" s="5">
        <v>833</v>
      </c>
      <c r="B894" s="138">
        <f>'Expenditures 15-22'!F33</f>
        <v>833630</v>
      </c>
      <c r="C894" s="2" t="s">
        <v>572</v>
      </c>
      <c r="D894" s="2" t="str">
        <f t="shared" si="12"/>
        <v>Error?</v>
      </c>
    </row>
    <row r="895" spans="1:4" x14ac:dyDescent="0.2">
      <c r="A895" s="5">
        <v>834</v>
      </c>
      <c r="B895" s="138">
        <f>'Expenditures 15-22'!F36</f>
        <v>4361</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15611</v>
      </c>
      <c r="D897" s="2" t="str">
        <f t="shared" si="13"/>
        <v>Error?</v>
      </c>
    </row>
    <row r="898" spans="1:4" x14ac:dyDescent="0.2">
      <c r="A898" s="5">
        <v>837</v>
      </c>
      <c r="B898" s="138">
        <f>'Expenditures 15-22'!F39</f>
        <v>210</v>
      </c>
      <c r="D898" s="2" t="str">
        <f t="shared" si="13"/>
        <v>Error?</v>
      </c>
    </row>
    <row r="899" spans="1:4" x14ac:dyDescent="0.2">
      <c r="A899" s="5">
        <v>838</v>
      </c>
      <c r="B899" s="138">
        <f>'Expenditures 15-22'!F40</f>
        <v>420</v>
      </c>
      <c r="D899" s="2" t="str">
        <f t="shared" si="13"/>
        <v>Error?</v>
      </c>
    </row>
    <row r="900" spans="1:4" x14ac:dyDescent="0.2">
      <c r="A900" s="5">
        <v>839</v>
      </c>
      <c r="B900" s="138">
        <f>'Expenditures 15-22'!F41</f>
        <v>311</v>
      </c>
      <c r="D900" s="2" t="str">
        <f t="shared" si="13"/>
        <v>Error?</v>
      </c>
    </row>
    <row r="901" spans="1:4" x14ac:dyDescent="0.2">
      <c r="A901" s="5">
        <v>840</v>
      </c>
      <c r="B901" s="138">
        <f>'Expenditures 15-22'!F42</f>
        <v>20913</v>
      </c>
      <c r="C901" s="2" t="s">
        <v>572</v>
      </c>
      <c r="D901" s="2" t="str">
        <f t="shared" si="13"/>
        <v>Error?</v>
      </c>
    </row>
    <row r="902" spans="1:4" x14ac:dyDescent="0.2">
      <c r="A902" s="5">
        <v>841</v>
      </c>
      <c r="B902" s="138">
        <f>'Expenditures 15-22'!F44</f>
        <v>4918</v>
      </c>
      <c r="D902" s="2" t="str">
        <f t="shared" si="13"/>
        <v>Error?</v>
      </c>
    </row>
    <row r="903" spans="1:4" x14ac:dyDescent="0.2">
      <c r="A903" s="5">
        <v>842</v>
      </c>
      <c r="B903" s="138">
        <f>'Expenditures 15-22'!F45</f>
        <v>36209</v>
      </c>
      <c r="D903" s="2" t="str">
        <f t="shared" si="13"/>
        <v>Error?</v>
      </c>
    </row>
    <row r="904" spans="1:4" x14ac:dyDescent="0.2">
      <c r="A904" s="5">
        <v>843</v>
      </c>
      <c r="B904" s="138">
        <f>'Expenditures 15-22'!F46</f>
        <v>25234</v>
      </c>
      <c r="D904" s="2" t="str">
        <f t="shared" si="13"/>
        <v>Error?</v>
      </c>
    </row>
    <row r="905" spans="1:4" x14ac:dyDescent="0.2">
      <c r="A905" s="5">
        <v>844</v>
      </c>
      <c r="B905" s="138">
        <f>'Expenditures 15-22'!F47</f>
        <v>66361</v>
      </c>
      <c r="C905" s="2" t="s">
        <v>572</v>
      </c>
      <c r="D905" s="2" t="str">
        <f t="shared" si="13"/>
        <v>Error?</v>
      </c>
    </row>
    <row r="906" spans="1:4" x14ac:dyDescent="0.2">
      <c r="A906" s="5">
        <v>845</v>
      </c>
      <c r="B906" s="138">
        <f>'Expenditures 15-22'!F49</f>
        <v>348</v>
      </c>
      <c r="D906" s="2" t="str">
        <f t="shared" si="13"/>
        <v>Error?</v>
      </c>
    </row>
    <row r="907" spans="1:4" x14ac:dyDescent="0.2">
      <c r="A907" s="5">
        <v>846</v>
      </c>
      <c r="B907" s="138">
        <f>'Expenditures 15-22'!F50</f>
        <v>2470</v>
      </c>
      <c r="D907" s="2" t="str">
        <f t="shared" si="13"/>
        <v>Error?</v>
      </c>
    </row>
    <row r="908" spans="1:4" x14ac:dyDescent="0.2">
      <c r="A908" s="5">
        <v>847</v>
      </c>
      <c r="B908" s="138">
        <f>'Expenditures 15-22'!F53</f>
        <v>3691</v>
      </c>
      <c r="C908" s="2" t="s">
        <v>572</v>
      </c>
      <c r="D908" s="2" t="str">
        <f t="shared" si="13"/>
        <v>Error?</v>
      </c>
    </row>
    <row r="909" spans="1:4" x14ac:dyDescent="0.2">
      <c r="A909" s="5">
        <v>848</v>
      </c>
      <c r="B909" s="138">
        <f>'Expenditures 15-22'!F55</f>
        <v>16713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16713</v>
      </c>
      <c r="C911" s="2" t="s">
        <v>572</v>
      </c>
      <c r="D911" s="2" t="str">
        <f t="shared" si="13"/>
        <v>Error?</v>
      </c>
    </row>
    <row r="912" spans="1:4" x14ac:dyDescent="0.2">
      <c r="A912" s="5">
        <v>851</v>
      </c>
      <c r="B912" s="138">
        <f>'Expenditures 15-22'!F59</f>
        <v>6676</v>
      </c>
      <c r="D912" s="2" t="str">
        <f t="shared" si="13"/>
        <v>Error?</v>
      </c>
    </row>
    <row r="913" spans="1:4" x14ac:dyDescent="0.2">
      <c r="A913" s="5">
        <v>852</v>
      </c>
      <c r="B913" s="138">
        <f>'Expenditures 15-22'!F60</f>
        <v>4528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697913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709117</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17495</v>
      </c>
      <c r="D922" s="2" t="str">
        <f t="shared" si="13"/>
        <v>Error?</v>
      </c>
    </row>
    <row r="923" spans="1:4" x14ac:dyDescent="0.2">
      <c r="A923" s="5">
        <v>862</v>
      </c>
      <c r="B923" s="138">
        <f>'Expenditures 15-22'!F70</f>
        <v>60444</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77939</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894734</v>
      </c>
      <c r="C929" s="2" t="s">
        <v>572</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1728364</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1576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1076721</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1122</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1122</v>
      </c>
      <c r="C1021" s="2" t="s">
        <v>572</v>
      </c>
      <c r="D1021" s="2" t="str">
        <f t="shared" si="14"/>
        <v>Error?</v>
      </c>
    </row>
    <row r="1022" spans="1:4" x14ac:dyDescent="0.2">
      <c r="A1022" s="5">
        <v>961</v>
      </c>
      <c r="B1022" s="138">
        <f>'Expenditures 15-22'!H49</f>
        <v>15310</v>
      </c>
      <c r="D1022" s="2" t="str">
        <f t="shared" si="14"/>
        <v>Error?</v>
      </c>
    </row>
    <row r="1023" spans="1:4" x14ac:dyDescent="0.2">
      <c r="A1023" s="5">
        <v>962</v>
      </c>
      <c r="B1023" s="138">
        <f>'Expenditures 15-22'!H50</f>
        <v>764</v>
      </c>
      <c r="D1023" s="2" t="str">
        <f t="shared" ref="D1023:D1086" si="15">IF(ISBLANK(B1023),"OK",IF(A1023-B1023=0,"OK","Error?"))</f>
        <v>Error?</v>
      </c>
    </row>
    <row r="1024" spans="1:4" x14ac:dyDescent="0.2">
      <c r="A1024" s="5">
        <v>963</v>
      </c>
      <c r="B1024" s="138">
        <f>'Expenditures 15-22'!H53</f>
        <v>16074</v>
      </c>
      <c r="C1024" s="2" t="s">
        <v>572</v>
      </c>
      <c r="D1024" s="2" t="str">
        <f t="shared" si="15"/>
        <v>Error?</v>
      </c>
    </row>
    <row r="1025" spans="1:4" x14ac:dyDescent="0.2">
      <c r="A1025" s="5">
        <v>964</v>
      </c>
      <c r="B1025" s="138">
        <f>'Expenditures 15-22'!H55</f>
        <v>4964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4964</v>
      </c>
      <c r="C1027" s="2" t="s">
        <v>572</v>
      </c>
      <c r="D1027" s="2" t="str">
        <f t="shared" si="15"/>
        <v>Error?</v>
      </c>
    </row>
    <row r="1028" spans="1:4" x14ac:dyDescent="0.2">
      <c r="A1028" s="5">
        <v>967</v>
      </c>
      <c r="B1028" s="138">
        <f>'Expenditures 15-22'!H59</f>
        <v>4583</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2018</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6601</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28761</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1684355</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2789837</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19191421</v>
      </c>
      <c r="C1093" s="2" t="s">
        <v>572</v>
      </c>
      <c r="D1093" s="2" t="str">
        <f t="shared" si="16"/>
        <v>Error?</v>
      </c>
    </row>
    <row r="1094" spans="1:4" x14ac:dyDescent="0.2">
      <c r="A1094" s="5">
        <v>1033</v>
      </c>
      <c r="B1094" s="138">
        <f>'Expenditures 15-22'!K16</f>
        <v>1392</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2025277</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0</v>
      </c>
      <c r="C1105" s="2" t="s">
        <v>572</v>
      </c>
      <c r="D1105" s="2" t="str">
        <f t="shared" si="16"/>
        <v>Error?</v>
      </c>
    </row>
    <row r="1106" spans="1:4" x14ac:dyDescent="0.2">
      <c r="A1106" s="5">
        <v>1045</v>
      </c>
      <c r="B1106" s="138">
        <f>'Expenditures 15-22'!K14</f>
        <v>385924</v>
      </c>
      <c r="C1106" s="2" t="s">
        <v>572</v>
      </c>
      <c r="D1106" s="2" t="str">
        <f t="shared" si="16"/>
        <v>Error?</v>
      </c>
    </row>
    <row r="1107" spans="1:4" x14ac:dyDescent="0.2">
      <c r="A1107" s="5">
        <v>1046</v>
      </c>
      <c r="B1107" s="138">
        <f>'Expenditures 15-22'!K15</f>
        <v>262283</v>
      </c>
      <c r="C1107" s="2" t="s">
        <v>572</v>
      </c>
      <c r="D1107" s="2" t="str">
        <f t="shared" si="16"/>
        <v>Error?</v>
      </c>
    </row>
    <row r="1108" spans="1:4" x14ac:dyDescent="0.2">
      <c r="A1108" s="5">
        <v>1047</v>
      </c>
      <c r="B1108" s="138">
        <f>'Expenditures 15-22'!K33</f>
        <v>28547863</v>
      </c>
      <c r="C1108" s="2" t="s">
        <v>572</v>
      </c>
      <c r="D1108" s="2" t="str">
        <f t="shared" si="16"/>
        <v>Error?</v>
      </c>
    </row>
    <row r="1109" spans="1:4" x14ac:dyDescent="0.2">
      <c r="A1109" s="5">
        <v>1048</v>
      </c>
      <c r="B1109" s="138">
        <f>'Expenditures 15-22'!K36</f>
        <v>1095260</v>
      </c>
      <c r="C1109" s="2" t="s">
        <v>572</v>
      </c>
      <c r="D1109" s="2" t="str">
        <f t="shared" si="16"/>
        <v>Error?</v>
      </c>
    </row>
    <row r="1110" spans="1:4" x14ac:dyDescent="0.2">
      <c r="A1110" s="5">
        <v>1049</v>
      </c>
      <c r="B1110" s="138">
        <f>'Expenditures 15-22'!K37</f>
        <v>135339</v>
      </c>
      <c r="C1110" s="2" t="s">
        <v>572</v>
      </c>
      <c r="D1110" s="2" t="str">
        <f t="shared" si="16"/>
        <v>Error?</v>
      </c>
    </row>
    <row r="1111" spans="1:4" x14ac:dyDescent="0.2">
      <c r="A1111" s="5">
        <v>1050</v>
      </c>
      <c r="B1111" s="138">
        <f>'Expenditures 15-22'!K38</f>
        <v>409991</v>
      </c>
      <c r="C1111" s="2" t="s">
        <v>572</v>
      </c>
      <c r="D1111" s="2" t="str">
        <f t="shared" si="16"/>
        <v>Error?</v>
      </c>
    </row>
    <row r="1112" spans="1:4" x14ac:dyDescent="0.2">
      <c r="A1112" s="5">
        <v>1051</v>
      </c>
      <c r="B1112" s="138">
        <f>'Expenditures 15-22'!K39</f>
        <v>468494</v>
      </c>
      <c r="C1112" s="2" t="s">
        <v>572</v>
      </c>
      <c r="D1112" s="2" t="str">
        <f t="shared" si="16"/>
        <v>Error?</v>
      </c>
    </row>
    <row r="1113" spans="1:4" x14ac:dyDescent="0.2">
      <c r="A1113" s="5">
        <v>1052</v>
      </c>
      <c r="B1113" s="138">
        <f>'Expenditures 15-22'!K40</f>
        <v>1126195</v>
      </c>
      <c r="C1113" s="2" t="s">
        <v>572</v>
      </c>
      <c r="D1113" s="2" t="str">
        <f t="shared" si="16"/>
        <v>Error?</v>
      </c>
    </row>
    <row r="1114" spans="1:4" x14ac:dyDescent="0.2">
      <c r="A1114" s="5">
        <v>1053</v>
      </c>
      <c r="B1114" s="138">
        <f>'Expenditures 15-22'!K41</f>
        <v>1563255</v>
      </c>
      <c r="C1114" s="2" t="s">
        <v>572</v>
      </c>
      <c r="D1114" s="2" t="str">
        <f t="shared" si="16"/>
        <v>Error?</v>
      </c>
    </row>
    <row r="1115" spans="1:4" x14ac:dyDescent="0.2">
      <c r="A1115" s="5">
        <v>1054</v>
      </c>
      <c r="B1115" s="138">
        <f>'Expenditures 15-22'!K42</f>
        <v>4798534</v>
      </c>
      <c r="C1115" s="2" t="s">
        <v>572</v>
      </c>
      <c r="D1115" s="2" t="str">
        <f t="shared" si="16"/>
        <v>Error?</v>
      </c>
    </row>
    <row r="1116" spans="1:4" x14ac:dyDescent="0.2">
      <c r="A1116" s="5">
        <v>1055</v>
      </c>
      <c r="B1116" s="138">
        <f>'Expenditures 15-22'!K44</f>
        <v>641167</v>
      </c>
      <c r="C1116" s="2" t="s">
        <v>572</v>
      </c>
      <c r="D1116" s="2" t="str">
        <f t="shared" si="16"/>
        <v>Error?</v>
      </c>
    </row>
    <row r="1117" spans="1:4" x14ac:dyDescent="0.2">
      <c r="A1117" s="5">
        <v>1056</v>
      </c>
      <c r="B1117" s="138">
        <f>'Expenditures 15-22'!K45</f>
        <v>404944</v>
      </c>
      <c r="C1117" s="2" t="s">
        <v>572</v>
      </c>
      <c r="D1117" s="2" t="str">
        <f t="shared" si="16"/>
        <v>Error?</v>
      </c>
    </row>
    <row r="1118" spans="1:4" x14ac:dyDescent="0.2">
      <c r="A1118" s="5">
        <v>1057</v>
      </c>
      <c r="B1118" s="138">
        <f>'Expenditures 15-22'!K46</f>
        <v>30722</v>
      </c>
      <c r="C1118" s="2" t="s">
        <v>572</v>
      </c>
      <c r="D1118" s="2" t="str">
        <f t="shared" si="16"/>
        <v>Error?</v>
      </c>
    </row>
    <row r="1119" spans="1:4" x14ac:dyDescent="0.2">
      <c r="A1119" s="5">
        <v>1058</v>
      </c>
      <c r="B1119" s="138">
        <f>'Expenditures 15-22'!K47</f>
        <v>1076833</v>
      </c>
      <c r="C1119" s="2" t="s">
        <v>572</v>
      </c>
      <c r="D1119" s="2" t="str">
        <f t="shared" si="16"/>
        <v>Error?</v>
      </c>
    </row>
    <row r="1120" spans="1:4" x14ac:dyDescent="0.2">
      <c r="A1120" s="5">
        <v>1059</v>
      </c>
      <c r="B1120" s="138">
        <f>'Expenditures 15-22'!K49</f>
        <v>340152</v>
      </c>
      <c r="C1120" s="2" t="s">
        <v>572</v>
      </c>
      <c r="D1120" s="2" t="str">
        <f t="shared" si="16"/>
        <v>Error?</v>
      </c>
    </row>
    <row r="1121" spans="1:4" x14ac:dyDescent="0.2">
      <c r="A1121" s="5">
        <v>1060</v>
      </c>
      <c r="B1121" s="138">
        <f>'Expenditures 15-22'!K50</f>
        <v>243221</v>
      </c>
      <c r="C1121" s="2" t="s">
        <v>572</v>
      </c>
      <c r="D1121" s="2" t="str">
        <f t="shared" si="16"/>
        <v>Error?</v>
      </c>
    </row>
    <row r="1122" spans="1:4" x14ac:dyDescent="0.2">
      <c r="A1122" s="5">
        <v>1061</v>
      </c>
      <c r="B1122" s="138">
        <f>'Expenditures 15-22'!K53</f>
        <v>584610</v>
      </c>
      <c r="C1122" s="2" t="s">
        <v>572</v>
      </c>
      <c r="D1122" s="2" t="str">
        <f t="shared" si="16"/>
        <v>Error?</v>
      </c>
    </row>
    <row r="1123" spans="1:4" x14ac:dyDescent="0.2">
      <c r="A1123" s="5">
        <v>1062</v>
      </c>
      <c r="B1123" s="138">
        <f>'Expenditures 15-22'!K55</f>
        <v>2521015</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2521015</v>
      </c>
      <c r="C1125" s="2" t="s">
        <v>572</v>
      </c>
      <c r="D1125" s="2" t="str">
        <f t="shared" si="16"/>
        <v>Error?</v>
      </c>
    </row>
    <row r="1126" spans="1:4" x14ac:dyDescent="0.2">
      <c r="A1126" s="5">
        <v>1065</v>
      </c>
      <c r="B1126" s="138">
        <f>'Expenditures 15-22'!K59</f>
        <v>214285</v>
      </c>
      <c r="C1126" s="2" t="s">
        <v>572</v>
      </c>
      <c r="D1126" s="2" t="str">
        <f t="shared" si="16"/>
        <v>Error?</v>
      </c>
    </row>
    <row r="1127" spans="1:4" x14ac:dyDescent="0.2">
      <c r="A1127" s="5">
        <v>1066</v>
      </c>
      <c r="B1127" s="138">
        <f>'Expenditures 15-22'!K60</f>
        <v>761363</v>
      </c>
      <c r="C1127" s="2" t="s">
        <v>572</v>
      </c>
      <c r="D1127" s="2" t="str">
        <f t="shared" si="16"/>
        <v>Error?</v>
      </c>
    </row>
    <row r="1128" spans="1:4" x14ac:dyDescent="0.2">
      <c r="A1128" s="5">
        <v>1067</v>
      </c>
      <c r="B1128" s="138">
        <f>'Expenditures 15-22'!K61</f>
        <v>14</v>
      </c>
      <c r="C1128" s="2" t="s">
        <v>572</v>
      </c>
      <c r="D1128" s="2" t="str">
        <f t="shared" si="16"/>
        <v>Error?</v>
      </c>
    </row>
    <row r="1129" spans="1:4" x14ac:dyDescent="0.2">
      <c r="A1129" s="5">
        <v>1068</v>
      </c>
      <c r="B1129" s="138">
        <f>'Expenditures 15-22'!K62</f>
        <v>76162</v>
      </c>
      <c r="C1129" s="2" t="s">
        <v>572</v>
      </c>
      <c r="D1129" s="2" t="str">
        <f t="shared" si="16"/>
        <v>Error?</v>
      </c>
    </row>
    <row r="1130" spans="1:4" x14ac:dyDescent="0.2">
      <c r="A1130" s="5">
        <v>1069</v>
      </c>
      <c r="B1130" s="138">
        <f>'Expenditures 15-22'!K63</f>
        <v>822059</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1873883</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1148692</v>
      </c>
      <c r="C1136" s="2" t="s">
        <v>572</v>
      </c>
      <c r="D1136" s="2" t="str">
        <f t="shared" si="16"/>
        <v>Error?</v>
      </c>
    </row>
    <row r="1137" spans="1:4" x14ac:dyDescent="0.2">
      <c r="A1137" s="5">
        <v>1076</v>
      </c>
      <c r="B1137" s="138">
        <f>'Expenditures 15-22'!K70</f>
        <v>252990</v>
      </c>
      <c r="C1137" s="2" t="s">
        <v>572</v>
      </c>
      <c r="D1137" s="2" t="str">
        <f t="shared" si="16"/>
        <v>Error?</v>
      </c>
    </row>
    <row r="1138" spans="1:4" x14ac:dyDescent="0.2">
      <c r="A1138" s="10">
        <v>1077</v>
      </c>
      <c r="D1138" s="2" t="str">
        <f t="shared" si="16"/>
        <v>OK</v>
      </c>
    </row>
    <row r="1139" spans="1:4" x14ac:dyDescent="0.2">
      <c r="A1139" s="5">
        <v>1078</v>
      </c>
      <c r="B1139" s="138">
        <f>'Expenditures 15-22'!K71</f>
        <v>8793</v>
      </c>
      <c r="C1139" s="2" t="s">
        <v>572</v>
      </c>
      <c r="D1139" s="2" t="str">
        <f t="shared" si="16"/>
        <v>Error?</v>
      </c>
    </row>
    <row r="1140" spans="1:4" x14ac:dyDescent="0.2">
      <c r="A1140" s="10">
        <v>1079</v>
      </c>
      <c r="D1140" s="2" t="str">
        <f t="shared" si="16"/>
        <v>OK</v>
      </c>
    </row>
    <row r="1141" spans="1:4" x14ac:dyDescent="0.2">
      <c r="A1141" s="5">
        <v>1080</v>
      </c>
      <c r="B1141" s="138">
        <f>'Expenditures 15-22'!K72</f>
        <v>1410475</v>
      </c>
      <c r="C1141" s="2" t="s">
        <v>572</v>
      </c>
      <c r="D1141" s="2" t="str">
        <f t="shared" si="16"/>
        <v>Error?</v>
      </c>
    </row>
    <row r="1142" spans="1:4" x14ac:dyDescent="0.2">
      <c r="A1142" s="5">
        <v>1081</v>
      </c>
      <c r="B1142" s="138">
        <f>'Expenditures 15-22'!K73</f>
        <v>8359</v>
      </c>
      <c r="C1142" s="2" t="s">
        <v>572</v>
      </c>
      <c r="D1142" s="2" t="str">
        <f t="shared" si="16"/>
        <v>Error?</v>
      </c>
    </row>
    <row r="1143" spans="1:4" x14ac:dyDescent="0.2">
      <c r="A1143" s="5">
        <v>1082</v>
      </c>
      <c r="B1143" s="138">
        <f>'Expenditures 15-22'!K74</f>
        <v>12273709</v>
      </c>
      <c r="C1143" s="2" t="s">
        <v>572</v>
      </c>
      <c r="D1143" s="2" t="str">
        <f t="shared" si="16"/>
        <v>Error?</v>
      </c>
    </row>
    <row r="1144" spans="1:4" x14ac:dyDescent="0.2">
      <c r="A1144" s="5">
        <v>1083</v>
      </c>
      <c r="B1144" s="138">
        <f>'Expenditures 15-22'!K75</f>
        <v>10396</v>
      </c>
      <c r="C1144" s="2" t="s">
        <v>572</v>
      </c>
      <c r="D1144" s="2" t="str">
        <f t="shared" si="16"/>
        <v>Error?</v>
      </c>
    </row>
    <row r="1145" spans="1:4" x14ac:dyDescent="0.2">
      <c r="A1145" s="5">
        <v>1084</v>
      </c>
      <c r="B1145" s="138">
        <f>'Expenditures 15-22'!K102</f>
        <v>1684355</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42516323</v>
      </c>
      <c r="C1152" s="2" t="s">
        <v>572</v>
      </c>
      <c r="D1152" s="2" t="str">
        <f t="shared" si="17"/>
        <v>Error?</v>
      </c>
    </row>
    <row r="1153" spans="1:4" x14ac:dyDescent="0.2">
      <c r="A1153" s="5">
        <v>1092</v>
      </c>
      <c r="B1153" s="138">
        <f>'Expenditures 15-22'!K115</f>
        <v>95504</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2291</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917063</v>
      </c>
      <c r="D1221" s="2" t="str">
        <f t="shared" si="18"/>
        <v>Error?</v>
      </c>
    </row>
    <row r="1222" spans="1:4" x14ac:dyDescent="0.2">
      <c r="A1222" s="10">
        <v>1161</v>
      </c>
      <c r="D1222" s="2" t="str">
        <f t="shared" si="18"/>
        <v>OK</v>
      </c>
    </row>
    <row r="1223" spans="1:4" x14ac:dyDescent="0.2">
      <c r="A1223" s="5">
        <v>1162</v>
      </c>
      <c r="B1223" s="138">
        <f>'Expenditures 15-22'!C127</f>
        <v>919354</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919354</v>
      </c>
      <c r="C1225" s="2" t="s">
        <v>572</v>
      </c>
      <c r="D1225" s="2" t="str">
        <f t="shared" si="18"/>
        <v>Error?</v>
      </c>
    </row>
    <row r="1226" spans="1:4" x14ac:dyDescent="0.2">
      <c r="A1226" s="5">
        <v>1165</v>
      </c>
      <c r="B1226" s="138">
        <f>'Expenditures 15-22'!C151</f>
        <v>919354</v>
      </c>
      <c r="C1226" s="2" t="s">
        <v>572</v>
      </c>
      <c r="D1226" s="2" t="str">
        <f t="shared" si="18"/>
        <v>Error?</v>
      </c>
    </row>
    <row r="1227" spans="1:4" x14ac:dyDescent="0.2">
      <c r="A1227" s="5">
        <v>1166</v>
      </c>
      <c r="B1227" s="138">
        <f>'Expenditures 15-22'!D122</f>
        <v>471</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163722</v>
      </c>
      <c r="D1229" s="2" t="str">
        <f t="shared" si="18"/>
        <v>Error?</v>
      </c>
    </row>
    <row r="1230" spans="1:4" x14ac:dyDescent="0.2">
      <c r="A1230" s="10">
        <v>1169</v>
      </c>
      <c r="D1230" s="2" t="str">
        <f t="shared" si="18"/>
        <v>OK</v>
      </c>
    </row>
    <row r="1231" spans="1:4" x14ac:dyDescent="0.2">
      <c r="A1231" s="5">
        <v>1170</v>
      </c>
      <c r="B1231" s="138">
        <f>'Expenditures 15-22'!D127</f>
        <v>164193</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164193</v>
      </c>
      <c r="C1233" s="2" t="s">
        <v>572</v>
      </c>
      <c r="D1233" s="2" t="str">
        <f t="shared" si="18"/>
        <v>Error?</v>
      </c>
    </row>
    <row r="1234" spans="1:4" x14ac:dyDescent="0.2">
      <c r="A1234" s="5">
        <v>1173</v>
      </c>
      <c r="B1234" s="138">
        <f>'Expenditures 15-22'!D151</f>
        <v>164193</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1098344</v>
      </c>
      <c r="D1237" s="2" t="str">
        <f t="shared" si="18"/>
        <v>Error?</v>
      </c>
    </row>
    <row r="1238" spans="1:4" x14ac:dyDescent="0.2">
      <c r="A1238" s="10">
        <v>1177</v>
      </c>
      <c r="D1238" s="2" t="str">
        <f t="shared" si="18"/>
        <v>OK</v>
      </c>
    </row>
    <row r="1239" spans="1:4" x14ac:dyDescent="0.2">
      <c r="A1239" s="5">
        <v>1178</v>
      </c>
      <c r="B1239" s="138">
        <f>'Expenditures 15-22'!E127</f>
        <v>1098344</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1098344</v>
      </c>
      <c r="C1241" s="2" t="s">
        <v>572</v>
      </c>
      <c r="D1241" s="2" t="str">
        <f t="shared" si="18"/>
        <v>Error?</v>
      </c>
    </row>
    <row r="1242" spans="1:4" x14ac:dyDescent="0.2">
      <c r="A1242" s="5">
        <v>1181</v>
      </c>
      <c r="B1242" s="138">
        <f>'Expenditures 15-22'!E151</f>
        <v>1098344</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1150381</v>
      </c>
      <c r="D1245" s="2" t="str">
        <f t="shared" si="18"/>
        <v>Error?</v>
      </c>
    </row>
    <row r="1246" spans="1:4" x14ac:dyDescent="0.2">
      <c r="A1246" s="10">
        <v>1185</v>
      </c>
      <c r="D1246" s="2" t="str">
        <f t="shared" si="18"/>
        <v>OK</v>
      </c>
    </row>
    <row r="1247" spans="1:4" x14ac:dyDescent="0.2">
      <c r="A1247" s="5">
        <v>1186</v>
      </c>
      <c r="B1247" s="138">
        <f>'Expenditures 15-22'!F127</f>
        <v>1150381</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1150381</v>
      </c>
      <c r="C1249" s="2" t="s">
        <v>572</v>
      </c>
      <c r="D1249" s="2" t="str">
        <f t="shared" si="18"/>
        <v>Error?</v>
      </c>
    </row>
    <row r="1250" spans="1:4" x14ac:dyDescent="0.2">
      <c r="A1250" s="5">
        <v>1189</v>
      </c>
      <c r="B1250" s="138">
        <f>'Expenditures 15-22'!F151</f>
        <v>1150381</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67095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67095</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67095</v>
      </c>
      <c r="C1258" s="2" t="s">
        <v>572</v>
      </c>
      <c r="D1258" s="2" t="str">
        <f t="shared" si="18"/>
        <v>Error?</v>
      </c>
    </row>
    <row r="1259" spans="1:4" x14ac:dyDescent="0.2">
      <c r="A1259" s="5">
        <v>1198</v>
      </c>
      <c r="B1259" s="138">
        <f>'Expenditures 15-22'!G151</f>
        <v>67095</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880</v>
      </c>
      <c r="D1262" s="2" t="str">
        <f t="shared" si="18"/>
        <v>Error?</v>
      </c>
    </row>
    <row r="1263" spans="1:4" x14ac:dyDescent="0.2">
      <c r="A1263" s="10">
        <v>1202</v>
      </c>
      <c r="D1263" s="2" t="str">
        <f t="shared" si="18"/>
        <v>OK</v>
      </c>
    </row>
    <row r="1264" spans="1:4" x14ac:dyDescent="0.2">
      <c r="A1264" s="5">
        <v>1203</v>
      </c>
      <c r="B1264" s="138">
        <f>'Expenditures 15-22'!H127</f>
        <v>880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880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880</v>
      </c>
      <c r="C1273" s="2" t="s">
        <v>572</v>
      </c>
      <c r="D1273" s="2" t="str">
        <f t="shared" si="18"/>
        <v>Error?</v>
      </c>
    </row>
    <row r="1274" spans="1:4" x14ac:dyDescent="0.2">
      <c r="A1274" s="5">
        <v>1213</v>
      </c>
      <c r="B1274" s="138">
        <f>'Expenditures 15-22'!K122</f>
        <v>2762</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3686130</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3688892</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3688892</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3688892</v>
      </c>
      <c r="C1288" s="2" t="s">
        <v>572</v>
      </c>
      <c r="D1288" s="2" t="str">
        <f t="shared" si="19"/>
        <v>Error?</v>
      </c>
    </row>
    <row r="1289" spans="1:4" x14ac:dyDescent="0.2">
      <c r="A1289" s="5">
        <v>1228</v>
      </c>
      <c r="B1289" s="138">
        <f>'Expenditures 15-22'!K152</f>
        <v>536970</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258858</v>
      </c>
      <c r="D1307" s="2" t="str">
        <f t="shared" si="19"/>
        <v>Error?</v>
      </c>
    </row>
    <row r="1308" spans="1:4" x14ac:dyDescent="0.2">
      <c r="A1308" s="5">
        <v>1247</v>
      </c>
      <c r="B1308" s="138">
        <f>'Expenditures 15-22'!E172</f>
        <v>258858</v>
      </c>
      <c r="C1308" s="2" t="s">
        <v>572</v>
      </c>
      <c r="D1308" s="2" t="str">
        <f t="shared" si="19"/>
        <v>Error?</v>
      </c>
    </row>
    <row r="1309" spans="1:4" x14ac:dyDescent="0.2">
      <c r="A1309" s="5">
        <v>1248</v>
      </c>
      <c r="B1309" s="138">
        <f>'Expenditures 15-22'!E174</f>
        <v>258858</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5201500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2154448</v>
      </c>
      <c r="D1315" s="2" t="str">
        <f t="shared" si="19"/>
        <v>Error?</v>
      </c>
    </row>
    <row r="1316" spans="1:4" x14ac:dyDescent="0.2">
      <c r="A1316" s="5">
        <v>1255</v>
      </c>
      <c r="B1316" s="138">
        <f>'Expenditures 15-22'!H171</f>
        <v>3250</v>
      </c>
      <c r="D1316" s="2" t="str">
        <f t="shared" si="19"/>
        <v>Error?</v>
      </c>
    </row>
    <row r="1317" spans="1:4" x14ac:dyDescent="0.2">
      <c r="A1317" s="5">
        <v>1256</v>
      </c>
      <c r="B1317" s="138">
        <f>'Expenditures 15-22'!H172</f>
        <v>7359198</v>
      </c>
      <c r="C1317" s="2" t="s">
        <v>572</v>
      </c>
      <c r="D1317" s="2" t="str">
        <f t="shared" si="19"/>
        <v>Error?</v>
      </c>
    </row>
    <row r="1318" spans="1:4" x14ac:dyDescent="0.2">
      <c r="A1318" s="5">
        <v>1257</v>
      </c>
      <c r="B1318" s="138">
        <f>'Expenditures 15-22'!H174</f>
        <v>7359198</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5201500</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2154448</v>
      </c>
      <c r="C1329" s="2" t="s">
        <v>572</v>
      </c>
      <c r="D1329" s="2" t="str">
        <f t="shared" si="19"/>
        <v>Error?</v>
      </c>
    </row>
    <row r="1330" spans="1:4" x14ac:dyDescent="0.2">
      <c r="A1330" s="5">
        <v>1269</v>
      </c>
      <c r="B1330" s="138">
        <f>'Expenditures 15-22'!K171</f>
        <v>262108</v>
      </c>
      <c r="C1330" s="2" t="s">
        <v>572</v>
      </c>
      <c r="D1330" s="2" t="str">
        <f t="shared" si="19"/>
        <v>Error?</v>
      </c>
    </row>
    <row r="1331" spans="1:4" x14ac:dyDescent="0.2">
      <c r="A1331" s="5">
        <v>1270</v>
      </c>
      <c r="B1331" s="138">
        <f>'Expenditures 15-22'!K172</f>
        <v>7618056</v>
      </c>
      <c r="C1331" s="2" t="s">
        <v>572</v>
      </c>
      <c r="D1331" s="2" t="str">
        <f t="shared" si="19"/>
        <v>Error?</v>
      </c>
    </row>
    <row r="1332" spans="1:4" x14ac:dyDescent="0.2">
      <c r="A1332" s="5">
        <v>1271</v>
      </c>
      <c r="B1332" s="138">
        <f>'Expenditures 15-22'!K174</f>
        <v>7618056</v>
      </c>
      <c r="C1332" s="2" t="s">
        <v>572</v>
      </c>
      <c r="D1332" s="2" t="str">
        <f t="shared" si="19"/>
        <v>Error?</v>
      </c>
    </row>
    <row r="1333" spans="1:4" x14ac:dyDescent="0.2">
      <c r="A1333" s="5">
        <v>1272</v>
      </c>
      <c r="B1333" s="138">
        <f>'Expenditures 15-22'!K175</f>
        <v>9243</v>
      </c>
      <c r="C1333" s="2" t="s">
        <v>572</v>
      </c>
      <c r="D1333" s="2" t="str">
        <f t="shared" si="19"/>
        <v>Error?</v>
      </c>
    </row>
    <row r="1334" spans="1:4" x14ac:dyDescent="0.2">
      <c r="A1334" s="10">
        <v>1273</v>
      </c>
      <c r="D1334" s="2" t="str">
        <f t="shared" si="19"/>
        <v>OK</v>
      </c>
    </row>
    <row r="1335" spans="1:4" x14ac:dyDescent="0.2">
      <c r="A1335" s="5">
        <v>1274</v>
      </c>
      <c r="B1335" s="138">
        <f>'Expenditures 15-22'!C182</f>
        <v>19781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19781</v>
      </c>
      <c r="C1339" s="2" t="s">
        <v>572</v>
      </c>
      <c r="D1339" s="2" t="str">
        <f t="shared" si="19"/>
        <v>Error?</v>
      </c>
    </row>
    <row r="1340" spans="1:4" x14ac:dyDescent="0.2">
      <c r="A1340" s="5">
        <v>1279</v>
      </c>
      <c r="B1340" s="138">
        <f>'Expenditures 15-22'!C210</f>
        <v>19781</v>
      </c>
      <c r="C1340" s="2" t="s">
        <v>572</v>
      </c>
      <c r="D1340" s="2" t="str">
        <f t="shared" si="19"/>
        <v>Error?</v>
      </c>
    </row>
    <row r="1341" spans="1:4" x14ac:dyDescent="0.2">
      <c r="A1341" s="5">
        <v>1280</v>
      </c>
      <c r="B1341" s="138">
        <f>'Expenditures 15-22'!D182</f>
        <v>3650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3650</v>
      </c>
      <c r="C1345" s="2" t="s">
        <v>572</v>
      </c>
      <c r="D1345" s="2" t="str">
        <f t="shared" si="20"/>
        <v>Error?</v>
      </c>
    </row>
    <row r="1346" spans="1:4" x14ac:dyDescent="0.2">
      <c r="A1346" s="5">
        <v>1285</v>
      </c>
      <c r="B1346" s="138">
        <f>'Expenditures 15-22'!D210</f>
        <v>3650</v>
      </c>
      <c r="C1346" s="2" t="s">
        <v>572</v>
      </c>
      <c r="D1346" s="2" t="str">
        <f t="shared" si="20"/>
        <v>Error?</v>
      </c>
    </row>
    <row r="1347" spans="1:4" x14ac:dyDescent="0.2">
      <c r="A1347" s="5">
        <v>1286</v>
      </c>
      <c r="B1347" s="138">
        <f>'Expenditures 15-22'!E182</f>
        <v>3229067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3229067</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3229067</v>
      </c>
      <c r="C1353" s="2" t="s">
        <v>572</v>
      </c>
      <c r="D1353" s="2" t="str">
        <f t="shared" si="20"/>
        <v>Error?</v>
      </c>
    </row>
    <row r="1354" spans="1:4" x14ac:dyDescent="0.2">
      <c r="A1354" s="5">
        <v>1293</v>
      </c>
      <c r="B1354" s="138">
        <f>'Expenditures 15-22'!F182</f>
        <v>230826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230826</v>
      </c>
      <c r="C1358" s="2" t="s">
        <v>572</v>
      </c>
      <c r="D1358" s="2" t="str">
        <f t="shared" si="20"/>
        <v>Error?</v>
      </c>
    </row>
    <row r="1359" spans="1:4" x14ac:dyDescent="0.2">
      <c r="A1359" s="5">
        <v>1298</v>
      </c>
      <c r="B1359" s="138">
        <f>'Expenditures 15-22'!F210</f>
        <v>230826</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3483324</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3483324</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3483324</v>
      </c>
      <c r="C1388" s="2" t="s">
        <v>572</v>
      </c>
      <c r="D1388" s="2" t="str">
        <f t="shared" si="20"/>
        <v>Error?</v>
      </c>
    </row>
    <row r="1389" spans="1:4" x14ac:dyDescent="0.2">
      <c r="A1389" s="5">
        <v>1328</v>
      </c>
      <c r="B1389" s="138">
        <f>'Expenditures 15-22'!K211</f>
        <v>272523</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60127</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8872</v>
      </c>
      <c r="D1408" s="2" t="str">
        <f t="shared" si="21"/>
        <v>Error?</v>
      </c>
    </row>
    <row r="1409" spans="1:4" x14ac:dyDescent="0.2">
      <c r="A1409" s="5">
        <v>1348</v>
      </c>
      <c r="B1409" s="138">
        <f>'Expenditures 15-22'!D224</f>
        <v>15630</v>
      </c>
      <c r="D1409" s="2" t="str">
        <f t="shared" si="21"/>
        <v>Error?</v>
      </c>
    </row>
    <row r="1410" spans="1:4" x14ac:dyDescent="0.2">
      <c r="A1410" s="5">
        <v>1349</v>
      </c>
      <c r="B1410" s="138">
        <f>'Expenditures 15-22'!D229</f>
        <v>682927</v>
      </c>
      <c r="C1410" s="2" t="s">
        <v>572</v>
      </c>
      <c r="D1410" s="2" t="str">
        <f t="shared" si="21"/>
        <v>Error?</v>
      </c>
    </row>
    <row r="1411" spans="1:4" x14ac:dyDescent="0.2">
      <c r="A1411" s="5">
        <v>1350</v>
      </c>
      <c r="B1411" s="138">
        <f>'Expenditures 15-22'!D232</f>
        <v>13355</v>
      </c>
      <c r="D1411" s="2" t="str">
        <f t="shared" si="21"/>
        <v>Error?</v>
      </c>
    </row>
    <row r="1412" spans="1:4" x14ac:dyDescent="0.2">
      <c r="A1412" s="5">
        <v>1351</v>
      </c>
      <c r="B1412" s="138">
        <f>'Expenditures 15-22'!D233</f>
        <v>49</v>
      </c>
      <c r="D1412" s="2" t="str">
        <f t="shared" si="21"/>
        <v>Error?</v>
      </c>
    </row>
    <row r="1413" spans="1:4" x14ac:dyDescent="0.2">
      <c r="A1413" s="5">
        <v>1352</v>
      </c>
      <c r="B1413" s="138">
        <f>'Expenditures 15-22'!D234</f>
        <v>52426</v>
      </c>
      <c r="D1413" s="2" t="str">
        <f t="shared" si="21"/>
        <v>Error?</v>
      </c>
    </row>
    <row r="1414" spans="1:4" x14ac:dyDescent="0.2">
      <c r="A1414" s="5">
        <v>1353</v>
      </c>
      <c r="B1414" s="138">
        <f>'Expenditures 15-22'!D235</f>
        <v>5901</v>
      </c>
      <c r="D1414" s="2" t="str">
        <f t="shared" si="21"/>
        <v>Error?</v>
      </c>
    </row>
    <row r="1415" spans="1:4" x14ac:dyDescent="0.2">
      <c r="A1415" s="5">
        <v>1354</v>
      </c>
      <c r="B1415" s="138">
        <f>'Expenditures 15-22'!D236</f>
        <v>11632</v>
      </c>
      <c r="D1415" s="2" t="str">
        <f t="shared" si="21"/>
        <v>Error?</v>
      </c>
    </row>
    <row r="1416" spans="1:4" x14ac:dyDescent="0.2">
      <c r="A1416" s="5">
        <v>1355</v>
      </c>
      <c r="B1416" s="138">
        <f>'Expenditures 15-22'!D237</f>
        <v>70803</v>
      </c>
      <c r="D1416" s="2" t="str">
        <f t="shared" si="21"/>
        <v>Error?</v>
      </c>
    </row>
    <row r="1417" spans="1:4" x14ac:dyDescent="0.2">
      <c r="A1417" s="5">
        <v>1356</v>
      </c>
      <c r="B1417" s="138">
        <f>'Expenditures 15-22'!D238</f>
        <v>154166</v>
      </c>
      <c r="C1417" s="2" t="s">
        <v>572</v>
      </c>
      <c r="D1417" s="2" t="str">
        <f t="shared" si="21"/>
        <v>Error?</v>
      </c>
    </row>
    <row r="1418" spans="1:4" x14ac:dyDescent="0.2">
      <c r="A1418" s="5">
        <v>1357</v>
      </c>
      <c r="B1418" s="138">
        <f>'Expenditures 15-22'!D240</f>
        <v>3960</v>
      </c>
      <c r="D1418" s="2" t="str">
        <f t="shared" si="21"/>
        <v>Error?</v>
      </c>
    </row>
    <row r="1419" spans="1:4" x14ac:dyDescent="0.2">
      <c r="A1419" s="5">
        <v>1358</v>
      </c>
      <c r="B1419" s="138">
        <f>'Expenditures 15-22'!D241</f>
        <v>14777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18737</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3447</v>
      </c>
      <c r="D1423" s="2" t="str">
        <f t="shared" si="21"/>
        <v>Error?</v>
      </c>
    </row>
    <row r="1424" spans="1:4" x14ac:dyDescent="0.2">
      <c r="A1424" s="5">
        <v>1363</v>
      </c>
      <c r="B1424" s="138">
        <f>'Expenditures 15-22'!D257</f>
        <v>3447</v>
      </c>
      <c r="C1424" s="2" t="s">
        <v>572</v>
      </c>
      <c r="D1424" s="2" t="str">
        <f t="shared" si="21"/>
        <v>Error?</v>
      </c>
    </row>
    <row r="1425" spans="1:4" x14ac:dyDescent="0.2">
      <c r="A1425" s="5">
        <v>1364</v>
      </c>
      <c r="B1425" s="138">
        <f>'Expenditures 15-22'!D259</f>
        <v>164559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164559</v>
      </c>
      <c r="C1427" s="2" t="s">
        <v>572</v>
      </c>
      <c r="D1427" s="2" t="str">
        <f t="shared" si="21"/>
        <v>Error?</v>
      </c>
    </row>
    <row r="1428" spans="1:4" x14ac:dyDescent="0.2">
      <c r="A1428" s="5">
        <v>1367</v>
      </c>
      <c r="B1428" s="138">
        <f>'Expenditures 15-22'!D263</f>
        <v>2369</v>
      </c>
      <c r="D1428" s="2" t="str">
        <f t="shared" si="21"/>
        <v>Error?</v>
      </c>
    </row>
    <row r="1429" spans="1:4" x14ac:dyDescent="0.2">
      <c r="A1429" s="5">
        <v>1368</v>
      </c>
      <c r="B1429" s="138">
        <f>'Expenditures 15-22'!D264</f>
        <v>113159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171636</v>
      </c>
      <c r="D1431" s="2" t="str">
        <f t="shared" si="21"/>
        <v>Error?</v>
      </c>
    </row>
    <row r="1432" spans="1:4" x14ac:dyDescent="0.2">
      <c r="A1432" s="5">
        <v>1371</v>
      </c>
      <c r="B1432" s="138">
        <f>'Expenditures 15-22'!D267</f>
        <v>5359</v>
      </c>
      <c r="D1432" s="2" t="str">
        <f t="shared" si="21"/>
        <v>Error?</v>
      </c>
    </row>
    <row r="1433" spans="1:4" x14ac:dyDescent="0.2">
      <c r="A1433" s="5">
        <v>1372</v>
      </c>
      <c r="B1433" s="138">
        <f>'Expenditures 15-22'!D268</f>
        <v>10280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302803</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107975</v>
      </c>
      <c r="D1439" s="2" t="str">
        <f t="shared" si="21"/>
        <v>Error?</v>
      </c>
    </row>
    <row r="1440" spans="1:4" x14ac:dyDescent="0.2">
      <c r="A1440" s="5">
        <v>1379</v>
      </c>
      <c r="B1440" s="138">
        <f>'Expenditures 15-22'!D275</f>
        <v>2455</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110430</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754142</v>
      </c>
      <c r="C1446" s="2" t="s">
        <v>572</v>
      </c>
      <c r="D1446" s="2" t="str">
        <f t="shared" si="21"/>
        <v>Error?</v>
      </c>
    </row>
    <row r="1447" spans="1:4" x14ac:dyDescent="0.2">
      <c r="A1447" s="5">
        <v>1386</v>
      </c>
      <c r="B1447" s="138">
        <f>'Expenditures 15-22'!D280</f>
        <v>50</v>
      </c>
      <c r="D1447" s="2" t="str">
        <f t="shared" si="21"/>
        <v>Error?</v>
      </c>
    </row>
    <row r="1448" spans="1:4" x14ac:dyDescent="0.2">
      <c r="A1448" s="5">
        <v>1387</v>
      </c>
      <c r="B1448" s="138">
        <f>'Expenditures 15-22'!D295</f>
        <v>1437119</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60127</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8872</v>
      </c>
      <c r="C1472" s="2" t="s">
        <v>572</v>
      </c>
      <c r="D1472" s="2" t="str">
        <f t="shared" si="22"/>
        <v>Error?</v>
      </c>
    </row>
    <row r="1473" spans="1:4" x14ac:dyDescent="0.2">
      <c r="A1473" s="5">
        <v>1412</v>
      </c>
      <c r="B1473" s="138">
        <f>'Expenditures 15-22'!K224</f>
        <v>15630</v>
      </c>
      <c r="C1473" s="2" t="s">
        <v>572</v>
      </c>
      <c r="D1473" s="2" t="str">
        <f t="shared" si="22"/>
        <v>Error?</v>
      </c>
    </row>
    <row r="1474" spans="1:4" x14ac:dyDescent="0.2">
      <c r="A1474" s="5">
        <v>1413</v>
      </c>
      <c r="B1474" s="138">
        <f>'Expenditures 15-22'!K229</f>
        <v>682927</v>
      </c>
      <c r="C1474" s="2" t="s">
        <v>572</v>
      </c>
      <c r="D1474" s="2" t="str">
        <f t="shared" si="22"/>
        <v>Error?</v>
      </c>
    </row>
    <row r="1475" spans="1:4" x14ac:dyDescent="0.2">
      <c r="A1475" s="5">
        <v>1414</v>
      </c>
      <c r="B1475" s="138">
        <f>'Expenditures 15-22'!K232</f>
        <v>13355</v>
      </c>
      <c r="C1475" s="2" t="s">
        <v>572</v>
      </c>
      <c r="D1475" s="2" t="str">
        <f t="shared" si="22"/>
        <v>Error?</v>
      </c>
    </row>
    <row r="1476" spans="1:4" x14ac:dyDescent="0.2">
      <c r="A1476" s="5">
        <v>1415</v>
      </c>
      <c r="B1476" s="138">
        <f>'Expenditures 15-22'!K233</f>
        <v>49</v>
      </c>
      <c r="C1476" s="2" t="s">
        <v>572</v>
      </c>
      <c r="D1476" s="2" t="str">
        <f t="shared" si="22"/>
        <v>Error?</v>
      </c>
    </row>
    <row r="1477" spans="1:4" x14ac:dyDescent="0.2">
      <c r="A1477" s="5">
        <v>1416</v>
      </c>
      <c r="B1477" s="138">
        <f>'Expenditures 15-22'!K234</f>
        <v>52426</v>
      </c>
      <c r="C1477" s="2" t="s">
        <v>572</v>
      </c>
      <c r="D1477" s="2" t="str">
        <f t="shared" si="22"/>
        <v>Error?</v>
      </c>
    </row>
    <row r="1478" spans="1:4" x14ac:dyDescent="0.2">
      <c r="A1478" s="5">
        <v>1417</v>
      </c>
      <c r="B1478" s="138">
        <f>'Expenditures 15-22'!K235</f>
        <v>5901</v>
      </c>
      <c r="C1478" s="2" t="s">
        <v>572</v>
      </c>
      <c r="D1478" s="2" t="str">
        <f t="shared" si="22"/>
        <v>Error?</v>
      </c>
    </row>
    <row r="1479" spans="1:4" x14ac:dyDescent="0.2">
      <c r="A1479" s="5">
        <v>1418</v>
      </c>
      <c r="B1479" s="138">
        <f>'Expenditures 15-22'!K236</f>
        <v>11632</v>
      </c>
      <c r="C1479" s="2" t="s">
        <v>572</v>
      </c>
      <c r="D1479" s="2" t="str">
        <f t="shared" si="22"/>
        <v>Error?</v>
      </c>
    </row>
    <row r="1480" spans="1:4" x14ac:dyDescent="0.2">
      <c r="A1480" s="5">
        <v>1419</v>
      </c>
      <c r="B1480" s="138">
        <f>'Expenditures 15-22'!K237</f>
        <v>70803</v>
      </c>
      <c r="C1480" s="2" t="s">
        <v>572</v>
      </c>
      <c r="D1480" s="2" t="str">
        <f t="shared" si="22"/>
        <v>Error?</v>
      </c>
    </row>
    <row r="1481" spans="1:4" x14ac:dyDescent="0.2">
      <c r="A1481" s="5">
        <v>1420</v>
      </c>
      <c r="B1481" s="138">
        <f>'Expenditures 15-22'!K238</f>
        <v>154166</v>
      </c>
      <c r="C1481" s="2" t="s">
        <v>572</v>
      </c>
      <c r="D1481" s="2" t="str">
        <f t="shared" si="22"/>
        <v>Error?</v>
      </c>
    </row>
    <row r="1482" spans="1:4" x14ac:dyDescent="0.2">
      <c r="A1482" s="5">
        <v>1421</v>
      </c>
      <c r="B1482" s="138">
        <f>'Expenditures 15-22'!K240</f>
        <v>3960</v>
      </c>
      <c r="C1482" s="2" t="s">
        <v>572</v>
      </c>
      <c r="D1482" s="2" t="str">
        <f t="shared" si="22"/>
        <v>Error?</v>
      </c>
    </row>
    <row r="1483" spans="1:4" x14ac:dyDescent="0.2">
      <c r="A1483" s="5">
        <v>1422</v>
      </c>
      <c r="B1483" s="138">
        <f>'Expenditures 15-22'!K241</f>
        <v>14777</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18737</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3447</v>
      </c>
      <c r="C1487" s="2" t="s">
        <v>572</v>
      </c>
      <c r="D1487" s="2" t="str">
        <f t="shared" si="22"/>
        <v>Error?</v>
      </c>
    </row>
    <row r="1488" spans="1:4" x14ac:dyDescent="0.2">
      <c r="A1488" s="5">
        <v>1427</v>
      </c>
      <c r="B1488" s="138">
        <f>'Expenditures 15-22'!K257</f>
        <v>3447</v>
      </c>
      <c r="C1488" s="2" t="s">
        <v>572</v>
      </c>
      <c r="D1488" s="2" t="str">
        <f t="shared" si="22"/>
        <v>Error?</v>
      </c>
    </row>
    <row r="1489" spans="1:4" x14ac:dyDescent="0.2">
      <c r="A1489" s="5">
        <v>1428</v>
      </c>
      <c r="B1489" s="138">
        <f>'Expenditures 15-22'!K259</f>
        <v>164559</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164559</v>
      </c>
      <c r="C1491" s="2" t="s">
        <v>572</v>
      </c>
      <c r="D1491" s="2" t="str">
        <f t="shared" si="22"/>
        <v>Error?</v>
      </c>
    </row>
    <row r="1492" spans="1:4" x14ac:dyDescent="0.2">
      <c r="A1492" s="5">
        <v>1431</v>
      </c>
      <c r="B1492" s="138">
        <f>'Expenditures 15-22'!K263</f>
        <v>2369</v>
      </c>
      <c r="C1492" s="2" t="s">
        <v>572</v>
      </c>
      <c r="D1492" s="2" t="str">
        <f t="shared" si="22"/>
        <v>Error?</v>
      </c>
    </row>
    <row r="1493" spans="1:4" x14ac:dyDescent="0.2">
      <c r="A1493" s="5">
        <v>1432</v>
      </c>
      <c r="B1493" s="138">
        <f>'Expenditures 15-22'!K264</f>
        <v>113159</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171636</v>
      </c>
      <c r="C1495" s="2" t="s">
        <v>572</v>
      </c>
      <c r="D1495" s="2" t="str">
        <f t="shared" si="22"/>
        <v>Error?</v>
      </c>
    </row>
    <row r="1496" spans="1:4" x14ac:dyDescent="0.2">
      <c r="A1496" s="5">
        <v>1435</v>
      </c>
      <c r="B1496" s="138">
        <f>'Expenditures 15-22'!K267</f>
        <v>5359</v>
      </c>
      <c r="C1496" s="2" t="s">
        <v>572</v>
      </c>
      <c r="D1496" s="2" t="str">
        <f t="shared" si="22"/>
        <v>Error?</v>
      </c>
    </row>
    <row r="1497" spans="1:4" x14ac:dyDescent="0.2">
      <c r="A1497" s="5">
        <v>1436</v>
      </c>
      <c r="B1497" s="138">
        <f>'Expenditures 15-22'!K268</f>
        <v>10280</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302803</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107975</v>
      </c>
      <c r="C1503" s="2" t="s">
        <v>572</v>
      </c>
      <c r="D1503" s="2" t="str">
        <f t="shared" si="22"/>
        <v>Error?</v>
      </c>
    </row>
    <row r="1504" spans="1:4" x14ac:dyDescent="0.2">
      <c r="A1504" s="5">
        <v>1443</v>
      </c>
      <c r="B1504" s="138">
        <f>'Expenditures 15-22'!K275</f>
        <v>2455</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110430</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754142</v>
      </c>
      <c r="C1510" s="2" t="s">
        <v>572</v>
      </c>
      <c r="D1510" s="2" t="str">
        <f t="shared" si="22"/>
        <v>Error?</v>
      </c>
    </row>
    <row r="1511" spans="1:4" x14ac:dyDescent="0.2">
      <c r="A1511" s="5">
        <v>1450</v>
      </c>
      <c r="B1511" s="138">
        <f>'Expenditures 15-22'!K280</f>
        <v>50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1437119</v>
      </c>
      <c r="C1517" s="2" t="s">
        <v>572</v>
      </c>
      <c r="D1517" s="2" t="str">
        <f t="shared" si="22"/>
        <v>Error?</v>
      </c>
    </row>
    <row r="1518" spans="1:4" x14ac:dyDescent="0.2">
      <c r="A1518" s="5">
        <v>1457</v>
      </c>
      <c r="B1518" s="138">
        <f>'Expenditures 15-22'!K296</f>
        <v>-878706</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4795664</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4795664</v>
      </c>
      <c r="C1547" s="2" t="s">
        <v>572</v>
      </c>
      <c r="D1547" s="2" t="str">
        <f t="shared" si="23"/>
        <v>Error?</v>
      </c>
    </row>
    <row r="1548" spans="1:4" x14ac:dyDescent="0.2">
      <c r="A1548" s="5">
        <v>1487</v>
      </c>
      <c r="B1548" s="138">
        <f>'Expenditures 15-22'!G312</f>
        <v>4795664</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4795664</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4795664</v>
      </c>
      <c r="C1559" s="2" t="s">
        <v>572</v>
      </c>
      <c r="D1559" s="2" t="str">
        <f t="shared" si="23"/>
        <v>Error?</v>
      </c>
    </row>
    <row r="1560" spans="1:4" x14ac:dyDescent="0.2">
      <c r="A1560" s="5">
        <v>1499</v>
      </c>
      <c r="B1560" s="138">
        <f>'Expenditures 15-22'!K312</f>
        <v>4795664</v>
      </c>
      <c r="C1560" s="2" t="s">
        <v>572</v>
      </c>
      <c r="D1560" s="2" t="str">
        <f t="shared" si="23"/>
        <v>Error?</v>
      </c>
    </row>
    <row r="1561" spans="1:4" x14ac:dyDescent="0.2">
      <c r="A1561" s="5">
        <v>1500</v>
      </c>
      <c r="B1561" s="138">
        <f>'Expenditures 15-22'!K313</f>
        <v>-4793148</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7752450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7601143</v>
      </c>
      <c r="C1630" s="2" t="s">
        <v>572</v>
      </c>
      <c r="D1630" s="2" t="str">
        <f t="shared" si="24"/>
        <v>Error?</v>
      </c>
    </row>
    <row r="1631" spans="1:4" x14ac:dyDescent="0.2">
      <c r="A1631" s="5">
        <v>1570</v>
      </c>
      <c r="B1631" s="138">
        <f>'Acct Summary 7-8'!D79</f>
        <v>4161049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4698019</v>
      </c>
      <c r="C1644" s="2" t="s">
        <v>572</v>
      </c>
      <c r="D1644" s="2" t="str">
        <f t="shared" si="24"/>
        <v>Error?</v>
      </c>
    </row>
    <row r="1645" spans="1:4" x14ac:dyDescent="0.2">
      <c r="A1645" s="5">
        <v>1584</v>
      </c>
      <c r="B1645" s="138">
        <f>'Acct Summary 7-8'!E79</f>
        <v>4497153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4962053</v>
      </c>
      <c r="C1658" s="2" t="s">
        <v>572</v>
      </c>
      <c r="D1658" s="2" t="str">
        <f t="shared" si="24"/>
        <v>Error?</v>
      </c>
    </row>
    <row r="1659" spans="1:4" x14ac:dyDescent="0.2">
      <c r="A1659" s="5">
        <v>1598</v>
      </c>
      <c r="B1659" s="138">
        <f>'Acct Summary 7-8'!F79</f>
        <v>1626078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1898601</v>
      </c>
      <c r="C1672" s="2" t="s">
        <v>572</v>
      </c>
      <c r="D1672" s="2" t="str">
        <f t="shared" si="25"/>
        <v>Error?</v>
      </c>
    </row>
    <row r="1673" spans="1:4" x14ac:dyDescent="0.2">
      <c r="A1673" s="5">
        <v>1612</v>
      </c>
      <c r="B1673" s="138">
        <f>'Acct Summary 7-8'!G79</f>
        <v>3444268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2565562</v>
      </c>
      <c r="C1686" s="2" t="s">
        <v>572</v>
      </c>
      <c r="D1686" s="2" t="str">
        <f t="shared" si="25"/>
        <v>Error?</v>
      </c>
    </row>
    <row r="1687" spans="1:4" x14ac:dyDescent="0.2">
      <c r="A1687" s="5">
        <v>1626</v>
      </c>
      <c r="B1687" s="138">
        <f>'Acct Summary 7-8'!H79</f>
        <v>134188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10352772</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34027726</v>
      </c>
      <c r="C1744" s="2" t="s">
        <v>572</v>
      </c>
      <c r="D1744" s="2" t="str">
        <f t="shared" si="26"/>
        <v>Error?</v>
      </c>
    </row>
    <row r="1745" spans="1:5" x14ac:dyDescent="0.2">
      <c r="A1745" s="5">
        <v>1684</v>
      </c>
      <c r="B1745" s="138">
        <f>'Tax Sched 23'!B5</f>
        <v>3555917</v>
      </c>
      <c r="C1745" s="2" t="s">
        <v>572</v>
      </c>
      <c r="D1745" s="2" t="str">
        <f t="shared" si="26"/>
        <v>Error?</v>
      </c>
    </row>
    <row r="1746" spans="1:5" x14ac:dyDescent="0.2">
      <c r="A1746" s="5">
        <v>1685</v>
      </c>
      <c r="B1746" s="138">
        <f>'Tax Sched 23'!B6</f>
        <v>7542975</v>
      </c>
      <c r="C1746" s="2" t="s">
        <v>572</v>
      </c>
      <c r="D1746" s="2" t="str">
        <f t="shared" si="26"/>
        <v>Error?</v>
      </c>
    </row>
    <row r="1747" spans="1:5" x14ac:dyDescent="0.2">
      <c r="A1747" s="5">
        <v>1686</v>
      </c>
      <c r="B1747" s="138">
        <f>'Tax Sched 23'!B7</f>
        <v>2278753</v>
      </c>
      <c r="C1747" s="2" t="s">
        <v>572</v>
      </c>
      <c r="D1747" s="2" t="str">
        <f t="shared" si="26"/>
        <v>Error?</v>
      </c>
    </row>
    <row r="1748" spans="1:5" x14ac:dyDescent="0.2">
      <c r="A1748" s="5">
        <v>1687</v>
      </c>
      <c r="B1748" s="138">
        <f>'Tax Sched 23'!B8</f>
        <v>0</v>
      </c>
      <c r="C1748" s="2" t="s">
        <v>572</v>
      </c>
      <c r="D1748" s="2" t="str">
        <f t="shared" si="26"/>
        <v>Error?</v>
      </c>
    </row>
    <row r="1749" spans="1:5" x14ac:dyDescent="0.2">
      <c r="A1749" s="5">
        <v>1688</v>
      </c>
      <c r="B1749" s="138">
        <f>'Tax Sched 23'!B10</f>
        <v>45199</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219621</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346445</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48510467</v>
      </c>
      <c r="C1759" s="2" t="s">
        <v>572</v>
      </c>
      <c r="D1759" s="2" t="str">
        <f t="shared" si="26"/>
        <v>Error?</v>
      </c>
    </row>
    <row r="1760" spans="1:5" x14ac:dyDescent="0.2">
      <c r="A1760" s="5">
        <v>1699</v>
      </c>
      <c r="B1760" s="138">
        <f>'Tax Sched 23'!D4</f>
        <v>15662352</v>
      </c>
      <c r="C1760" s="2" t="s">
        <v>572</v>
      </c>
      <c r="D1760" s="2" t="str">
        <f t="shared" si="26"/>
        <v>Error?</v>
      </c>
    </row>
    <row r="1761" spans="1:5" x14ac:dyDescent="0.2">
      <c r="A1761" s="5">
        <v>1700</v>
      </c>
      <c r="B1761" s="138">
        <f>'Tax Sched 23'!D5</f>
        <v>1573416</v>
      </c>
      <c r="C1761" s="2" t="s">
        <v>572</v>
      </c>
      <c r="D1761" s="2" t="str">
        <f t="shared" si="26"/>
        <v>Error?</v>
      </c>
    </row>
    <row r="1762" spans="1:5" s="8" customFormat="1" x14ac:dyDescent="0.2">
      <c r="A1762" s="5">
        <v>1701</v>
      </c>
      <c r="B1762" s="138">
        <f>'Tax Sched 23'!D6</f>
        <v>3448564</v>
      </c>
      <c r="C1762" s="2" t="s">
        <v>572</v>
      </c>
      <c r="D1762" s="2" t="str">
        <f t="shared" si="26"/>
        <v>Error?</v>
      </c>
      <c r="E1762" s="9"/>
    </row>
    <row r="1763" spans="1:5" x14ac:dyDescent="0.2">
      <c r="A1763" s="5">
        <v>1702</v>
      </c>
      <c r="B1763" s="138">
        <f>'Tax Sched 23'!D7</f>
        <v>1008299</v>
      </c>
      <c r="C1763" s="2" t="s">
        <v>572</v>
      </c>
      <c r="D1763" s="2" t="str">
        <f t="shared" si="26"/>
        <v>Error?</v>
      </c>
    </row>
    <row r="1764" spans="1:5" x14ac:dyDescent="0.2">
      <c r="A1764" s="5">
        <v>1703</v>
      </c>
      <c r="B1764" s="138">
        <f>'Tax Sched 23'!D8</f>
        <v>0</v>
      </c>
      <c r="C1764" s="2" t="s">
        <v>572</v>
      </c>
      <c r="D1764" s="2" t="str">
        <f t="shared" si="26"/>
        <v>Error?</v>
      </c>
    </row>
    <row r="1765" spans="1:5" x14ac:dyDescent="0.2">
      <c r="A1765" s="5">
        <v>1704</v>
      </c>
      <c r="B1765" s="138">
        <f>'Tax Sched 23'!D10</f>
        <v>21568</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219621</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165316</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22551745</v>
      </c>
      <c r="C1775" s="2" t="s">
        <v>572</v>
      </c>
      <c r="D1775" s="2" t="str">
        <f t="shared" si="26"/>
        <v>Error?</v>
      </c>
    </row>
    <row r="1776" spans="1:5" x14ac:dyDescent="0.2">
      <c r="A1776" s="5">
        <v>1715</v>
      </c>
      <c r="B1776" s="138">
        <f>'Tax Sched 23'!C4</f>
        <v>18365374</v>
      </c>
      <c r="D1776" s="2" t="str">
        <f t="shared" si="26"/>
        <v>Error?</v>
      </c>
    </row>
    <row r="1777" spans="1:4" x14ac:dyDescent="0.2">
      <c r="A1777" s="5">
        <v>1716</v>
      </c>
      <c r="B1777" s="138">
        <f>'Tax Sched 23'!C5</f>
        <v>1982501</v>
      </c>
      <c r="D1777" s="2" t="str">
        <f t="shared" si="26"/>
        <v>Error?</v>
      </c>
    </row>
    <row r="1778" spans="1:4" x14ac:dyDescent="0.2">
      <c r="A1778" s="5">
        <v>1717</v>
      </c>
      <c r="B1778" s="138">
        <f>'Tax Sched 23'!C6</f>
        <v>4094411</v>
      </c>
      <c r="D1778" s="2" t="str">
        <f t="shared" si="26"/>
        <v>Error?</v>
      </c>
    </row>
    <row r="1779" spans="1:4" x14ac:dyDescent="0.2">
      <c r="A1779" s="5">
        <v>1718</v>
      </c>
      <c r="B1779" s="138">
        <f>'Tax Sched 23'!C7</f>
        <v>1270454</v>
      </c>
      <c r="D1779" s="2" t="str">
        <f t="shared" si="26"/>
        <v>Error?</v>
      </c>
    </row>
    <row r="1780" spans="1:4" x14ac:dyDescent="0.2">
      <c r="A1780" s="5">
        <v>1719</v>
      </c>
      <c r="B1780" s="138">
        <f>'Tax Sched 23'!C8</f>
        <v>0</v>
      </c>
      <c r="D1780" s="2" t="str">
        <f t="shared" si="26"/>
        <v>Error?</v>
      </c>
    </row>
    <row r="1781" spans="1:4" x14ac:dyDescent="0.2">
      <c r="A1781" s="5">
        <v>1720</v>
      </c>
      <c r="B1781" s="138">
        <f>'Tax Sched 23'!C10</f>
        <v>23631</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181129</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25958722</v>
      </c>
      <c r="C1791" s="2" t="s">
        <v>572</v>
      </c>
      <c r="D1791" s="2" t="str">
        <f t="shared" ref="D1791:D1854" si="27">IF(ISBLANK(B1791),"OK",IF(A1791-B1791=0,"OK","Error?"))</f>
        <v>Error?</v>
      </c>
    </row>
    <row r="1792" spans="1:4" x14ac:dyDescent="0.2">
      <c r="A1792" s="5">
        <v>1731</v>
      </c>
      <c r="B1792" s="138">
        <f>'Tax Sched 23'!F4</f>
        <v>18592875</v>
      </c>
      <c r="C1792" s="2" t="s">
        <v>572</v>
      </c>
      <c r="D1792" s="2" t="str">
        <f t="shared" si="27"/>
        <v>Error?</v>
      </c>
    </row>
    <row r="1793" spans="1:4" x14ac:dyDescent="0.2">
      <c r="A1793" s="5">
        <v>1732</v>
      </c>
      <c r="B1793" s="138">
        <f>'Tax Sched 23'!F5</f>
        <v>2007060</v>
      </c>
      <c r="C1793" s="2" t="s">
        <v>572</v>
      </c>
      <c r="D1793" s="2" t="str">
        <f t="shared" si="27"/>
        <v>Error?</v>
      </c>
    </row>
    <row r="1794" spans="1:4" x14ac:dyDescent="0.2">
      <c r="A1794" s="5">
        <v>1733</v>
      </c>
      <c r="B1794" s="138">
        <f>'Tax Sched 23'!F6</f>
        <v>4145130</v>
      </c>
      <c r="C1794" s="2" t="s">
        <v>572</v>
      </c>
      <c r="D1794" s="2" t="str">
        <f t="shared" si="27"/>
        <v>Error?</v>
      </c>
    </row>
    <row r="1795" spans="1:4" x14ac:dyDescent="0.2">
      <c r="A1795" s="5">
        <v>1734</v>
      </c>
      <c r="B1795" s="138">
        <f>'Tax Sched 23'!F7</f>
        <v>1286193</v>
      </c>
      <c r="C1795" s="2" t="s">
        <v>572</v>
      </c>
      <c r="D1795" s="2" t="str">
        <f t="shared" si="27"/>
        <v>Error?</v>
      </c>
    </row>
    <row r="1796" spans="1:4" x14ac:dyDescent="0.2">
      <c r="A1796" s="5">
        <v>1735</v>
      </c>
      <c r="B1796" s="138">
        <f>'Tax Sched 23'!F8</f>
        <v>0</v>
      </c>
      <c r="C1796" s="2" t="s">
        <v>572</v>
      </c>
      <c r="D1796" s="2" t="str">
        <f t="shared" si="27"/>
        <v>Error?</v>
      </c>
    </row>
    <row r="1797" spans="1:4" x14ac:dyDescent="0.2">
      <c r="A1797" s="5">
        <v>1736</v>
      </c>
      <c r="B1797" s="138">
        <f>'Tax Sched 23'!F10</f>
        <v>23923</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0</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183373</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26280286</v>
      </c>
      <c r="C1807" s="2" t="s">
        <v>572</v>
      </c>
      <c r="D1807" s="2" t="str">
        <f t="shared" si="27"/>
        <v>Error?</v>
      </c>
    </row>
    <row r="1808" spans="1:4" x14ac:dyDescent="0.2">
      <c r="A1808" s="5">
        <v>1747</v>
      </c>
      <c r="B1808" s="138">
        <f>'Tax Sched 23'!E4</f>
        <v>36958249</v>
      </c>
      <c r="D1808" s="2" t="str">
        <f t="shared" si="27"/>
        <v>Error?</v>
      </c>
    </row>
    <row r="1809" spans="1:4" x14ac:dyDescent="0.2">
      <c r="A1809" s="5">
        <v>1748</v>
      </c>
      <c r="B1809" s="138">
        <f>'Tax Sched 23'!E5</f>
        <v>3989561</v>
      </c>
      <c r="D1809" s="2" t="str">
        <f t="shared" si="27"/>
        <v>Error?</v>
      </c>
    </row>
    <row r="1810" spans="1:4" x14ac:dyDescent="0.2">
      <c r="A1810" s="5">
        <v>1749</v>
      </c>
      <c r="B1810" s="138">
        <f>'Tax Sched 23'!E6</f>
        <v>8239541</v>
      </c>
      <c r="D1810" s="2" t="str">
        <f t="shared" si="27"/>
        <v>Error?</v>
      </c>
    </row>
    <row r="1811" spans="1:4" x14ac:dyDescent="0.2">
      <c r="A1811" s="5">
        <v>1750</v>
      </c>
      <c r="B1811" s="138">
        <f>'Tax Sched 23'!E7</f>
        <v>2556647</v>
      </c>
      <c r="D1811" s="2" t="str">
        <f t="shared" si="27"/>
        <v>Error?</v>
      </c>
    </row>
    <row r="1812" spans="1:4" x14ac:dyDescent="0.2">
      <c r="A1812" s="5">
        <v>1751</v>
      </c>
      <c r="B1812" s="138">
        <f>'Tax Sched 23'!E8</f>
        <v>0</v>
      </c>
      <c r="D1812" s="2" t="str">
        <f t="shared" si="27"/>
        <v>Error?</v>
      </c>
    </row>
    <row r="1813" spans="1:4" x14ac:dyDescent="0.2">
      <c r="A1813" s="5">
        <v>1752</v>
      </c>
      <c r="B1813" s="138">
        <f>'Tax Sched 23'!E10</f>
        <v>47554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364502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52239008</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30489268</v>
      </c>
      <c r="C1939" s="2" t="s">
        <v>572</v>
      </c>
      <c r="D1939" s="2" t="str">
        <f t="shared" si="29"/>
        <v>Error?</v>
      </c>
    </row>
    <row r="1940" spans="1:5" x14ac:dyDescent="0.2">
      <c r="A1940" s="5">
        <v>1879</v>
      </c>
      <c r="B1940" s="138">
        <f>'Short-Term Long-Term Debt 24'!F49</f>
        <v>44670000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346445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346445</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346445</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1480528</v>
      </c>
      <c r="D2008" s="2" t="str">
        <f t="shared" si="30"/>
        <v>Error?</v>
      </c>
    </row>
    <row r="2009" spans="1:4" x14ac:dyDescent="0.2">
      <c r="A2009" s="5">
        <v>1948</v>
      </c>
      <c r="B2009" s="138">
        <f>'Cap Outlay Deprec 26'!C8</f>
        <v>91090274</v>
      </c>
      <c r="D2009" s="2" t="str">
        <f t="shared" si="30"/>
        <v>Error?</v>
      </c>
    </row>
    <row r="2010" spans="1:4" x14ac:dyDescent="0.2">
      <c r="A2010" s="5">
        <v>1949</v>
      </c>
      <c r="B2010" s="138">
        <f>'Cap Outlay Deprec 26'!C10</f>
        <v>1969703</v>
      </c>
      <c r="D2010" s="2" t="str">
        <f t="shared" si="30"/>
        <v>Error?</v>
      </c>
    </row>
    <row r="2011" spans="1:4" x14ac:dyDescent="0.2">
      <c r="A2011" s="5">
        <v>1950</v>
      </c>
      <c r="B2011" s="138">
        <f>'Cap Outlay Deprec 26'!C12</f>
        <v>2468130</v>
      </c>
      <c r="D2011" s="2" t="str">
        <f t="shared" si="30"/>
        <v>Error?</v>
      </c>
    </row>
    <row r="2012" spans="1:4" x14ac:dyDescent="0.2">
      <c r="A2012" s="5">
        <v>1951</v>
      </c>
      <c r="B2012" s="138">
        <f>'Cap Outlay Deprec 26'!C13</f>
        <v>935435</v>
      </c>
      <c r="D2012" s="2" t="str">
        <f t="shared" si="30"/>
        <v>Error?</v>
      </c>
    </row>
    <row r="2013" spans="1:4" x14ac:dyDescent="0.2">
      <c r="A2013" s="5">
        <v>1952</v>
      </c>
      <c r="B2013" s="138">
        <f>'Cap Outlay Deprec 26'!C16</f>
        <v>98744070</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44310</v>
      </c>
      <c r="D2016" s="2" t="str">
        <f t="shared" si="30"/>
        <v>Error?</v>
      </c>
    </row>
    <row r="2017" spans="1:4" x14ac:dyDescent="0.2">
      <c r="A2017" s="5">
        <v>1956</v>
      </c>
      <c r="B2017" s="138">
        <f>'Cap Outlay Deprec 26'!D12</f>
        <v>22785</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4862759</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572</v>
      </c>
      <c r="D2025" s="2" t="str">
        <f t="shared" si="30"/>
        <v>Error?</v>
      </c>
    </row>
    <row r="2026" spans="1:4" x14ac:dyDescent="0.2">
      <c r="A2026" s="5">
        <v>1965</v>
      </c>
      <c r="B2026" s="138">
        <f>'Cap Outlay Deprec 26'!F5</f>
        <v>1480528</v>
      </c>
      <c r="C2026" s="2" t="s">
        <v>572</v>
      </c>
      <c r="D2026" s="2" t="str">
        <f t="shared" si="30"/>
        <v>Error?</v>
      </c>
    </row>
    <row r="2027" spans="1:4" x14ac:dyDescent="0.2">
      <c r="A2027" s="5">
        <v>1966</v>
      </c>
      <c r="B2027" s="138">
        <f>'Cap Outlay Deprec 26'!F8</f>
        <v>91090274</v>
      </c>
      <c r="C2027" s="2" t="s">
        <v>572</v>
      </c>
      <c r="D2027" s="2" t="str">
        <f t="shared" si="30"/>
        <v>Error?</v>
      </c>
    </row>
    <row r="2028" spans="1:4" x14ac:dyDescent="0.2">
      <c r="A2028" s="5">
        <v>1967</v>
      </c>
      <c r="B2028" s="138">
        <f>'Cap Outlay Deprec 26'!F10</f>
        <v>2014013</v>
      </c>
      <c r="C2028" s="2" t="s">
        <v>572</v>
      </c>
      <c r="D2028" s="2" t="str">
        <f t="shared" si="30"/>
        <v>Error?</v>
      </c>
    </row>
    <row r="2029" spans="1:4" x14ac:dyDescent="0.2">
      <c r="A2029" s="5">
        <v>1968</v>
      </c>
      <c r="B2029" s="138">
        <f>'Cap Outlay Deprec 26'!F12</f>
        <v>2490915</v>
      </c>
      <c r="C2029" s="2" t="s">
        <v>572</v>
      </c>
      <c r="D2029" s="2" t="str">
        <f t="shared" si="30"/>
        <v>Error?</v>
      </c>
    </row>
    <row r="2030" spans="1:4" x14ac:dyDescent="0.2">
      <c r="A2030" s="5">
        <v>1969</v>
      </c>
      <c r="B2030" s="138">
        <f>'Cap Outlay Deprec 26'!F13</f>
        <v>935435</v>
      </c>
      <c r="C2030" s="2" t="s">
        <v>572</v>
      </c>
      <c r="D2030" s="2" t="str">
        <f t="shared" si="30"/>
        <v>Error?</v>
      </c>
    </row>
    <row r="2031" spans="1:4" x14ac:dyDescent="0.2">
      <c r="A2031" s="5">
        <v>1970</v>
      </c>
      <c r="B2031" s="138">
        <f>'Cap Outlay Deprec 26'!F16</f>
        <v>103606829</v>
      </c>
      <c r="C2031" s="2" t="s">
        <v>572</v>
      </c>
      <c r="D2031" s="2" t="str">
        <f t="shared" si="30"/>
        <v>Error?</v>
      </c>
    </row>
    <row r="2032" spans="1:4" x14ac:dyDescent="0.2">
      <c r="A2032" s="10">
        <v>1971</v>
      </c>
      <c r="D2032" s="2" t="str">
        <f t="shared" si="30"/>
        <v>OK</v>
      </c>
    </row>
    <row r="2033" spans="1:4" x14ac:dyDescent="0.2">
      <c r="A2033" s="5">
        <v>1972</v>
      </c>
      <c r="B2033" s="138">
        <f>'Cap Outlay Deprec 26'!H8</f>
        <v>33793447</v>
      </c>
      <c r="D2033" s="2" t="str">
        <f t="shared" si="30"/>
        <v>Error?</v>
      </c>
    </row>
    <row r="2034" spans="1:4" x14ac:dyDescent="0.2">
      <c r="A2034" s="5">
        <v>1973</v>
      </c>
      <c r="B2034" s="138">
        <f>'Cap Outlay Deprec 26'!H10</f>
        <v>1608590</v>
      </c>
      <c r="D2034" s="2" t="str">
        <f t="shared" si="30"/>
        <v>Error?</v>
      </c>
    </row>
    <row r="2035" spans="1:4" x14ac:dyDescent="0.2">
      <c r="A2035" s="5">
        <v>1974</v>
      </c>
      <c r="B2035" s="138">
        <f>'Cap Outlay Deprec 26'!H12</f>
        <v>1188257</v>
      </c>
      <c r="D2035" s="2" t="str">
        <f t="shared" si="30"/>
        <v>Error?</v>
      </c>
    </row>
    <row r="2036" spans="1:4" x14ac:dyDescent="0.2">
      <c r="A2036" s="5">
        <v>1975</v>
      </c>
      <c r="B2036" s="138">
        <f>'Cap Outlay Deprec 26'!H13</f>
        <v>844187</v>
      </c>
      <c r="D2036" s="2" t="str">
        <f t="shared" si="30"/>
        <v>Error?</v>
      </c>
    </row>
    <row r="2037" spans="1:4" x14ac:dyDescent="0.2">
      <c r="A2037" s="5">
        <v>1976</v>
      </c>
      <c r="B2037" s="138">
        <f>'Cap Outlay Deprec 26'!H16</f>
        <v>37434481</v>
      </c>
      <c r="C2037" s="2" t="s">
        <v>572</v>
      </c>
      <c r="D2037" s="2" t="str">
        <f t="shared" si="30"/>
        <v>Error?</v>
      </c>
    </row>
    <row r="2038" spans="1:4" x14ac:dyDescent="0.2">
      <c r="A2038" s="10">
        <v>1977</v>
      </c>
      <c r="D2038" s="2" t="str">
        <f t="shared" si="30"/>
        <v>OK</v>
      </c>
    </row>
    <row r="2039" spans="1:4" x14ac:dyDescent="0.2">
      <c r="A2039" s="5">
        <v>1978</v>
      </c>
      <c r="B2039" s="138">
        <f>'Cap Outlay Deprec 26'!I8</f>
        <v>1819883</v>
      </c>
      <c r="D2039" s="2" t="str">
        <f t="shared" si="30"/>
        <v>Error?</v>
      </c>
    </row>
    <row r="2040" spans="1:4" x14ac:dyDescent="0.2">
      <c r="A2040" s="5">
        <v>1979</v>
      </c>
      <c r="B2040" s="138">
        <f>'Cap Outlay Deprec 26'!I10</f>
        <v>66344</v>
      </c>
      <c r="D2040" s="2" t="str">
        <f t="shared" si="30"/>
        <v>Error?</v>
      </c>
    </row>
    <row r="2041" spans="1:4" x14ac:dyDescent="0.2">
      <c r="A2041" s="5">
        <v>1980</v>
      </c>
      <c r="B2041" s="138">
        <f>'Cap Outlay Deprec 26'!I12</f>
        <v>214806</v>
      </c>
      <c r="D2041" s="2" t="str">
        <f t="shared" si="30"/>
        <v>Error?</v>
      </c>
    </row>
    <row r="2042" spans="1:4" x14ac:dyDescent="0.2">
      <c r="A2042" s="5">
        <v>1981</v>
      </c>
      <c r="B2042" s="138">
        <f>'Cap Outlay Deprec 26'!I13</f>
        <v>36815</v>
      </c>
      <c r="D2042" s="2" t="str">
        <f t="shared" si="30"/>
        <v>Error?</v>
      </c>
    </row>
    <row r="2043" spans="1:4" x14ac:dyDescent="0.2">
      <c r="A2043" s="5">
        <v>1982</v>
      </c>
      <c r="B2043" s="138">
        <f>'Cap Outlay Deprec 26'!I16</f>
        <v>2137848</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35613330</v>
      </c>
      <c r="C2051" s="2" t="s">
        <v>572</v>
      </c>
      <c r="D2051" s="2" t="str">
        <f t="shared" si="31"/>
        <v>Error?</v>
      </c>
    </row>
    <row r="2052" spans="1:4" x14ac:dyDescent="0.2">
      <c r="A2052" s="5">
        <v>1991</v>
      </c>
      <c r="B2052" s="138">
        <f>'Cap Outlay Deprec 26'!K10</f>
        <v>1674934</v>
      </c>
      <c r="C2052" s="2" t="s">
        <v>572</v>
      </c>
      <c r="D2052" s="2" t="str">
        <f t="shared" si="31"/>
        <v>Error?</v>
      </c>
    </row>
    <row r="2053" spans="1:4" x14ac:dyDescent="0.2">
      <c r="A2053" s="5">
        <v>1992</v>
      </c>
      <c r="B2053" s="138">
        <f>'Cap Outlay Deprec 26'!K12</f>
        <v>1403063</v>
      </c>
      <c r="C2053" s="2" t="s">
        <v>572</v>
      </c>
      <c r="D2053" s="2" t="str">
        <f t="shared" si="31"/>
        <v>Error?</v>
      </c>
    </row>
    <row r="2054" spans="1:4" x14ac:dyDescent="0.2">
      <c r="A2054" s="5">
        <v>1993</v>
      </c>
      <c r="B2054" s="138">
        <f>'Cap Outlay Deprec 26'!K13</f>
        <v>881002</v>
      </c>
      <c r="C2054" s="2" t="s">
        <v>572</v>
      </c>
      <c r="D2054" s="2" t="str">
        <f t="shared" si="31"/>
        <v>Error?</v>
      </c>
    </row>
    <row r="2055" spans="1:4" x14ac:dyDescent="0.2">
      <c r="A2055" s="5">
        <v>1994</v>
      </c>
      <c r="B2055" s="138">
        <f>'Cap Outlay Deprec 26'!K16</f>
        <v>39572329</v>
      </c>
      <c r="C2055" s="2" t="s">
        <v>572</v>
      </c>
      <c r="D2055" s="2" t="str">
        <f t="shared" si="31"/>
        <v>Error?</v>
      </c>
    </row>
    <row r="2056" spans="1:4" x14ac:dyDescent="0.2">
      <c r="A2056" s="5">
        <v>1995</v>
      </c>
      <c r="B2056" s="138">
        <f>'Cap Outlay Deprec 26'!L5</f>
        <v>1480528</v>
      </c>
      <c r="C2056" s="2" t="s">
        <v>572</v>
      </c>
      <c r="D2056" s="2" t="str">
        <f t="shared" si="31"/>
        <v>Error?</v>
      </c>
    </row>
    <row r="2057" spans="1:4" x14ac:dyDescent="0.2">
      <c r="A2057" s="5">
        <v>1996</v>
      </c>
      <c r="B2057" s="138">
        <f>'Cap Outlay Deprec 26'!L8</f>
        <v>55476944</v>
      </c>
      <c r="C2057" s="2" t="s">
        <v>572</v>
      </c>
      <c r="D2057" s="2" t="str">
        <f t="shared" si="31"/>
        <v>Error?</v>
      </c>
    </row>
    <row r="2058" spans="1:4" x14ac:dyDescent="0.2">
      <c r="A2058" s="5">
        <v>1997</v>
      </c>
      <c r="B2058" s="138">
        <f>'Cap Outlay Deprec 26'!L10</f>
        <v>339079</v>
      </c>
      <c r="C2058" s="2" t="s">
        <v>572</v>
      </c>
      <c r="D2058" s="2" t="str">
        <f t="shared" si="31"/>
        <v>Error?</v>
      </c>
    </row>
    <row r="2059" spans="1:4" x14ac:dyDescent="0.2">
      <c r="A2059" s="5">
        <v>1998</v>
      </c>
      <c r="B2059" s="138">
        <f>'Cap Outlay Deprec 26'!L12</f>
        <v>1087852</v>
      </c>
      <c r="C2059" s="2" t="s">
        <v>572</v>
      </c>
      <c r="D2059" s="2" t="str">
        <f t="shared" si="31"/>
        <v>Error?</v>
      </c>
    </row>
    <row r="2060" spans="1:4" x14ac:dyDescent="0.2">
      <c r="A2060" s="5">
        <v>1999</v>
      </c>
      <c r="B2060" s="138">
        <f>'Cap Outlay Deprec 26'!L13</f>
        <v>54433</v>
      </c>
      <c r="C2060" s="2" t="s">
        <v>572</v>
      </c>
      <c r="D2060" s="2" t="str">
        <f t="shared" si="31"/>
        <v>Error?</v>
      </c>
    </row>
    <row r="2061" spans="1:4" x14ac:dyDescent="0.2">
      <c r="A2061" s="5">
        <v>2000</v>
      </c>
      <c r="B2061" s="138">
        <f>'Cap Outlay Deprec 26'!L16</f>
        <v>64034500</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593639</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593639</v>
      </c>
      <c r="C2088" s="2" t="s">
        <v>572</v>
      </c>
      <c r="D2088" s="2" t="str">
        <f t="shared" si="31"/>
        <v>Error?</v>
      </c>
    </row>
    <row r="2089" spans="1:4" x14ac:dyDescent="0.2">
      <c r="A2089" s="5">
        <v>2028</v>
      </c>
      <c r="B2089" s="138">
        <f>'Expenditures 15-22'!K92</f>
        <v>1090716</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1511732</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36175493</v>
      </c>
      <c r="C2551" s="2" t="s">
        <v>572</v>
      </c>
      <c r="D2551" s="2" t="str">
        <f t="shared" si="38"/>
        <v>Error?</v>
      </c>
    </row>
    <row r="2552" spans="1:4" x14ac:dyDescent="0.2">
      <c r="A2552" s="10">
        <v>2491</v>
      </c>
      <c r="D2552" s="2" t="str">
        <f t="shared" si="38"/>
        <v>OK</v>
      </c>
    </row>
    <row r="2553" spans="1:4" x14ac:dyDescent="0.2">
      <c r="A2553" s="5">
        <v>2492</v>
      </c>
      <c r="B2553" s="138">
        <f>'Acct Summary 7-8'!C6</f>
        <v>5063472</v>
      </c>
      <c r="C2553" s="2" t="s">
        <v>572</v>
      </c>
      <c r="D2553" s="2" t="str">
        <f t="shared" si="38"/>
        <v>Error?</v>
      </c>
    </row>
    <row r="2554" spans="1:4" x14ac:dyDescent="0.2">
      <c r="A2554" s="5">
        <v>2493</v>
      </c>
      <c r="B2554" s="138">
        <f>'Acct Summary 7-8'!C7</f>
        <v>1372862</v>
      </c>
      <c r="C2554" s="2" t="s">
        <v>572</v>
      </c>
      <c r="D2554" s="2" t="str">
        <f t="shared" si="38"/>
        <v>Error?</v>
      </c>
    </row>
    <row r="2555" spans="1:4" x14ac:dyDescent="0.2">
      <c r="A2555" s="5">
        <v>2494</v>
      </c>
      <c r="B2555" s="138">
        <f>'Acct Summary 7-8'!C8</f>
        <v>42611827</v>
      </c>
      <c r="C2555" s="2" t="s">
        <v>572</v>
      </c>
      <c r="D2555" s="2" t="str">
        <f t="shared" si="38"/>
        <v>Error?</v>
      </c>
    </row>
    <row r="2556" spans="1:4" x14ac:dyDescent="0.2">
      <c r="A2556" s="5">
        <v>2495</v>
      </c>
      <c r="B2556" s="138">
        <f>'Acct Summary 7-8'!C12</f>
        <v>28547863</v>
      </c>
      <c r="C2556" s="2" t="s">
        <v>572</v>
      </c>
      <c r="D2556" s="2" t="str">
        <f t="shared" si="38"/>
        <v>Error?</v>
      </c>
    </row>
    <row r="2557" spans="1:4" x14ac:dyDescent="0.2">
      <c r="A2557" s="5">
        <v>2496</v>
      </c>
      <c r="B2557" s="138">
        <f>'Acct Summary 7-8'!C13</f>
        <v>12273709</v>
      </c>
      <c r="C2557" s="2" t="s">
        <v>572</v>
      </c>
      <c r="D2557" s="2" t="str">
        <f t="shared" si="38"/>
        <v>Error?</v>
      </c>
    </row>
    <row r="2558" spans="1:4" x14ac:dyDescent="0.2">
      <c r="A2558" s="5">
        <v>2497</v>
      </c>
      <c r="B2558" s="138">
        <f>'Acct Summary 7-8'!C14</f>
        <v>10396</v>
      </c>
      <c r="C2558" s="2" t="s">
        <v>572</v>
      </c>
      <c r="D2558" s="2" t="str">
        <f t="shared" si="38"/>
        <v>Error?</v>
      </c>
    </row>
    <row r="2559" spans="1:4" x14ac:dyDescent="0.2">
      <c r="A2559" s="5">
        <v>2498</v>
      </c>
      <c r="B2559" s="138">
        <f>'Acct Summary 7-8'!C15</f>
        <v>1684355</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42516323</v>
      </c>
      <c r="C2561" s="2" t="s">
        <v>572</v>
      </c>
      <c r="D2561" s="2" t="str">
        <f t="shared" si="39"/>
        <v>Error?</v>
      </c>
    </row>
    <row r="2562" spans="1:4" x14ac:dyDescent="0.2">
      <c r="A2562" s="5">
        <v>2501</v>
      </c>
      <c r="B2562" s="138">
        <f>'Acct Summary 7-8'!C20</f>
        <v>95504</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4225862</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4225862</v>
      </c>
      <c r="C2568" s="2" t="s">
        <v>572</v>
      </c>
      <c r="D2568" s="2" t="str">
        <f t="shared" si="39"/>
        <v>Error?</v>
      </c>
    </row>
    <row r="2569" spans="1:4" x14ac:dyDescent="0.2">
      <c r="A2569" s="5">
        <v>2508</v>
      </c>
      <c r="B2569" s="138">
        <f>'Acct Summary 7-8'!D13</f>
        <v>3688892</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3688892</v>
      </c>
      <c r="C2573" s="2" t="s">
        <v>572</v>
      </c>
      <c r="D2573" s="2" t="str">
        <f t="shared" si="39"/>
        <v>Error?</v>
      </c>
    </row>
    <row r="2574" spans="1:4" x14ac:dyDescent="0.2">
      <c r="A2574" s="5">
        <v>2513</v>
      </c>
      <c r="B2574" s="138">
        <f>'Acct Summary 7-8'!D20</f>
        <v>536970</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2331729</v>
      </c>
      <c r="C2591" s="2" t="s">
        <v>572</v>
      </c>
      <c r="D2591" s="2" t="str">
        <f t="shared" si="39"/>
        <v>Error?</v>
      </c>
    </row>
    <row r="2592" spans="1:4" x14ac:dyDescent="0.2">
      <c r="A2592" s="10">
        <v>2531</v>
      </c>
      <c r="D2592" s="2" t="str">
        <f t="shared" si="39"/>
        <v>OK</v>
      </c>
    </row>
    <row r="2593" spans="1:4" x14ac:dyDescent="0.2">
      <c r="A2593" s="5">
        <v>2532</v>
      </c>
      <c r="B2593" s="138">
        <f>'Acct Summary 7-8'!F6</f>
        <v>1424118</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3755847</v>
      </c>
      <c r="C2595" s="2" t="s">
        <v>572</v>
      </c>
      <c r="D2595" s="2" t="str">
        <f t="shared" si="39"/>
        <v>Error?</v>
      </c>
    </row>
    <row r="2596" spans="1:4" x14ac:dyDescent="0.2">
      <c r="A2596" s="5">
        <v>2535</v>
      </c>
      <c r="B2596" s="138">
        <f>'Acct Summary 7-8'!F13</f>
        <v>3483324</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3483324</v>
      </c>
      <c r="C2600" s="2" t="s">
        <v>572</v>
      </c>
      <c r="D2600" s="2" t="str">
        <f t="shared" si="39"/>
        <v>Error?</v>
      </c>
    </row>
    <row r="2601" spans="1:4" x14ac:dyDescent="0.2">
      <c r="A2601" s="5">
        <v>2540</v>
      </c>
      <c r="B2601" s="138">
        <f>'Acct Summary 7-8'!F20</f>
        <v>272523</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558413</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558413</v>
      </c>
      <c r="C2606" s="2" t="s">
        <v>572</v>
      </c>
      <c r="D2606" s="2" t="str">
        <f t="shared" si="39"/>
        <v>Error?</v>
      </c>
    </row>
    <row r="2607" spans="1:4" x14ac:dyDescent="0.2">
      <c r="A2607" s="5">
        <v>2546</v>
      </c>
      <c r="B2607" s="138">
        <f>'Acct Summary 7-8'!G12</f>
        <v>682927</v>
      </c>
      <c r="C2607" s="2" t="s">
        <v>572</v>
      </c>
      <c r="D2607" s="2" t="str">
        <f t="shared" si="39"/>
        <v>Error?</v>
      </c>
    </row>
    <row r="2608" spans="1:4" x14ac:dyDescent="0.2">
      <c r="A2608" s="5">
        <v>2547</v>
      </c>
      <c r="B2608" s="138">
        <f>'Acct Summary 7-8'!G13</f>
        <v>754142</v>
      </c>
      <c r="C2608" s="2" t="s">
        <v>572</v>
      </c>
      <c r="D2608" s="2" t="str">
        <f t="shared" si="39"/>
        <v>Error?</v>
      </c>
    </row>
    <row r="2609" spans="1:4" x14ac:dyDescent="0.2">
      <c r="A2609" s="5">
        <v>2548</v>
      </c>
      <c r="B2609" s="138">
        <f>'Acct Summary 7-8'!G14</f>
        <v>50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1437119</v>
      </c>
      <c r="C2612" s="2" t="s">
        <v>572</v>
      </c>
      <c r="D2612" s="2" t="str">
        <f t="shared" si="39"/>
        <v>Error?</v>
      </c>
    </row>
    <row r="2613" spans="1:4" x14ac:dyDescent="0.2">
      <c r="A2613" s="5">
        <v>2552</v>
      </c>
      <c r="B2613" s="138">
        <f>'Acct Summary 7-8'!G20</f>
        <v>-878706</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7627299</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7627299</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7618056</v>
      </c>
      <c r="C2634" s="2" t="s">
        <v>572</v>
      </c>
      <c r="D2634" s="2" t="str">
        <f t="shared" si="40"/>
        <v>Error?</v>
      </c>
    </row>
    <row r="2635" spans="1:4" x14ac:dyDescent="0.2">
      <c r="A2635" s="5">
        <v>2574</v>
      </c>
      <c r="B2635" s="138">
        <f>'Acct Summary 7-8'!E17</f>
        <v>7618056</v>
      </c>
      <c r="C2635" s="2" t="s">
        <v>572</v>
      </c>
      <c r="D2635" s="2" t="str">
        <f t="shared" si="40"/>
        <v>Error?</v>
      </c>
    </row>
    <row r="2636" spans="1:4" x14ac:dyDescent="0.2">
      <c r="A2636" s="5">
        <v>2575</v>
      </c>
      <c r="B2636" s="138">
        <f>'Acct Summary 7-8'!E20</f>
        <v>9243</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2516</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2516</v>
      </c>
      <c r="C2658" s="2" t="s">
        <v>572</v>
      </c>
      <c r="D2658" s="2" t="str">
        <f t="shared" si="40"/>
        <v>Error?</v>
      </c>
    </row>
    <row r="2659" spans="1:4" x14ac:dyDescent="0.2">
      <c r="A2659" s="5">
        <v>2598</v>
      </c>
      <c r="B2659" s="138">
        <f>'Acct Summary 7-8'!H13</f>
        <v>4795664</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4795664</v>
      </c>
      <c r="C2661" s="2" t="s">
        <v>572</v>
      </c>
      <c r="D2661" s="2" t="str">
        <f t="shared" si="40"/>
        <v>Error?</v>
      </c>
    </row>
    <row r="2662" spans="1:4" x14ac:dyDescent="0.2">
      <c r="A2662" s="5">
        <v>2601</v>
      </c>
      <c r="B2662" s="138">
        <f>'Acct Summary 7-8'!H20</f>
        <v>-4793148</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364</v>
      </c>
      <c r="D2720" s="2" t="str">
        <f t="shared" si="41"/>
        <v>Error?</v>
      </c>
    </row>
    <row r="2721" spans="1:4" x14ac:dyDescent="0.2">
      <c r="A2721" s="5">
        <v>2660</v>
      </c>
      <c r="B2721" s="138">
        <f>'Expenditures 15-22'!F51</f>
        <v>873</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1237</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572</v>
      </c>
      <c r="D2789" s="2" t="str">
        <f t="shared" si="42"/>
        <v>Error?</v>
      </c>
    </row>
    <row r="2790" spans="1:4" x14ac:dyDescent="0.2">
      <c r="A2790" s="5">
        <v>2729</v>
      </c>
      <c r="B2790" s="138">
        <f>'Expenditures 15-22'!E102</f>
        <v>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5595664</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12564727</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18653165</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291354</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18653165</v>
      </c>
      <c r="D2912" s="2" t="str">
        <f t="shared" si="44"/>
        <v>Error?</v>
      </c>
    </row>
    <row r="2913" spans="1:4" x14ac:dyDescent="0.2">
      <c r="A2913" s="5">
        <v>2852</v>
      </c>
      <c r="B2913" s="138">
        <f>'Assets-Liab 5-6'!I41</f>
        <v>18653165</v>
      </c>
      <c r="C2913" s="2" t="s">
        <v>572</v>
      </c>
      <c r="D2913" s="2" t="str">
        <f t="shared" si="44"/>
        <v>Error?</v>
      </c>
    </row>
    <row r="2914" spans="1:4" x14ac:dyDescent="0.2">
      <c r="A2914" s="5">
        <v>2853</v>
      </c>
      <c r="B2914" s="138">
        <f>'Assets-Liab 5-6'!L33</f>
        <v>291354</v>
      </c>
      <c r="D2914" s="2" t="str">
        <f t="shared" si="44"/>
        <v>Error?</v>
      </c>
    </row>
    <row r="2915" spans="1:4" x14ac:dyDescent="0.2">
      <c r="A2915" s="10">
        <v>2854</v>
      </c>
      <c r="D2915" s="2" t="str">
        <f t="shared" si="44"/>
        <v>OK</v>
      </c>
    </row>
    <row r="2916" spans="1:4" x14ac:dyDescent="0.2">
      <c r="A2916" s="5">
        <v>2855</v>
      </c>
      <c r="B2916" s="138">
        <f>'Assets-Liab 5-6'!L34</f>
        <v>291354</v>
      </c>
      <c r="C2916" s="2" t="s">
        <v>572</v>
      </c>
      <c r="D2916" s="2" t="str">
        <f t="shared" si="44"/>
        <v>Error?</v>
      </c>
    </row>
    <row r="2917" spans="1:4" x14ac:dyDescent="0.2">
      <c r="A2917" s="5">
        <v>2856</v>
      </c>
      <c r="B2917" s="138">
        <f>'Assets-Liab 5-6'!L41</f>
        <v>291354</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593039</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600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593039</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600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380694</v>
      </c>
      <c r="D3055" s="2" t="str">
        <f t="shared" si="46"/>
        <v>Error?</v>
      </c>
    </row>
    <row r="3056" spans="1:4" x14ac:dyDescent="0.2">
      <c r="A3056" s="5">
        <v>2995</v>
      </c>
      <c r="B3056" s="138">
        <f>'Expenditures 15-22'!D10</f>
        <v>65069</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626</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446389</v>
      </c>
      <c r="C3062" s="2" t="s">
        <v>572</v>
      </c>
      <c r="D3062" s="2" t="str">
        <f t="shared" si="46"/>
        <v>Error?</v>
      </c>
    </row>
    <row r="3063" spans="1:4" x14ac:dyDescent="0.2">
      <c r="A3063" s="10">
        <v>3002</v>
      </c>
      <c r="D3063" s="2" t="str">
        <f t="shared" si="46"/>
        <v>OK</v>
      </c>
    </row>
    <row r="3064" spans="1:4" x14ac:dyDescent="0.2">
      <c r="A3064" s="5">
        <v>3003</v>
      </c>
      <c r="B3064" s="138">
        <f>'Expenditures 15-22'!D219</f>
        <v>5159</v>
      </c>
      <c r="D3064" s="2" t="str">
        <f t="shared" si="46"/>
        <v>Error?</v>
      </c>
    </row>
    <row r="3065" spans="1:4" x14ac:dyDescent="0.2">
      <c r="A3065" s="5">
        <v>3004</v>
      </c>
      <c r="B3065" s="138">
        <f>'Expenditures 15-22'!K219</f>
        <v>5159</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32946281</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387825</v>
      </c>
      <c r="C3225" s="2" t="s">
        <v>572</v>
      </c>
      <c r="D3225" s="2" t="str">
        <f t="shared" si="49"/>
        <v>Error?</v>
      </c>
    </row>
    <row r="3226" spans="1:4" x14ac:dyDescent="0.2">
      <c r="A3226" s="5">
        <v>3165</v>
      </c>
      <c r="B3226" s="138">
        <f>'Acct Summary 7-8'!I8</f>
        <v>387825</v>
      </c>
      <c r="C3226" s="2" t="s">
        <v>572</v>
      </c>
      <c r="D3226" s="2" t="str">
        <f t="shared" si="49"/>
        <v>Error?</v>
      </c>
    </row>
    <row r="3227" spans="1:4" x14ac:dyDescent="0.2">
      <c r="A3227" s="5">
        <v>3166</v>
      </c>
      <c r="B3227" s="138">
        <f>'Acct Summary 7-8'!I20</f>
        <v>387825</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246811</v>
      </c>
      <c r="C3231" s="2" t="s">
        <v>572</v>
      </c>
      <c r="D3231" s="2" t="str">
        <f t="shared" si="49"/>
        <v>Error?</v>
      </c>
    </row>
    <row r="3232" spans="1:4" x14ac:dyDescent="0.2">
      <c r="A3232" s="5">
        <v>3171</v>
      </c>
      <c r="B3232" s="138">
        <f>'Acct Summary 7-8'!C77</f>
        <v>-246811</v>
      </c>
      <c r="C3232" s="2" t="s">
        <v>572</v>
      </c>
      <c r="D3232" s="2" t="str">
        <f t="shared" si="49"/>
        <v>Error?</v>
      </c>
    </row>
    <row r="3233" spans="1:4" x14ac:dyDescent="0.2">
      <c r="A3233" s="5">
        <v>3172</v>
      </c>
      <c r="B3233" s="138">
        <f>'Acct Summary 7-8'!C78</f>
        <v>-151307</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536970</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272523</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-878706</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33193092</v>
      </c>
      <c r="C3274" s="2" t="s">
        <v>572</v>
      </c>
      <c r="D3274" s="2" t="str">
        <f t="shared" si="50"/>
        <v>Error?</v>
      </c>
    </row>
    <row r="3275" spans="1:4" x14ac:dyDescent="0.2">
      <c r="A3275" s="5">
        <v>3214</v>
      </c>
      <c r="B3275" s="138">
        <f>'Acct Summary 7-8'!E75</f>
        <v>32737435</v>
      </c>
      <c r="D3275" s="2" t="str">
        <f t="shared" si="50"/>
        <v>Error?</v>
      </c>
    </row>
    <row r="3276" spans="1:4" x14ac:dyDescent="0.2">
      <c r="A3276" s="5">
        <v>3215</v>
      </c>
      <c r="B3276" s="138">
        <f>'Acct Summary 7-8'!E76</f>
        <v>32737435</v>
      </c>
      <c r="C3276" s="2" t="s">
        <v>572</v>
      </c>
      <c r="D3276" s="2" t="str">
        <f t="shared" si="50"/>
        <v>Error?</v>
      </c>
    </row>
    <row r="3277" spans="1:4" x14ac:dyDescent="0.2">
      <c r="A3277" s="5">
        <v>3216</v>
      </c>
      <c r="B3277" s="138">
        <f>'Acct Summary 7-8'!E77</f>
        <v>455657</v>
      </c>
      <c r="C3277" s="2" t="s">
        <v>572</v>
      </c>
      <c r="D3277" s="2" t="str">
        <f t="shared" si="50"/>
        <v>Error?</v>
      </c>
    </row>
    <row r="3278" spans="1:4" x14ac:dyDescent="0.2">
      <c r="A3278" s="5">
        <v>3217</v>
      </c>
      <c r="B3278" s="138">
        <f>'Acct Summary 7-8'!E78</f>
        <v>464900</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15011732</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15011732</v>
      </c>
      <c r="C3299" s="2" t="s">
        <v>572</v>
      </c>
      <c r="D3299" s="2" t="str">
        <f t="shared" si="50"/>
        <v>Error?</v>
      </c>
    </row>
    <row r="3300" spans="1:4" x14ac:dyDescent="0.2">
      <c r="A3300" s="5">
        <v>3239</v>
      </c>
      <c r="B3300" s="138">
        <f>'Acct Summary 7-8'!H78</f>
        <v>10218584</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1504232</v>
      </c>
      <c r="C3317" s="2" t="s">
        <v>572</v>
      </c>
      <c r="D3317" s="2" t="str">
        <f t="shared" si="50"/>
        <v>Error?</v>
      </c>
    </row>
    <row r="3318" spans="1:4" x14ac:dyDescent="0.2">
      <c r="A3318" s="5">
        <v>3257</v>
      </c>
      <c r="B3318" s="138">
        <f>'Acct Summary 7-8'!I76</f>
        <v>1511732</v>
      </c>
      <c r="C3318" s="2" t="s">
        <v>572</v>
      </c>
      <c r="D3318" s="2" t="str">
        <f t="shared" si="50"/>
        <v>Error?</v>
      </c>
    </row>
    <row r="3319" spans="1:4" x14ac:dyDescent="0.2">
      <c r="A3319" s="5">
        <v>3258</v>
      </c>
      <c r="B3319" s="138">
        <f>'Acct Summary 7-8'!I77</f>
        <v>-7500</v>
      </c>
      <c r="C3319" s="2" t="s">
        <v>572</v>
      </c>
      <c r="D3319" s="2" t="str">
        <f t="shared" si="50"/>
        <v>Error?</v>
      </c>
    </row>
    <row r="3320" spans="1:4" x14ac:dyDescent="0.2">
      <c r="A3320" s="5">
        <v>3259</v>
      </c>
      <c r="B3320" s="138">
        <f>'Acct Summary 7-8'!I78</f>
        <v>380325</v>
      </c>
      <c r="C3320" s="2" t="s">
        <v>572</v>
      </c>
      <c r="D3320" s="2" t="str">
        <f t="shared" si="50"/>
        <v>Error?</v>
      </c>
    </row>
    <row r="3321" spans="1:4" x14ac:dyDescent="0.2">
      <c r="A3321" s="5">
        <v>3260</v>
      </c>
      <c r="B3321" s="138">
        <f>'Acct Summary 7-8'!I79</f>
        <v>18272840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18653165</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3384862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835058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103269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19099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1330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4344850</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263952</v>
      </c>
      <c r="D3387" s="2" t="str">
        <f t="shared" si="51"/>
        <v>Error?</v>
      </c>
    </row>
    <row r="3388" spans="1:4" x14ac:dyDescent="0.2">
      <c r="A3388" s="5">
        <v>3327</v>
      </c>
      <c r="B3388" s="138">
        <f>'Expenditures 15-22'!D217</f>
        <v>270925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263952</v>
      </c>
      <c r="C3390" s="2" t="s">
        <v>572</v>
      </c>
      <c r="D3390" s="2" t="str">
        <f t="shared" si="51"/>
        <v>Error?</v>
      </c>
    </row>
    <row r="3391" spans="1:4" x14ac:dyDescent="0.2">
      <c r="A3391" s="5">
        <v>3330</v>
      </c>
      <c r="B3391" s="138">
        <f>'Expenditures 15-22'!K217</f>
        <v>270925</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2516002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1533445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1619626</v>
      </c>
      <c r="D3417" s="2" t="str">
        <f t="shared" si="52"/>
        <v>Error?</v>
      </c>
    </row>
    <row r="3418" spans="1:4" x14ac:dyDescent="0.2">
      <c r="A3418" s="10">
        <v>3357</v>
      </c>
      <c r="D3418" s="2" t="str">
        <f t="shared" si="52"/>
        <v>OK</v>
      </c>
    </row>
    <row r="3419" spans="1:4" x14ac:dyDescent="0.2">
      <c r="A3419" s="5">
        <v>3358</v>
      </c>
      <c r="B3419" s="138">
        <f>'Assets-Liab 5-6'!F4</f>
        <v>619708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837406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3379170</v>
      </c>
      <c r="D3425" s="2" t="str">
        <f t="shared" si="52"/>
        <v>Error?</v>
      </c>
    </row>
    <row r="3426" spans="1:4" x14ac:dyDescent="0.2">
      <c r="A3426" s="10">
        <v>3365</v>
      </c>
      <c r="D3426" s="2" t="str">
        <f t="shared" si="52"/>
        <v>OK</v>
      </c>
    </row>
    <row r="3427" spans="1:4" x14ac:dyDescent="0.2">
      <c r="A3427" s="5">
        <v>3366</v>
      </c>
      <c r="B3427" s="138">
        <f>'Assets-Liab 5-6'!I4</f>
        <v>6088438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291354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410214</v>
      </c>
      <c r="C3446" s="2" t="s">
        <v>572</v>
      </c>
      <c r="D3446" s="2" t="str">
        <f t="shared" si="52"/>
        <v>Error?</v>
      </c>
    </row>
    <row r="3447" spans="1:4" x14ac:dyDescent="0.2">
      <c r="A3447" s="5">
        <v>3386</v>
      </c>
      <c r="B3447" s="138">
        <f>'Tax Sched 23'!D16</f>
        <v>410214</v>
      </c>
      <c r="C3447" s="2" t="s">
        <v>572</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572</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800000</v>
      </c>
      <c r="D3451" s="2" t="str">
        <f t="shared" si="52"/>
        <v>Error?</v>
      </c>
    </row>
    <row r="3452" spans="1:4" x14ac:dyDescent="0.2">
      <c r="A3452" s="5">
        <v>3391</v>
      </c>
      <c r="B3452" s="138">
        <f>'Cap Outlay Deprec 26'!D15</f>
        <v>4795664</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5595664</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5595664</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572</v>
      </c>
      <c r="D3568" s="2" t="str">
        <f t="shared" si="54"/>
        <v>Error?</v>
      </c>
    </row>
    <row r="3569" spans="1:4" x14ac:dyDescent="0.2">
      <c r="A3569" s="5">
        <v>3508</v>
      </c>
      <c r="B3569" s="138">
        <f>'Acct Summary 7-8'!K4</f>
        <v>0</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0</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0</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0</v>
      </c>
      <c r="C3588" s="2" t="s">
        <v>572</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535277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83617</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42395</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41222</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41732</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82954</v>
      </c>
      <c r="D4111" s="2" t="str">
        <f t="shared" si="63"/>
        <v>Error?</v>
      </c>
    </row>
    <row r="4112" spans="1:4" x14ac:dyDescent="0.2">
      <c r="A4112" s="10">
        <v>4051</v>
      </c>
      <c r="D4112" s="2" t="str">
        <f t="shared" si="63"/>
        <v>OK</v>
      </c>
    </row>
    <row r="4113" spans="1:4" x14ac:dyDescent="0.2">
      <c r="A4113" s="5">
        <v>4052</v>
      </c>
      <c r="B4113" s="138">
        <f>'Acct Summary 7-8'!C9</f>
        <v>22215657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64827484</v>
      </c>
      <c r="C4122" s="2" t="s">
        <v>572</v>
      </c>
      <c r="D4122" s="2" t="str">
        <f t="shared" si="63"/>
        <v>Error?</v>
      </c>
    </row>
    <row r="4123" spans="1:4" x14ac:dyDescent="0.2">
      <c r="A4123" s="5">
        <v>4062</v>
      </c>
      <c r="B4123" s="138">
        <f>'Acct Summary 7-8'!D10</f>
        <v>4225862</v>
      </c>
      <c r="C4123" s="2" t="s">
        <v>572</v>
      </c>
      <c r="D4123" s="2" t="str">
        <f t="shared" si="63"/>
        <v>Error?</v>
      </c>
    </row>
    <row r="4124" spans="1:4" x14ac:dyDescent="0.2">
      <c r="A4124" s="5">
        <v>4063</v>
      </c>
      <c r="B4124" s="138">
        <f>'Acct Summary 7-8'!E10</f>
        <v>7627299</v>
      </c>
      <c r="C4124" s="2" t="s">
        <v>572</v>
      </c>
      <c r="D4124" s="2" t="str">
        <f t="shared" si="63"/>
        <v>Error?</v>
      </c>
    </row>
    <row r="4125" spans="1:4" x14ac:dyDescent="0.2">
      <c r="A4125" s="5">
        <v>4064</v>
      </c>
      <c r="B4125" s="138">
        <f>'Acct Summary 7-8'!F10</f>
        <v>3755847</v>
      </c>
      <c r="C4125" s="2" t="s">
        <v>572</v>
      </c>
      <c r="D4125" s="2" t="str">
        <f t="shared" si="63"/>
        <v>Error?</v>
      </c>
    </row>
    <row r="4126" spans="1:4" x14ac:dyDescent="0.2">
      <c r="A4126" s="5">
        <v>4065</v>
      </c>
      <c r="B4126" s="138">
        <f>'Acct Summary 7-8'!G10</f>
        <v>558413</v>
      </c>
      <c r="C4126" s="2" t="s">
        <v>572</v>
      </c>
      <c r="D4126" s="2" t="str">
        <f t="shared" si="63"/>
        <v>Error?</v>
      </c>
    </row>
    <row r="4127" spans="1:4" x14ac:dyDescent="0.2">
      <c r="A4127" s="5">
        <v>4066</v>
      </c>
      <c r="B4127" s="138">
        <f>'Acct Summary 7-8'!H10</f>
        <v>2516</v>
      </c>
      <c r="C4127" s="2" t="s">
        <v>572</v>
      </c>
      <c r="D4127" s="2" t="str">
        <f t="shared" si="63"/>
        <v>Error?</v>
      </c>
    </row>
    <row r="4128" spans="1:4" x14ac:dyDescent="0.2">
      <c r="A4128" s="5">
        <v>4067</v>
      </c>
      <c r="B4128" s="138">
        <f>'Acct Summary 7-8'!I10</f>
        <v>387825</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0</v>
      </c>
      <c r="C4130" s="2" t="s">
        <v>572</v>
      </c>
      <c r="D4130" s="2" t="str">
        <f t="shared" si="63"/>
        <v>Error?</v>
      </c>
    </row>
    <row r="4131" spans="1:4" x14ac:dyDescent="0.2">
      <c r="A4131" s="5">
        <v>4070</v>
      </c>
      <c r="B4131" s="138">
        <f>'Acct Summary 7-8'!C18</f>
        <v>22215657</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64731980</v>
      </c>
      <c r="C4136" s="2" t="s">
        <v>572</v>
      </c>
      <c r="D4136" s="2" t="str">
        <f t="shared" si="63"/>
        <v>Error?</v>
      </c>
    </row>
    <row r="4137" spans="1:4" x14ac:dyDescent="0.2">
      <c r="A4137" s="5">
        <v>4076</v>
      </c>
      <c r="B4137" s="138">
        <f>'Acct Summary 7-8'!D19</f>
        <v>3688892</v>
      </c>
      <c r="C4137" s="2" t="s">
        <v>572</v>
      </c>
      <c r="D4137" s="2" t="str">
        <f t="shared" si="63"/>
        <v>Error?</v>
      </c>
    </row>
    <row r="4138" spans="1:4" x14ac:dyDescent="0.2">
      <c r="A4138" s="5">
        <v>4077</v>
      </c>
      <c r="B4138" s="138">
        <f>'Acct Summary 7-8'!E19</f>
        <v>7618056</v>
      </c>
      <c r="C4138" s="2" t="s">
        <v>572</v>
      </c>
      <c r="D4138" s="2" t="str">
        <f t="shared" si="63"/>
        <v>Error?</v>
      </c>
    </row>
    <row r="4139" spans="1:4" x14ac:dyDescent="0.2">
      <c r="A4139" s="5">
        <v>4078</v>
      </c>
      <c r="B4139" s="138">
        <f>'Acct Summary 7-8'!F19</f>
        <v>3483324</v>
      </c>
      <c r="C4139" s="2" t="s">
        <v>572</v>
      </c>
      <c r="D4139" s="2" t="str">
        <f t="shared" si="63"/>
        <v>Error?</v>
      </c>
    </row>
    <row r="4140" spans="1:4" x14ac:dyDescent="0.2">
      <c r="A4140" s="5">
        <v>4079</v>
      </c>
      <c r="B4140" s="138">
        <f>'Acct Summary 7-8'!G19</f>
        <v>1437119</v>
      </c>
      <c r="C4140" s="2" t="s">
        <v>572</v>
      </c>
      <c r="D4140" s="2" t="str">
        <f t="shared" si="63"/>
        <v>Error?</v>
      </c>
    </row>
    <row r="4141" spans="1:4" x14ac:dyDescent="0.2">
      <c r="A4141" s="5">
        <v>4080</v>
      </c>
      <c r="B4141" s="138">
        <f>'Acct Summary 7-8'!H19</f>
        <v>4795664</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50039864</v>
      </c>
      <c r="C4171" s="2" t="s">
        <v>572</v>
      </c>
      <c r="D4171" s="2" t="str">
        <f t="shared" si="64"/>
        <v>Error?</v>
      </c>
    </row>
    <row r="4172" spans="1:4" x14ac:dyDescent="0.2">
      <c r="A4172" s="5">
        <v>4111</v>
      </c>
      <c r="B4172" s="138">
        <f>'Short-Term Long-Term Debt 24'!J49</f>
        <v>45077811</v>
      </c>
      <c r="C4172" s="2" t="s">
        <v>572</v>
      </c>
      <c r="D4172" s="2" t="str">
        <f t="shared" si="64"/>
        <v>Error?</v>
      </c>
    </row>
    <row r="4173" spans="1:4" x14ac:dyDescent="0.2">
      <c r="A4173" s="5">
        <v>4112</v>
      </c>
      <c r="B4173" s="138">
        <f>'Short-Term Long-Term Debt 24'!H49</f>
        <v>2154448</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-22964956</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1914</v>
      </c>
    </row>
    <row r="4236" spans="1:5" x14ac:dyDescent="0.2">
      <c r="A4236" s="10">
        <v>4175</v>
      </c>
      <c r="D4236" s="2" t="str">
        <f t="shared" si="65"/>
        <v>OK</v>
      </c>
      <c r="E4236" s="4" t="s">
        <v>1914</v>
      </c>
    </row>
    <row r="4237" spans="1:5" x14ac:dyDescent="0.2">
      <c r="A4237" s="10">
        <v>4176</v>
      </c>
      <c r="D4237" s="2" t="str">
        <f t="shared" si="65"/>
        <v>OK</v>
      </c>
      <c r="E4237" s="4" t="s">
        <v>1914</v>
      </c>
    </row>
    <row r="4238" spans="1:5" x14ac:dyDescent="0.2">
      <c r="A4238" s="10">
        <v>4177</v>
      </c>
      <c r="D4238" s="2" t="str">
        <f t="shared" si="65"/>
        <v>OK</v>
      </c>
      <c r="E4238" s="4" t="s">
        <v>1914</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2721.7000000000003</v>
      </c>
      <c r="C4265" s="2" t="s">
        <v>572</v>
      </c>
      <c r="D4265" s="2" t="str">
        <f t="shared" si="65"/>
        <v>Error?</v>
      </c>
      <c r="E4265" s="128"/>
    </row>
    <row r="4266" spans="1:5" x14ac:dyDescent="0.2">
      <c r="A4266" s="12">
        <v>4205</v>
      </c>
      <c r="B4266" s="138">
        <f>('FP Info 3'!F10)*100000</f>
        <v>293.8</v>
      </c>
      <c r="C4266" s="2" t="s">
        <v>572</v>
      </c>
      <c r="D4266" s="2" t="str">
        <f t="shared" si="65"/>
        <v>Error?</v>
      </c>
      <c r="E4266" s="128"/>
    </row>
    <row r="4267" spans="1:5" x14ac:dyDescent="0.2">
      <c r="A4267" s="12">
        <v>4206</v>
      </c>
      <c r="B4267" s="138">
        <f>('FP Info 3'!H10)*100000</f>
        <v>188.28</v>
      </c>
      <c r="C4267" s="2" t="s">
        <v>572</v>
      </c>
      <c r="D4267" s="2" t="str">
        <f t="shared" si="65"/>
        <v>Error?</v>
      </c>
      <c r="E4267" s="128"/>
    </row>
    <row r="4268" spans="1:5" x14ac:dyDescent="0.2">
      <c r="A4268" s="12">
        <v>4207</v>
      </c>
      <c r="B4268" s="138">
        <f>('FP Info 3'!J10)*100000</f>
        <v>3204</v>
      </c>
      <c r="C4268" s="2" t="s">
        <v>572</v>
      </c>
      <c r="D4268" s="2" t="str">
        <f t="shared" si="65"/>
        <v>Error?</v>
      </c>
    </row>
    <row r="4269" spans="1:5" x14ac:dyDescent="0.2">
      <c r="A4269" s="12">
        <v>4208</v>
      </c>
      <c r="B4269" s="138">
        <f>'FP Info 3'!J16</f>
        <v>32850928</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92968</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140130</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1914</v>
      </c>
    </row>
    <row r="4400" spans="1:5" x14ac:dyDescent="0.2">
      <c r="A4400" s="10">
        <v>4339</v>
      </c>
      <c r="D4400" s="2" t="str">
        <f t="shared" si="67"/>
        <v>OK</v>
      </c>
      <c r="E4400" s="4" t="s">
        <v>1914</v>
      </c>
    </row>
    <row r="4401" spans="1:5" x14ac:dyDescent="0.2">
      <c r="A4401" s="10">
        <v>4340</v>
      </c>
      <c r="D4401" s="2" t="str">
        <f t="shared" si="67"/>
        <v>OK</v>
      </c>
      <c r="E4401" s="4" t="s">
        <v>1914</v>
      </c>
    </row>
    <row r="4402" spans="1:5" x14ac:dyDescent="0.2">
      <c r="A4402" s="10">
        <v>4341</v>
      </c>
      <c r="D4402" s="2" t="str">
        <f t="shared" si="67"/>
        <v>OK</v>
      </c>
      <c r="E4402" s="4" t="s">
        <v>1914</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12050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62316</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54280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3.4999999999999996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6076</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1357903467</v>
      </c>
      <c r="D4995" s="2" t="str">
        <f t="shared" si="77"/>
        <v>Error?</v>
      </c>
    </row>
    <row r="4996" spans="1:4" x14ac:dyDescent="0.2">
      <c r="A4996" s="12">
        <v>4935</v>
      </c>
      <c r="B4996" s="138">
        <f>'FP Info 3'!H31</f>
        <v>93695339.223000005</v>
      </c>
      <c r="D4996" s="2" t="str">
        <f t="shared" si="77"/>
        <v>Error?</v>
      </c>
    </row>
    <row r="4997" spans="1:4" x14ac:dyDescent="0.2">
      <c r="A4997" s="12">
        <v>4936</v>
      </c>
      <c r="B4997" s="138">
        <f>'FP Info 3'!H37</f>
        <v>50039864</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34027726</v>
      </c>
      <c r="D5061" s="2" t="str">
        <f t="shared" si="78"/>
        <v>Error?</v>
      </c>
    </row>
    <row r="5062" spans="1:4" x14ac:dyDescent="0.2">
      <c r="A5062" s="10">
        <v>5001</v>
      </c>
      <c r="D5062" s="2" t="str">
        <f t="shared" si="78"/>
        <v>OK</v>
      </c>
    </row>
    <row r="5063" spans="1:4" x14ac:dyDescent="0.2">
      <c r="A5063" s="5">
        <v>5002</v>
      </c>
      <c r="B5063" s="138">
        <f>'Revenues 9-14'!C7</f>
        <v>346445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34374171</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86090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175913</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262003</v>
      </c>
      <c r="C5087" s="2" t="s">
        <v>572</v>
      </c>
      <c r="D5087" s="2" t="str">
        <f t="shared" si="78"/>
        <v>Error?</v>
      </c>
    </row>
    <row r="5088" spans="1:4" x14ac:dyDescent="0.2">
      <c r="A5088" s="5">
        <v>5027</v>
      </c>
      <c r="B5088" s="138">
        <f>'Revenues 9-14'!C65</f>
        <v>144748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144748</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414641</v>
      </c>
      <c r="C5096" s="2" t="s">
        <v>572</v>
      </c>
      <c r="D5096" s="2" t="str">
        <f t="shared" si="78"/>
        <v>Error?</v>
      </c>
    </row>
    <row r="5097" spans="1:4" x14ac:dyDescent="0.2">
      <c r="A5097" s="5">
        <v>5036</v>
      </c>
      <c r="B5097" s="138">
        <f>'Revenues 9-14'!C77</f>
        <v>74043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182923</v>
      </c>
      <c r="D5099" s="2" t="str">
        <f t="shared" si="78"/>
        <v>Error?</v>
      </c>
    </row>
    <row r="5100" spans="1:4" x14ac:dyDescent="0.2">
      <c r="A5100" s="5">
        <v>5039</v>
      </c>
      <c r="B5100" s="138">
        <f>'Revenues 9-14'!C80</f>
        <v>0</v>
      </c>
      <c r="D5100" s="2" t="str">
        <f t="shared" si="78"/>
        <v>Error?</v>
      </c>
    </row>
    <row r="5101" spans="1:4" x14ac:dyDescent="0.2">
      <c r="A5101" s="5">
        <v>5040</v>
      </c>
      <c r="B5101" s="138">
        <f>'Revenues 9-14'!C81</f>
        <v>50745</v>
      </c>
      <c r="D5101" s="2" t="str">
        <f t="shared" si="78"/>
        <v>Error?</v>
      </c>
    </row>
    <row r="5102" spans="1:4" x14ac:dyDescent="0.2">
      <c r="A5102" s="5">
        <v>5041</v>
      </c>
      <c r="B5102" s="138">
        <f>'Revenues 9-14'!C82</f>
        <v>307711</v>
      </c>
      <c r="C5102" s="2" t="s">
        <v>572</v>
      </c>
      <c r="D5102" s="2" t="str">
        <f t="shared" si="78"/>
        <v>Error?</v>
      </c>
    </row>
    <row r="5103" spans="1:4" x14ac:dyDescent="0.2">
      <c r="A5103" s="5">
        <v>5042</v>
      </c>
      <c r="B5103" s="138">
        <f>'Revenues 9-14'!C84</f>
        <v>441656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159358</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601014</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61000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1842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8363</v>
      </c>
      <c r="D5119" s="2" t="str">
        <f t="shared" ref="D5119:D5182" si="79">IF(ISBLANK(B5119),"OK",IF(A5119-B5119=0,"OK","Error?"))</f>
        <v>Error?</v>
      </c>
    </row>
    <row r="5120" spans="1:4" x14ac:dyDescent="0.2">
      <c r="A5120" s="5">
        <v>5059</v>
      </c>
      <c r="B5120" s="138">
        <f>'Revenues 9-14'!C108</f>
        <v>71205</v>
      </c>
      <c r="C5120" s="2" t="s">
        <v>572</v>
      </c>
      <c r="D5120" s="2" t="str">
        <f t="shared" si="79"/>
        <v>Error?</v>
      </c>
    </row>
    <row r="5121" spans="1:4" x14ac:dyDescent="0.2">
      <c r="A5121" s="5">
        <v>5060</v>
      </c>
      <c r="B5121" s="138">
        <f>'Revenues 9-14'!C109</f>
        <v>36175493</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4084534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4084534</v>
      </c>
      <c r="C5132" s="2" t="s">
        <v>572</v>
      </c>
      <c r="D5132" s="2" t="str">
        <f t="shared" si="79"/>
        <v>Error?</v>
      </c>
    </row>
    <row r="5133" spans="1:4" x14ac:dyDescent="0.2">
      <c r="A5133" s="5">
        <v>5072</v>
      </c>
      <c r="B5133" s="138">
        <f>'Revenues 9-14'!C125</f>
        <v>425000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14051</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439051</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9009</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524802</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1914</v>
      </c>
    </row>
    <row r="5200" spans="1:5" x14ac:dyDescent="0.2">
      <c r="A5200" s="10">
        <v>5139</v>
      </c>
      <c r="D5200" s="2" t="str">
        <f t="shared" si="80"/>
        <v>OK</v>
      </c>
      <c r="E5200" s="4" t="s">
        <v>1914</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978938</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5063472</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458728</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76549</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535277</v>
      </c>
      <c r="C5246" s="2" t="s">
        <v>572</v>
      </c>
      <c r="D5246" s="2" t="str">
        <f t="shared" si="80"/>
        <v>Error?</v>
      </c>
    </row>
    <row r="5247" spans="1:4" x14ac:dyDescent="0.2">
      <c r="A5247" s="5">
        <v>5186</v>
      </c>
      <c r="B5247" s="138">
        <f>'Revenues 9-14'!C200</f>
        <v>298564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1914</v>
      </c>
    </row>
    <row r="5255" spans="1:5" x14ac:dyDescent="0.2">
      <c r="A5255" s="5">
        <v>5194</v>
      </c>
      <c r="B5255" s="138">
        <f>'Revenues 9-14'!C202</f>
        <v>0</v>
      </c>
      <c r="D5255" s="2" t="str">
        <f t="shared" si="81"/>
        <v>Error?</v>
      </c>
    </row>
    <row r="5256" spans="1:5" x14ac:dyDescent="0.2">
      <c r="A5256" s="5">
        <v>5195</v>
      </c>
      <c r="B5256" s="138">
        <f>'Revenues 9-14'!C206</f>
        <v>12050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298564</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7979</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10685</v>
      </c>
      <c r="D5278" s="2" t="str">
        <f t="shared" si="81"/>
        <v>Error?</v>
      </c>
    </row>
    <row r="5279" spans="1:4" x14ac:dyDescent="0.2">
      <c r="A5279" s="5">
        <v>5218</v>
      </c>
      <c r="B5279" s="138">
        <f>'Revenues 9-14'!C214</f>
        <v>130868</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149532</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27745</v>
      </c>
      <c r="D5312" s="2" t="str">
        <f t="shared" si="82"/>
        <v>Error?</v>
      </c>
    </row>
    <row r="5313" spans="1:5" x14ac:dyDescent="0.2">
      <c r="A5313" s="10">
        <v>5252</v>
      </c>
      <c r="D5313" s="2" t="str">
        <f t="shared" si="82"/>
        <v>OK</v>
      </c>
      <c r="E5313" s="4" t="s">
        <v>1914</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1372862</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1372862</v>
      </c>
      <c r="C5326" s="2" t="s">
        <v>572</v>
      </c>
      <c r="D5326" s="2" t="str">
        <f t="shared" si="82"/>
        <v>Error?</v>
      </c>
    </row>
    <row r="5327" spans="1:5" x14ac:dyDescent="0.2">
      <c r="A5327" s="5">
        <v>5266</v>
      </c>
      <c r="B5327" s="138">
        <f>'Revenues 9-14'!C268</f>
        <v>42611827</v>
      </c>
      <c r="C5327" s="2" t="s">
        <v>572</v>
      </c>
      <c r="D5327" s="2" t="str">
        <f t="shared" si="82"/>
        <v>Error?</v>
      </c>
    </row>
    <row r="5328" spans="1:5" x14ac:dyDescent="0.2">
      <c r="A5328" s="5">
        <v>5267</v>
      </c>
      <c r="B5328" s="138">
        <f>'Revenues 9-14'!D5</f>
        <v>3555917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3555917</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340510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340510</v>
      </c>
      <c r="C5339" s="2" t="s">
        <v>572</v>
      </c>
      <c r="D5339" s="2" t="str">
        <f t="shared" si="82"/>
        <v>Error?</v>
      </c>
    </row>
    <row r="5340" spans="1:4" x14ac:dyDescent="0.2">
      <c r="A5340" s="5">
        <v>5279</v>
      </c>
      <c r="B5340" s="138">
        <f>'Revenues 9-14'!D65</f>
        <v>78022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78022</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24906</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102319</v>
      </c>
      <c r="D5354" s="2" t="str">
        <f t="shared" si="82"/>
        <v>Error?</v>
      </c>
    </row>
    <row r="5355" spans="1:4" x14ac:dyDescent="0.2">
      <c r="A5355" s="5">
        <v>5294</v>
      </c>
      <c r="B5355" s="138">
        <f>'Revenues 9-14'!D108</f>
        <v>251413</v>
      </c>
      <c r="C5355" s="2" t="s">
        <v>572</v>
      </c>
      <c r="D5355" s="2" t="str">
        <f t="shared" si="82"/>
        <v>Error?</v>
      </c>
    </row>
    <row r="5356" spans="1:4" x14ac:dyDescent="0.2">
      <c r="A5356" s="5">
        <v>5295</v>
      </c>
      <c r="B5356" s="138">
        <f>'Revenues 9-14'!D109</f>
        <v>4225862</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1914</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4225862</v>
      </c>
      <c r="C5508" s="2" t="s">
        <v>572</v>
      </c>
      <c r="D5508" s="2" t="str">
        <f t="shared" si="85"/>
        <v>Error?</v>
      </c>
    </row>
    <row r="5509" spans="1:4" x14ac:dyDescent="0.2">
      <c r="A5509" s="5">
        <v>5448</v>
      </c>
      <c r="B5509" s="138">
        <f>'Revenues 9-14'!E5</f>
        <v>7542975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7542975</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84324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84324</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7627299</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7627299</v>
      </c>
      <c r="C5552" s="2" t="s">
        <v>572</v>
      </c>
      <c r="D5552" s="2" t="str">
        <f t="shared" si="85"/>
        <v>Error?</v>
      </c>
    </row>
    <row r="5553" spans="1:4" x14ac:dyDescent="0.2">
      <c r="A5553" s="5">
        <v>5492</v>
      </c>
      <c r="B5553" s="138">
        <f>'Revenues 9-14'!F5</f>
        <v>2278753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2278753</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22486</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22486</v>
      </c>
      <c r="C5579" s="2" t="s">
        <v>572</v>
      </c>
      <c r="D5579" s="2" t="str">
        <f t="shared" si="86"/>
        <v>Error?</v>
      </c>
    </row>
    <row r="5580" spans="1:4" x14ac:dyDescent="0.2">
      <c r="A5580" s="5">
        <v>5519</v>
      </c>
      <c r="B5580" s="138">
        <f>'Revenues 9-14'!F65</f>
        <v>30490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30490</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572</v>
      </c>
      <c r="D5587" s="2" t="str">
        <f t="shared" si="86"/>
        <v>Error?</v>
      </c>
    </row>
    <row r="5588" spans="1:4" x14ac:dyDescent="0.2">
      <c r="A5588" s="5">
        <v>5527</v>
      </c>
      <c r="B5588" s="138">
        <f>'Revenues 9-14'!F109</f>
        <v>2331729</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589696</v>
      </c>
      <c r="D5615" s="2" t="str">
        <f t="shared" si="86"/>
        <v>Error?</v>
      </c>
    </row>
    <row r="5616" spans="1:4" x14ac:dyDescent="0.2">
      <c r="A5616" s="10">
        <v>5555</v>
      </c>
      <c r="D5616" s="2" t="str">
        <f t="shared" si="86"/>
        <v>OK</v>
      </c>
    </row>
    <row r="5617" spans="1:5" x14ac:dyDescent="0.2">
      <c r="A5617" s="5">
        <v>5556</v>
      </c>
      <c r="B5617" s="138">
        <f>'Revenues 9-14'!F153</f>
        <v>834422</v>
      </c>
      <c r="D5617" s="2" t="str">
        <f t="shared" si="86"/>
        <v>Error?</v>
      </c>
    </row>
    <row r="5618" spans="1:5" x14ac:dyDescent="0.2">
      <c r="A5618" s="5">
        <v>5557</v>
      </c>
      <c r="B5618" s="138">
        <f>'Revenues 9-14'!F155</f>
        <v>1424118</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1914</v>
      </c>
    </row>
    <row r="5631" spans="1:5" x14ac:dyDescent="0.2">
      <c r="A5631" s="10">
        <v>5570</v>
      </c>
      <c r="D5631" s="2" t="str">
        <f t="shared" ref="D5631:D5694" si="87">IF(ISBLANK(B5631),"OK",IF(A5631-B5631=0,"OK","Error?"))</f>
        <v>OK</v>
      </c>
      <c r="E5631" s="4" t="s">
        <v>1914</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1424118</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1424118</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1914</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1914</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3755847</v>
      </c>
      <c r="C5720" s="2" t="s">
        <v>572</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410214</v>
      </c>
      <c r="D5723" s="2" t="str">
        <f t="shared" si="88"/>
        <v>Error?</v>
      </c>
    </row>
    <row r="5724" spans="1:4" x14ac:dyDescent="0.2">
      <c r="A5724" s="5">
        <v>5663</v>
      </c>
      <c r="B5724" s="138">
        <f>'Revenues 9-14'!G11</f>
        <v>83617</v>
      </c>
      <c r="D5724" s="2" t="str">
        <f t="shared" si="88"/>
        <v>Error?</v>
      </c>
    </row>
    <row r="5725" spans="1:4" x14ac:dyDescent="0.2">
      <c r="A5725" s="5">
        <v>5664</v>
      </c>
      <c r="B5725" s="138">
        <f>'Revenues 9-14'!G12</f>
        <v>493831</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572</v>
      </c>
      <c r="D5730" s="2" t="str">
        <f t="shared" si="88"/>
        <v>Error?</v>
      </c>
    </row>
    <row r="5731" spans="1:4" x14ac:dyDescent="0.2">
      <c r="A5731" s="5">
        <v>5670</v>
      </c>
      <c r="B5731" s="138">
        <f>'Revenues 9-14'!G65</f>
        <v>64582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64582</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1914</v>
      </c>
    </row>
    <row r="5768" spans="1:5" x14ac:dyDescent="0.2">
      <c r="A5768" s="10">
        <v>5707</v>
      </c>
      <c r="D5768" s="2" t="str">
        <f t="shared" si="89"/>
        <v>OK</v>
      </c>
      <c r="E5768" s="4" t="s">
        <v>1914</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1914</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1914</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558413</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2516</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2516</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2516</v>
      </c>
      <c r="C5915" s="2" t="s">
        <v>572</v>
      </c>
      <c r="D5915" s="2" t="str">
        <f t="shared" si="91"/>
        <v>Error?</v>
      </c>
    </row>
    <row r="5916" spans="1:4" x14ac:dyDescent="0.2">
      <c r="A5916" s="5">
        <v>5855</v>
      </c>
      <c r="B5916" s="138">
        <f>'Revenues 9-14'!I5</f>
        <v>45199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45199</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342626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342626</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387825</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0</v>
      </c>
      <c r="C6023" s="2" t="s">
        <v>572</v>
      </c>
      <c r="D6023" s="2" t="str">
        <f t="shared" si="93"/>
        <v>Error?</v>
      </c>
    </row>
    <row r="6024" spans="1:5" x14ac:dyDescent="0.2">
      <c r="A6024" s="5">
        <v>5963</v>
      </c>
      <c r="B6024" s="138">
        <f>'Revenues 9-14'!G109</f>
        <v>558413</v>
      </c>
      <c r="C6024" s="2" t="s">
        <v>572</v>
      </c>
      <c r="D6024" s="2" t="str">
        <f t="shared" si="93"/>
        <v>Error?</v>
      </c>
    </row>
    <row r="6025" spans="1:5" x14ac:dyDescent="0.2">
      <c r="A6025" s="5">
        <v>5964</v>
      </c>
      <c r="B6025" s="138">
        <f>'Revenues 9-14'!H109</f>
        <v>2516</v>
      </c>
      <c r="C6025" s="2" t="s">
        <v>572</v>
      </c>
      <c r="D6025" s="2" t="str">
        <f t="shared" si="93"/>
        <v>Error?</v>
      </c>
    </row>
    <row r="6026" spans="1:5" x14ac:dyDescent="0.2">
      <c r="A6026" s="5">
        <v>5965</v>
      </c>
      <c r="B6026" s="138">
        <f>'Revenues 9-14'!I109</f>
        <v>387825</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0</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414641</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94491</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3810.4</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864128</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864128</v>
      </c>
      <c r="D6215" s="2" t="str">
        <f t="shared" si="96"/>
        <v>Error?</v>
      </c>
      <c r="E6215" s="2" t="s">
        <v>190</v>
      </c>
    </row>
    <row r="6216" spans="1:5" x14ac:dyDescent="0.2">
      <c r="A6216">
        <v>6155</v>
      </c>
      <c r="B6216" s="138">
        <f>'Assets-Liab 5-6'!J41</f>
        <v>864128</v>
      </c>
      <c r="D6216" s="2" t="str">
        <f t="shared" si="96"/>
        <v>Error?</v>
      </c>
      <c r="E6216" s="2" t="s">
        <v>190</v>
      </c>
    </row>
    <row r="6217" spans="1:5" x14ac:dyDescent="0.2">
      <c r="A6217">
        <v>6156</v>
      </c>
      <c r="B6217" s="138">
        <f>'Assets-Liab 5-6'!J4</f>
        <v>282053</v>
      </c>
      <c r="D6217" s="2" t="str">
        <f t="shared" si="96"/>
        <v>Error?</v>
      </c>
      <c r="E6217" s="2" t="s">
        <v>190</v>
      </c>
    </row>
    <row r="6218" spans="1:5" x14ac:dyDescent="0.2">
      <c r="A6218">
        <v>6157</v>
      </c>
      <c r="B6218" s="138">
        <f>'Assets-Liab 5-6'!J5</f>
        <v>582075</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247682</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247682</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247682</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351239</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351239</v>
      </c>
      <c r="D6229" s="2" t="str">
        <f t="shared" si="96"/>
        <v>Error?</v>
      </c>
      <c r="E6229" s="2" t="s">
        <v>190</v>
      </c>
    </row>
    <row r="6230" spans="1:5" x14ac:dyDescent="0.2">
      <c r="A6230">
        <v>6169</v>
      </c>
      <c r="B6230" s="138">
        <f>'Acct Summary 7-8'!J20</f>
        <v>-103557</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-103557</v>
      </c>
      <c r="D6263" s="2" t="str">
        <f t="shared" si="96"/>
        <v>Error?</v>
      </c>
      <c r="E6263" s="2" t="s">
        <v>190</v>
      </c>
    </row>
    <row r="6264" spans="1:5" x14ac:dyDescent="0.2">
      <c r="A6264">
        <v>6203</v>
      </c>
      <c r="B6264" s="138">
        <f>'Acct Summary 7-8'!J79</f>
        <v>967685</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864128</v>
      </c>
      <c r="D6266" s="2" t="str">
        <f t="shared" si="96"/>
        <v>Error?</v>
      </c>
      <c r="E6266" s="2" t="s">
        <v>190</v>
      </c>
    </row>
    <row r="6267" spans="1:5" x14ac:dyDescent="0.2">
      <c r="A6267">
        <v>6206</v>
      </c>
      <c r="B6267" s="138">
        <f>'Acct Summary 7-8'!C82</f>
        <v>-151307</v>
      </c>
      <c r="D6267" s="2" t="str">
        <f t="shared" si="96"/>
        <v>Error?</v>
      </c>
      <c r="E6267" s="2" t="s">
        <v>190</v>
      </c>
    </row>
    <row r="6268" spans="1:5" x14ac:dyDescent="0.2">
      <c r="A6268">
        <v>6207</v>
      </c>
      <c r="B6268" s="138">
        <f>'Acct Summary 7-8'!D82</f>
        <v>536970</v>
      </c>
      <c r="D6268" s="2" t="str">
        <f t="shared" si="96"/>
        <v>Error?</v>
      </c>
      <c r="E6268" s="2" t="s">
        <v>190</v>
      </c>
    </row>
    <row r="6269" spans="1:5" x14ac:dyDescent="0.2">
      <c r="A6269">
        <v>6208</v>
      </c>
      <c r="B6269" s="138">
        <f>'Acct Summary 7-8'!E82</f>
        <v>464900</v>
      </c>
      <c r="D6269" s="2" t="str">
        <f t="shared" si="96"/>
        <v>Error?</v>
      </c>
      <c r="E6269" s="2" t="s">
        <v>190</v>
      </c>
    </row>
    <row r="6270" spans="1:5" x14ac:dyDescent="0.2">
      <c r="A6270">
        <v>6209</v>
      </c>
      <c r="B6270" s="138">
        <f>'Acct Summary 7-8'!F82</f>
        <v>272523</v>
      </c>
      <c r="D6270" s="2" t="str">
        <f t="shared" si="96"/>
        <v>Error?</v>
      </c>
      <c r="E6270" s="2" t="s">
        <v>190</v>
      </c>
    </row>
    <row r="6271" spans="1:5" x14ac:dyDescent="0.2">
      <c r="A6271">
        <v>6210</v>
      </c>
      <c r="B6271" s="138">
        <f>'Acct Summary 7-8'!G82</f>
        <v>-878706</v>
      </c>
      <c r="D6271" s="2" t="str">
        <f t="shared" ref="D6271:D6334" si="97">IF(ISBLANK(B6271),"OK",IF(A6271-B6271=0,"OK","Error?"))</f>
        <v>Error?</v>
      </c>
      <c r="E6271" s="2" t="s">
        <v>190</v>
      </c>
    </row>
    <row r="6272" spans="1:5" x14ac:dyDescent="0.2">
      <c r="A6272">
        <v>6211</v>
      </c>
      <c r="B6272" s="138">
        <f>'Acct Summary 7-8'!H82</f>
        <v>10218584</v>
      </c>
      <c r="D6272" s="2" t="str">
        <f t="shared" si="97"/>
        <v>Error?</v>
      </c>
      <c r="E6272" s="2" t="s">
        <v>190</v>
      </c>
    </row>
    <row r="6273" spans="1:5" x14ac:dyDescent="0.2">
      <c r="A6273">
        <v>6212</v>
      </c>
      <c r="B6273" s="138">
        <f>'Acct Summary 7-8'!I82</f>
        <v>380325</v>
      </c>
      <c r="D6273" s="2" t="str">
        <f t="shared" si="97"/>
        <v>Error?</v>
      </c>
      <c r="E6273" s="2" t="s">
        <v>190</v>
      </c>
    </row>
    <row r="6274" spans="1:5" x14ac:dyDescent="0.2">
      <c r="A6274">
        <v>6213</v>
      </c>
      <c r="B6274" s="138">
        <f>'Acct Summary 7-8'!J82</f>
        <v>-103557</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-1.9905822058603556E-2</v>
      </c>
      <c r="D6276" s="2" t="str">
        <f t="shared" si="97"/>
        <v>Error?</v>
      </c>
      <c r="E6276" s="2" t="s">
        <v>190</v>
      </c>
    </row>
    <row r="6277" spans="1:5" x14ac:dyDescent="0.2">
      <c r="A6277">
        <v>6216</v>
      </c>
      <c r="B6277" s="138">
        <f>'Acct Summary 7-8'!D83</f>
        <v>0.11429711118665123</v>
      </c>
      <c r="D6277" s="2" t="str">
        <f t="shared" si="97"/>
        <v>Error?</v>
      </c>
      <c r="E6277" s="2" t="s">
        <v>190</v>
      </c>
    </row>
    <row r="6278" spans="1:5" x14ac:dyDescent="0.2">
      <c r="A6278">
        <v>6217</v>
      </c>
      <c r="B6278" s="138">
        <f>'Acct Summary 7-8'!E83</f>
        <v>9.3691058922587084E-2</v>
      </c>
      <c r="D6278" s="2" t="str">
        <f t="shared" si="97"/>
        <v>Error?</v>
      </c>
      <c r="E6278" s="2" t="s">
        <v>190</v>
      </c>
    </row>
    <row r="6279" spans="1:5" x14ac:dyDescent="0.2">
      <c r="A6279">
        <v>6218</v>
      </c>
      <c r="B6279" s="138">
        <f>'Acct Summary 7-8'!F83</f>
        <v>0.14353884781478574</v>
      </c>
      <c r="D6279" s="2" t="str">
        <f t="shared" si="97"/>
        <v>Error?</v>
      </c>
      <c r="E6279" s="2" t="s">
        <v>190</v>
      </c>
    </row>
    <row r="6280" spans="1:5" x14ac:dyDescent="0.2">
      <c r="A6280">
        <v>6219</v>
      </c>
      <c r="B6280" s="138">
        <f>'Acct Summary 7-8'!G83</f>
        <v>-0.34250039562481827</v>
      </c>
      <c r="D6280" s="2" t="str">
        <f t="shared" si="97"/>
        <v>Error?</v>
      </c>
      <c r="E6280" s="2" t="s">
        <v>190</v>
      </c>
    </row>
    <row r="6281" spans="1:5" x14ac:dyDescent="0.2">
      <c r="A6281">
        <v>6220</v>
      </c>
      <c r="B6281" s="138">
        <f>'Acct Summary 7-8'!H83</f>
        <v>0.98703844728735457</v>
      </c>
      <c r="D6281" s="2" t="str">
        <f t="shared" si="97"/>
        <v>Error?</v>
      </c>
      <c r="E6281" s="2" t="s">
        <v>190</v>
      </c>
    </row>
    <row r="6282" spans="1:5" x14ac:dyDescent="0.2">
      <c r="A6282">
        <v>6221</v>
      </c>
      <c r="B6282" s="138">
        <f>'Acct Summary 7-8'!I83</f>
        <v>2.0389301225824143E-2</v>
      </c>
      <c r="D6282" s="2" t="str">
        <f t="shared" si="97"/>
        <v>Error?</v>
      </c>
      <c r="E6282" s="2" t="s">
        <v>190</v>
      </c>
    </row>
    <row r="6283" spans="1:5" x14ac:dyDescent="0.2">
      <c r="A6283">
        <v>6222</v>
      </c>
      <c r="B6283" s="138">
        <f>'Acct Summary 7-8'!J83</f>
        <v>-0.11983988483187676</v>
      </c>
      <c r="D6283" s="2" t="str">
        <f t="shared" si="97"/>
        <v>Error?</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232148</v>
      </c>
      <c r="D6285" s="2" t="str">
        <f t="shared" si="97"/>
        <v>Error?</v>
      </c>
      <c r="E6285" s="2" t="s">
        <v>190</v>
      </c>
    </row>
    <row r="6286" spans="1:5" x14ac:dyDescent="0.2">
      <c r="A6286">
        <v>6225</v>
      </c>
      <c r="B6286" s="138">
        <f>'Acct Summary 7-8'!E38</f>
        <v>14663</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219621</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219621</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18145</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18145</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124188</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9916</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9916</v>
      </c>
      <c r="D6351" s="2" t="str">
        <f t="shared" si="98"/>
        <v>Error?</v>
      </c>
      <c r="E6351" s="2" t="s">
        <v>190</v>
      </c>
    </row>
    <row r="6352" spans="1:5" x14ac:dyDescent="0.2">
      <c r="A6352">
        <v>6291</v>
      </c>
      <c r="B6352" s="138">
        <f>'Revenues 9-14'!J109</f>
        <v>247682</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1913</v>
      </c>
    </row>
    <row r="6383" spans="1:6" x14ac:dyDescent="0.2">
      <c r="A6383" s="129">
        <v>6322</v>
      </c>
      <c r="D6383" s="2" t="str">
        <f t="shared" si="98"/>
        <v>OK</v>
      </c>
      <c r="E6383" s="2" t="s">
        <v>190</v>
      </c>
      <c r="F6383" s="1" t="s">
        <v>1913</v>
      </c>
    </row>
    <row r="6384" spans="1:6" x14ac:dyDescent="0.2">
      <c r="A6384" s="129">
        <v>6323</v>
      </c>
      <c r="D6384" s="2" t="str">
        <f t="shared" si="98"/>
        <v>OK</v>
      </c>
      <c r="E6384" s="2" t="s">
        <v>190</v>
      </c>
      <c r="F6384" s="1" t="s">
        <v>1913</v>
      </c>
    </row>
    <row r="6385" spans="1:6" x14ac:dyDescent="0.2">
      <c r="A6385" s="129">
        <v>6324</v>
      </c>
      <c r="D6385" s="2" t="str">
        <f t="shared" si="98"/>
        <v>OK</v>
      </c>
      <c r="E6385" s="2" t="s">
        <v>190</v>
      </c>
      <c r="F6385" s="1" t="s">
        <v>1913</v>
      </c>
    </row>
    <row r="6386" spans="1:6" x14ac:dyDescent="0.2">
      <c r="A6386" s="129">
        <v>6325</v>
      </c>
      <c r="D6386" s="2" t="str">
        <f t="shared" si="98"/>
        <v>OK</v>
      </c>
      <c r="E6386" s="2" t="s">
        <v>190</v>
      </c>
      <c r="F6386" s="1" t="s">
        <v>1913</v>
      </c>
    </row>
    <row r="6387" spans="1:6" x14ac:dyDescent="0.2">
      <c r="A6387" s="129">
        <v>6326</v>
      </c>
      <c r="D6387" s="2" t="str">
        <f t="shared" si="98"/>
        <v>OK</v>
      </c>
      <c r="E6387" s="2" t="s">
        <v>190</v>
      </c>
      <c r="F6387" s="1" t="s">
        <v>1913</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1913</v>
      </c>
    </row>
    <row r="6411" spans="1:6" x14ac:dyDescent="0.2">
      <c r="A6411" s="129">
        <v>6350</v>
      </c>
      <c r="D6411" s="2" t="str">
        <f t="shared" si="99"/>
        <v>OK</v>
      </c>
      <c r="E6411" s="2" t="s">
        <v>190</v>
      </c>
      <c r="F6411" s="1" t="s">
        <v>1913</v>
      </c>
    </row>
    <row r="6412" spans="1:6" x14ac:dyDescent="0.2">
      <c r="A6412" s="129">
        <v>6351</v>
      </c>
      <c r="D6412" s="2" t="str">
        <f t="shared" si="99"/>
        <v>OK</v>
      </c>
      <c r="E6412" s="2" t="s">
        <v>190</v>
      </c>
      <c r="F6412" s="1" t="s">
        <v>1913</v>
      </c>
    </row>
    <row r="6413" spans="1:6" x14ac:dyDescent="0.2">
      <c r="A6413" s="129">
        <v>6352</v>
      </c>
      <c r="D6413" s="2" t="str">
        <f t="shared" si="99"/>
        <v>OK</v>
      </c>
      <c r="E6413" s="2" t="s">
        <v>190</v>
      </c>
      <c r="F6413" s="1" t="s">
        <v>1913</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370588</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1913</v>
      </c>
    </row>
    <row r="6842" spans="1:5" x14ac:dyDescent="0.2">
      <c r="A6842" s="129">
        <v>6781</v>
      </c>
      <c r="D6842" s="2" t="str">
        <f t="shared" si="105"/>
        <v>OK</v>
      </c>
      <c r="E6842" s="1" t="s">
        <v>1913</v>
      </c>
    </row>
    <row r="6843" spans="1:5" x14ac:dyDescent="0.2">
      <c r="A6843" s="129">
        <v>6782</v>
      </c>
      <c r="D6843" s="2" t="str">
        <f t="shared" si="105"/>
        <v>OK</v>
      </c>
      <c r="E6843" s="1" t="s">
        <v>1913</v>
      </c>
    </row>
    <row r="6844" spans="1:5" x14ac:dyDescent="0.2">
      <c r="A6844">
        <v>6783</v>
      </c>
      <c r="B6844" s="138">
        <f>'Expenditures 15-22'!I5</f>
        <v>3653</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529297</v>
      </c>
      <c r="D6848" s="2" t="str">
        <f t="shared" si="106"/>
        <v>Error?</v>
      </c>
    </row>
    <row r="6849" spans="1:4" x14ac:dyDescent="0.2">
      <c r="A6849">
        <v>6788</v>
      </c>
      <c r="B6849" s="138">
        <f>'Expenditures 15-22'!I8</f>
        <v>1232</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287215</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11509</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1073815</v>
      </c>
      <c r="D6880" s="2" t="str">
        <f t="shared" si="106"/>
        <v>Error?</v>
      </c>
    </row>
    <row r="6881" spans="1:4" x14ac:dyDescent="0.2">
      <c r="A6881">
        <v>6820</v>
      </c>
      <c r="B6881" s="138">
        <f>'Expenditures 15-22'!K22</f>
        <v>1073815</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16394</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1010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58499</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58499</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58499</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1090716</v>
      </c>
      <c r="D6983" s="2" t="str">
        <f t="shared" si="108"/>
        <v>Error?</v>
      </c>
    </row>
    <row r="6984" spans="1:4" x14ac:dyDescent="0.2">
      <c r="A6984">
        <v>6923</v>
      </c>
      <c r="B6984" s="138">
        <f>'Expenditures 15-22'!K86</f>
        <v>1090716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1090716</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74893</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288645</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288645</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288645</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351239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288645</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247682</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34055</v>
      </c>
      <c r="D7073" s="2" t="str">
        <f t="shared" si="109"/>
        <v>Error?</v>
      </c>
    </row>
    <row r="7074" spans="1:4" x14ac:dyDescent="0.2">
      <c r="A7074">
        <v>7013</v>
      </c>
      <c r="B7074" s="138">
        <f>'Expenditures 15-22'!K216</f>
        <v>34055</v>
      </c>
      <c r="D7074" s="2" t="str">
        <f t="shared" si="109"/>
        <v>Error?</v>
      </c>
    </row>
    <row r="7075" spans="1:4" x14ac:dyDescent="0.2">
      <c r="A7075">
        <v>7014</v>
      </c>
      <c r="B7075" s="138">
        <f>'Expenditures 15-22'!D218</f>
        <v>24207</v>
      </c>
      <c r="D7075" s="2" t="str">
        <f t="shared" si="109"/>
        <v>Error?</v>
      </c>
    </row>
    <row r="7076" spans="1:4" x14ac:dyDescent="0.2">
      <c r="A7076">
        <v>7015</v>
      </c>
      <c r="B7076" s="138">
        <f>'Expenditures 15-22'!K218</f>
        <v>24207</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213061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213061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4776</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4776</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131352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131352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2050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2050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351239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351239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351239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351239</v>
      </c>
      <c r="D7224" s="2" t="str">
        <f t="shared" si="111"/>
        <v>Error?</v>
      </c>
    </row>
    <row r="7225" spans="1:4" x14ac:dyDescent="0.2">
      <c r="A7225">
        <v>7164</v>
      </c>
      <c r="B7225" s="138">
        <f>'Expenditures 15-22'!K343</f>
        <v>-103557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108410</v>
      </c>
      <c r="D7246" s="2" t="str">
        <f t="shared" si="112"/>
        <v>Error?</v>
      </c>
    </row>
    <row r="7247" spans="1:4" x14ac:dyDescent="0.2">
      <c r="A7247">
        <f t="shared" si="113"/>
        <v>7186</v>
      </c>
      <c r="B7247" s="138">
        <f>'Expenditures 15-22'!E7</f>
        <v>16607</v>
      </c>
      <c r="D7247" s="2" t="str">
        <f t="shared" si="112"/>
        <v>Error?</v>
      </c>
    </row>
    <row r="7248" spans="1:4" x14ac:dyDescent="0.2">
      <c r="A7248">
        <f t="shared" si="113"/>
        <v>7187</v>
      </c>
      <c r="B7248" s="138">
        <f>'Expenditures 15-22'!F7</f>
        <v>33692</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233763</v>
      </c>
      <c r="D7251" s="2" t="str">
        <f t="shared" si="112"/>
        <v>Error?</v>
      </c>
    </row>
    <row r="7252" spans="1:4" x14ac:dyDescent="0.2">
      <c r="A7252">
        <f t="shared" si="113"/>
        <v>7191</v>
      </c>
      <c r="B7252" s="138">
        <f>'Expenditures 15-22'!D9</f>
        <v>51878</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1574</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363538</v>
      </c>
      <c r="D7624" s="2" t="str">
        <f t="shared" si="124"/>
        <v>Error?</v>
      </c>
      <c r="E7624" s="2" t="s">
        <v>19</v>
      </c>
    </row>
    <row r="7625" spans="1:5" x14ac:dyDescent="0.2">
      <c r="A7625">
        <f t="shared" si="123"/>
        <v>7564</v>
      </c>
      <c r="B7625" s="138">
        <f>'Cap Outlay Deprec 26'!I17</f>
        <v>36353.800000000003</v>
      </c>
      <c r="D7625" s="2" t="str">
        <f t="shared" si="124"/>
        <v>Error?</v>
      </c>
      <c r="E7625" s="2" t="s">
        <v>19</v>
      </c>
    </row>
    <row r="7626" spans="1:5" x14ac:dyDescent="0.2">
      <c r="A7626">
        <f t="shared" si="123"/>
        <v>7565</v>
      </c>
      <c r="D7626" s="2" t="str">
        <f t="shared" si="124"/>
        <v>OK</v>
      </c>
      <c r="E7626" s="4" t="s">
        <v>1321</v>
      </c>
    </row>
    <row r="7627" spans="1:5" x14ac:dyDescent="0.2">
      <c r="A7627">
        <f t="shared" si="123"/>
        <v>7566</v>
      </c>
      <c r="D7627" s="2" t="str">
        <f t="shared" si="124"/>
        <v>OK</v>
      </c>
      <c r="E7627" s="4" t="s">
        <v>1321</v>
      </c>
    </row>
    <row r="7628" spans="1:5" x14ac:dyDescent="0.2">
      <c r="A7628">
        <f t="shared" si="123"/>
        <v>7567</v>
      </c>
      <c r="D7628" s="2" t="str">
        <f t="shared" si="124"/>
        <v>OK</v>
      </c>
      <c r="E7628" s="2" t="s">
        <v>19</v>
      </c>
    </row>
    <row r="7629" spans="1:5" x14ac:dyDescent="0.2">
      <c r="A7629">
        <f t="shared" si="123"/>
        <v>7568</v>
      </c>
      <c r="D7629" s="2" t="str">
        <f t="shared" si="124"/>
        <v>OK</v>
      </c>
      <c r="E7629" s="4" t="s">
        <v>1321</v>
      </c>
    </row>
    <row r="7630" spans="1:5" x14ac:dyDescent="0.2">
      <c r="A7630">
        <f t="shared" ref="A7630:A7650" si="125">A7629+1</f>
        <v>7569</v>
      </c>
      <c r="D7630" s="2" t="str">
        <f t="shared" si="124"/>
        <v>OK</v>
      </c>
      <c r="E7630" s="4" t="s">
        <v>1321</v>
      </c>
    </row>
    <row r="7631" spans="1:5" x14ac:dyDescent="0.2">
      <c r="A7631">
        <f t="shared" si="125"/>
        <v>7570</v>
      </c>
      <c r="B7631" s="138">
        <f>'Cap Outlay Deprec 26'!I18</f>
        <v>2174201.7999999998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1321</v>
      </c>
    </row>
    <row r="7634" spans="1:6" x14ac:dyDescent="0.2">
      <c r="A7634">
        <f t="shared" si="125"/>
        <v>7573</v>
      </c>
      <c r="D7634" s="2" t="str">
        <f t="shared" si="124"/>
        <v>OK</v>
      </c>
      <c r="E7634" s="4" t="s">
        <v>1321</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232148</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14663</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346445</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1321</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1320</v>
      </c>
    </row>
    <row r="7749" spans="1:6" x14ac:dyDescent="0.2">
      <c r="A7749">
        <v>7688</v>
      </c>
      <c r="B7749" s="138">
        <f>'Acct Summary 7-8'!D25</f>
        <v>0</v>
      </c>
      <c r="D7749" s="2" t="str">
        <f t="shared" si="127"/>
        <v>Error?</v>
      </c>
      <c r="E7749" s="4" t="s">
        <v>1320</v>
      </c>
    </row>
    <row r="7750" spans="1:6" x14ac:dyDescent="0.2">
      <c r="A7750">
        <v>7689</v>
      </c>
      <c r="B7750" s="138">
        <f>'Acct Summary 7-8'!E25</f>
        <v>0</v>
      </c>
      <c r="D7750" s="2" t="str">
        <f t="shared" si="127"/>
        <v>Error?</v>
      </c>
      <c r="E7750" s="4" t="s">
        <v>1320</v>
      </c>
    </row>
    <row r="7751" spans="1:6" x14ac:dyDescent="0.2">
      <c r="A7751">
        <v>7690</v>
      </c>
      <c r="B7751" s="138">
        <f>'Acct Summary 7-8'!F25</f>
        <v>0</v>
      </c>
      <c r="D7751" s="2" t="str">
        <f t="shared" si="127"/>
        <v>Error?</v>
      </c>
      <c r="E7751" s="4" t="s">
        <v>1320</v>
      </c>
    </row>
    <row r="7752" spans="1:6" x14ac:dyDescent="0.2">
      <c r="A7752">
        <v>7691</v>
      </c>
      <c r="B7752" s="138">
        <f>'Acct Summary 7-8'!G25</f>
        <v>0</v>
      </c>
      <c r="D7752" s="2" t="str">
        <f t="shared" si="127"/>
        <v>Error?</v>
      </c>
      <c r="E7752" s="4" t="s">
        <v>1320</v>
      </c>
    </row>
    <row r="7753" spans="1:6" x14ac:dyDescent="0.2">
      <c r="A7753">
        <v>7692</v>
      </c>
      <c r="B7753" s="138">
        <f>'Acct Summary 7-8'!H25</f>
        <v>1511732</v>
      </c>
      <c r="D7753" s="2" t="str">
        <f t="shared" si="127"/>
        <v>Error?</v>
      </c>
      <c r="E7753" s="4" t="s">
        <v>1320</v>
      </c>
    </row>
    <row r="7754" spans="1:6" x14ac:dyDescent="0.2">
      <c r="A7754">
        <v>7693</v>
      </c>
      <c r="B7754" s="138">
        <f>'Acct Summary 7-8'!J25</f>
        <v>0</v>
      </c>
      <c r="D7754" s="2" t="str">
        <f t="shared" si="127"/>
        <v>Error?</v>
      </c>
      <c r="E7754" s="4" t="s">
        <v>1320</v>
      </c>
    </row>
    <row r="7755" spans="1:6" x14ac:dyDescent="0.2">
      <c r="A7755">
        <v>7694</v>
      </c>
      <c r="B7755" s="138">
        <f>'Acct Summary 7-8'!K25</f>
        <v>0</v>
      </c>
      <c r="D7755" s="2" t="str">
        <f t="shared" si="127"/>
        <v>Error?</v>
      </c>
      <c r="E7755" s="4" t="s">
        <v>1320</v>
      </c>
    </row>
    <row r="7756" spans="1:6" x14ac:dyDescent="0.2">
      <c r="A7756">
        <v>7695</v>
      </c>
      <c r="B7756" s="138">
        <f>'Aud Quest 2'!E85</f>
        <v>0</v>
      </c>
      <c r="D7756" s="2" t="str">
        <f t="shared" si="127"/>
        <v>Error?</v>
      </c>
      <c r="E7756" s="4" t="s">
        <v>1320</v>
      </c>
      <c r="F7756" t="s">
        <v>1432</v>
      </c>
    </row>
    <row r="7757" spans="1:6" x14ac:dyDescent="0.2">
      <c r="A7757">
        <v>7696</v>
      </c>
      <c r="B7757" s="138">
        <f>'Aud Quest 2'!E87</f>
        <v>0</v>
      </c>
      <c r="D7757" s="2" t="str">
        <f t="shared" si="127"/>
        <v>Error?</v>
      </c>
      <c r="E7757" s="4" t="s">
        <v>1320</v>
      </c>
      <c r="F7757" t="s">
        <v>1432</v>
      </c>
    </row>
    <row r="7758" spans="1:6" x14ac:dyDescent="0.2">
      <c r="A7758">
        <v>7697</v>
      </c>
      <c r="B7758" s="138">
        <f>'Aud Quest 2'!J85</f>
        <v>0</v>
      </c>
      <c r="D7758" s="2" t="str">
        <f t="shared" si="127"/>
        <v>Error?</v>
      </c>
      <c r="E7758" s="4" t="s">
        <v>1320</v>
      </c>
    </row>
    <row r="7759" spans="1:6" x14ac:dyDescent="0.2">
      <c r="A7759">
        <v>7698</v>
      </c>
      <c r="B7759" s="138">
        <f>'Aud Quest 2'!J88</f>
        <v>0</v>
      </c>
      <c r="D7759" s="2" t="str">
        <f t="shared" si="127"/>
        <v>Error?</v>
      </c>
      <c r="E7759" s="4" t="s">
        <v>1320</v>
      </c>
    </row>
    <row r="7760" spans="1:6" x14ac:dyDescent="0.2">
      <c r="A7760">
        <v>7699</v>
      </c>
      <c r="B7760" s="138">
        <f>'Aud Quest 2'!J90</f>
        <v>0</v>
      </c>
      <c r="D7760" s="2" t="str">
        <f t="shared" si="127"/>
        <v>Error?</v>
      </c>
      <c r="E7760" s="4" t="s">
        <v>1320</v>
      </c>
    </row>
    <row r="7761" spans="1:5" x14ac:dyDescent="0.2">
      <c r="A7761">
        <v>7700</v>
      </c>
      <c r="B7761" s="138">
        <f>'Revenues 9-14'!C253</f>
        <v>0</v>
      </c>
      <c r="D7761" s="2" t="str">
        <f t="shared" si="127"/>
        <v>Error?</v>
      </c>
      <c r="E7761" s="4" t="s">
        <v>1409</v>
      </c>
    </row>
    <row r="7762" spans="1:5" x14ac:dyDescent="0.2">
      <c r="A7762">
        <v>7701</v>
      </c>
      <c r="B7762" s="138">
        <f>'Expenditures 15-22'!E6</f>
        <v>0</v>
      </c>
      <c r="D7762" s="2" t="str">
        <f t="shared" si="127"/>
        <v>Error?</v>
      </c>
      <c r="E7762" s="4" t="s">
        <v>1419</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1447</v>
      </c>
    </row>
    <row r="7765" spans="1:5" x14ac:dyDescent="0.2">
      <c r="A7765">
        <v>7704</v>
      </c>
      <c r="B7765" s="138">
        <f>'Revenues 9-14'!C254</f>
        <v>0</v>
      </c>
      <c r="D7765" s="2" t="str">
        <f t="shared" si="127"/>
        <v>Error?</v>
      </c>
      <c r="E7765" s="4" t="s">
        <v>1451</v>
      </c>
    </row>
    <row r="7766" spans="1:5" x14ac:dyDescent="0.2">
      <c r="A7766">
        <v>7705</v>
      </c>
      <c r="B7766" s="138">
        <f>'Revenues 9-14'!D254</f>
        <v>0</v>
      </c>
      <c r="D7766" s="2" t="str">
        <f t="shared" si="127"/>
        <v>Error?</v>
      </c>
      <c r="E7766" s="4" t="s">
        <v>1451</v>
      </c>
    </row>
    <row r="7767" spans="1:5" x14ac:dyDescent="0.2">
      <c r="A7767" s="129">
        <v>7706</v>
      </c>
      <c r="E7767" s="4"/>
    </row>
    <row r="7768" spans="1:5" x14ac:dyDescent="0.2">
      <c r="A7768">
        <v>7707</v>
      </c>
      <c r="B7768" s="138">
        <f>'Revenues 9-14'!F254</f>
        <v>0</v>
      </c>
      <c r="D7768" s="2" t="str">
        <f t="shared" si="127"/>
        <v>Error?</v>
      </c>
      <c r="E7768" s="4" t="s">
        <v>1451</v>
      </c>
    </row>
    <row r="7769" spans="1:5" x14ac:dyDescent="0.2">
      <c r="A7769">
        <v>7708</v>
      </c>
      <c r="B7769" s="138">
        <f>'Revenues 9-14'!G254</f>
        <v>0</v>
      </c>
      <c r="D7769" s="2" t="str">
        <f t="shared" si="127"/>
        <v>Error?</v>
      </c>
      <c r="E7769" s="4" t="s">
        <v>1451</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1452</v>
      </c>
    </row>
    <row r="7773" spans="1:5" x14ac:dyDescent="0.2">
      <c r="A7773">
        <v>7712</v>
      </c>
      <c r="B7773" s="138">
        <f>'Rest Tax Levies-Tort Im 25'!J22</f>
        <v>0</v>
      </c>
      <c r="D7773" s="2" t="str">
        <f t="shared" si="127"/>
        <v>Error?</v>
      </c>
      <c r="E7773" s="4" t="s">
        <v>1540</v>
      </c>
    </row>
    <row r="7774" spans="1:5" x14ac:dyDescent="0.2">
      <c r="A7774">
        <v>7713</v>
      </c>
      <c r="B7774" s="138">
        <f>'Expenditures 15-22'!E133</f>
        <v>0</v>
      </c>
      <c r="D7774" s="2" t="str">
        <f t="shared" si="127"/>
        <v>Error?</v>
      </c>
      <c r="E7774" s="4" t="s">
        <v>1829</v>
      </c>
    </row>
    <row r="7775" spans="1:5" x14ac:dyDescent="0.2">
      <c r="A7775">
        <v>7714</v>
      </c>
      <c r="B7775" s="138">
        <f>'Expenditures 15-22'!H133</f>
        <v>0</v>
      </c>
      <c r="D7775" s="2" t="str">
        <f t="shared" si="127"/>
        <v>Error?</v>
      </c>
      <c r="E7775" s="4" t="s">
        <v>1829</v>
      </c>
    </row>
    <row r="7776" spans="1:5" x14ac:dyDescent="0.2">
      <c r="A7776">
        <v>7715</v>
      </c>
      <c r="B7776" s="138">
        <f>'Expenditures 15-22'!K133</f>
        <v>0</v>
      </c>
      <c r="D7776" s="2" t="str">
        <f t="shared" si="127"/>
        <v>Error?</v>
      </c>
      <c r="E7776" s="4" t="s">
        <v>1829</v>
      </c>
    </row>
    <row r="7777" spans="1:5" x14ac:dyDescent="0.2">
      <c r="A7777">
        <v>7716</v>
      </c>
      <c r="B7777" s="138">
        <f>'Expenditures 15-22'!H157</f>
        <v>0</v>
      </c>
      <c r="D7777" s="2" t="str">
        <f t="shared" si="127"/>
        <v>Error?</v>
      </c>
      <c r="E7777" s="4" t="s">
        <v>1829</v>
      </c>
    </row>
    <row r="7778" spans="1:5" x14ac:dyDescent="0.2">
      <c r="A7778">
        <v>7717</v>
      </c>
      <c r="B7778" s="138">
        <f>'Expenditures 15-22'!K157</f>
        <v>0</v>
      </c>
      <c r="D7778" s="2" t="str">
        <f t="shared" si="127"/>
        <v>Error?</v>
      </c>
      <c r="E7778" s="4" t="s">
        <v>1829</v>
      </c>
    </row>
    <row r="7779" spans="1:5" x14ac:dyDescent="0.2">
      <c r="A7779">
        <v>7718</v>
      </c>
      <c r="B7779" s="138">
        <f>'Expenditures 15-22'!H158</f>
        <v>0</v>
      </c>
      <c r="D7779" s="2" t="str">
        <f t="shared" si="127"/>
        <v>Error?</v>
      </c>
      <c r="E7779" s="4" t="s">
        <v>1829</v>
      </c>
    </row>
    <row r="7780" spans="1:5" x14ac:dyDescent="0.2">
      <c r="A7780">
        <v>7719</v>
      </c>
      <c r="B7780" s="138">
        <f>'Expenditures 15-22'!K158</f>
        <v>0</v>
      </c>
      <c r="D7780" s="2" t="str">
        <f t="shared" si="127"/>
        <v>Error?</v>
      </c>
      <c r="E7780" s="4" t="s">
        <v>1829</v>
      </c>
    </row>
    <row r="7781" spans="1:5" x14ac:dyDescent="0.2">
      <c r="A7781">
        <v>7720</v>
      </c>
      <c r="B7781" s="138">
        <f>'Expenditures 15-22'!H159</f>
        <v>0</v>
      </c>
      <c r="D7781" s="2" t="str">
        <f t="shared" si="127"/>
        <v>Error?</v>
      </c>
      <c r="E7781" s="4" t="s">
        <v>1829</v>
      </c>
    </row>
    <row r="7782" spans="1:5" x14ac:dyDescent="0.2">
      <c r="A7782">
        <v>7721</v>
      </c>
      <c r="B7782" s="138">
        <f>'Expenditures 15-22'!K159</f>
        <v>0</v>
      </c>
      <c r="D7782" s="2" t="str">
        <f t="shared" si="127"/>
        <v>Error?</v>
      </c>
      <c r="E7782" s="4" t="s">
        <v>1829</v>
      </c>
    </row>
    <row r="7783" spans="1:5" x14ac:dyDescent="0.2">
      <c r="A7783">
        <v>7722</v>
      </c>
      <c r="B7783" s="138">
        <f>'Expenditures 15-22'!D282</f>
        <v>0</v>
      </c>
      <c r="D7783" s="2" t="str">
        <f t="shared" si="127"/>
        <v>Error?</v>
      </c>
      <c r="E7783" s="4" t="s">
        <v>1829</v>
      </c>
    </row>
    <row r="7784" spans="1:5" x14ac:dyDescent="0.2">
      <c r="A7784">
        <v>7723</v>
      </c>
      <c r="B7784" s="138">
        <f>'Expenditures 15-22'!K282</f>
        <v>0</v>
      </c>
      <c r="D7784" s="2" t="str">
        <f t="shared" si="127"/>
        <v>Error?</v>
      </c>
      <c r="E7784" s="4" t="s">
        <v>1829</v>
      </c>
    </row>
    <row r="7785" spans="1:5" x14ac:dyDescent="0.2">
      <c r="A7785">
        <v>7724</v>
      </c>
      <c r="B7785" s="138">
        <f>'Expenditures 15-22'!H332</f>
        <v>0</v>
      </c>
      <c r="D7785" s="2" t="str">
        <f t="shared" si="127"/>
        <v>Error?</v>
      </c>
      <c r="E7785" s="4" t="s">
        <v>1829</v>
      </c>
    </row>
    <row r="7786" spans="1:5" x14ac:dyDescent="0.2">
      <c r="A7786">
        <v>7725</v>
      </c>
      <c r="B7786" s="138">
        <f>'Expenditures 15-22'!K332</f>
        <v>0</v>
      </c>
      <c r="D7786" s="2" t="str">
        <f t="shared" si="127"/>
        <v>Error?</v>
      </c>
      <c r="E7786" s="4" t="s">
        <v>1829</v>
      </c>
    </row>
    <row r="7787" spans="1:5" x14ac:dyDescent="0.2">
      <c r="A7787">
        <v>7726</v>
      </c>
      <c r="B7787" s="138">
        <f>'Expenditures 15-22'!H333</f>
        <v>0</v>
      </c>
      <c r="D7787" s="2" t="str">
        <f t="shared" si="127"/>
        <v>Error?</v>
      </c>
      <c r="E7787" s="4" t="s">
        <v>1829</v>
      </c>
    </row>
    <row r="7788" spans="1:5" x14ac:dyDescent="0.2">
      <c r="A7788">
        <v>7727</v>
      </c>
      <c r="B7788" s="138">
        <f>'Expenditures 15-22'!K333</f>
        <v>0</v>
      </c>
      <c r="D7788" s="2" t="str">
        <f t="shared" si="127"/>
        <v>Error?</v>
      </c>
      <c r="E7788" s="4" t="s">
        <v>1829</v>
      </c>
    </row>
    <row r="7789" spans="1:5" x14ac:dyDescent="0.2">
      <c r="A7789">
        <v>7728</v>
      </c>
      <c r="B7789" s="138">
        <f>'Expenditures 15-22'!H334</f>
        <v>0</v>
      </c>
      <c r="D7789" s="2" t="str">
        <f t="shared" si="127"/>
        <v>Error?</v>
      </c>
      <c r="E7789" s="4" t="s">
        <v>1829</v>
      </c>
    </row>
    <row r="7790" spans="1:5" x14ac:dyDescent="0.2">
      <c r="A7790">
        <v>7729</v>
      </c>
      <c r="B7790" s="138">
        <f>'Expenditures 15-22'!K334</f>
        <v>0</v>
      </c>
      <c r="D7790" s="2" t="str">
        <f t="shared" si="127"/>
        <v>Error?</v>
      </c>
      <c r="E7790" s="4" t="s">
        <v>1829</v>
      </c>
    </row>
    <row r="7791" spans="1:5" x14ac:dyDescent="0.2">
      <c r="A7791">
        <v>7730</v>
      </c>
      <c r="B7791" s="138">
        <f>'Expenditures 15-22'!H354</f>
        <v>0</v>
      </c>
      <c r="D7791" s="2" t="str">
        <f t="shared" si="127"/>
        <v>Error?</v>
      </c>
      <c r="E7791" s="4" t="s">
        <v>1829</v>
      </c>
    </row>
    <row r="7792" spans="1:5" x14ac:dyDescent="0.2">
      <c r="A7792">
        <v>7731</v>
      </c>
      <c r="B7792" s="138">
        <f>'Expenditures 15-22'!K354</f>
        <v>0</v>
      </c>
      <c r="D7792" s="2" t="str">
        <f t="shared" si="127"/>
        <v>Error?</v>
      </c>
      <c r="E7792" s="4" t="s">
        <v>1829</v>
      </c>
    </row>
    <row r="7793" spans="1:5" x14ac:dyDescent="0.2">
      <c r="A7793">
        <v>7732</v>
      </c>
      <c r="B7793" s="138">
        <f>'Expenditures 15-22'!H355</f>
        <v>0</v>
      </c>
      <c r="D7793" s="2" t="str">
        <f t="shared" si="127"/>
        <v>Error?</v>
      </c>
      <c r="E7793" s="4" t="s">
        <v>1829</v>
      </c>
    </row>
    <row r="7794" spans="1:5" x14ac:dyDescent="0.2">
      <c r="A7794">
        <v>7733</v>
      </c>
      <c r="B7794" s="138">
        <f>'Expenditures 15-22'!K355</f>
        <v>0</v>
      </c>
      <c r="D7794" s="2" t="str">
        <f t="shared" si="127"/>
        <v>Error?</v>
      </c>
      <c r="E7794" s="4" t="s">
        <v>1829</v>
      </c>
    </row>
    <row r="7795" spans="1:5" x14ac:dyDescent="0.2">
      <c r="A7795">
        <v>7734</v>
      </c>
      <c r="B7795" s="138">
        <f>'Expenditures 15-22'!E138</f>
        <v>0</v>
      </c>
      <c r="D7795" s="2" t="str">
        <f t="shared" si="127"/>
        <v>Error?</v>
      </c>
      <c r="E7795" s="4" t="s">
        <v>1829</v>
      </c>
    </row>
    <row r="7796" spans="1:5" x14ac:dyDescent="0.2">
      <c r="A7796">
        <v>7735</v>
      </c>
      <c r="B7796" s="138">
        <f>'Acct Summary 7-8'!J15</f>
        <v>0</v>
      </c>
      <c r="D7796" s="2" t="str">
        <f t="shared" si="127"/>
        <v>Error?</v>
      </c>
      <c r="E7796" s="4" t="s">
        <v>1829</v>
      </c>
    </row>
    <row r="7797" spans="1:5" x14ac:dyDescent="0.2">
      <c r="A7797">
        <v>7736</v>
      </c>
      <c r="B7797" s="138">
        <f>'Contracts Paid in CY 29'!D141</f>
        <v>4885041</v>
      </c>
      <c r="D7797" s="2" t="str">
        <f t="shared" si="127"/>
        <v>Error?</v>
      </c>
      <c r="E7797" s="4" t="s">
        <v>1878</v>
      </c>
    </row>
    <row r="7798" spans="1:5" x14ac:dyDescent="0.2">
      <c r="A7798">
        <v>7737</v>
      </c>
      <c r="B7798" s="138">
        <f>'Contracts Paid in CY 29'!F141</f>
        <v>500000</v>
      </c>
      <c r="D7798" s="2" t="str">
        <f t="shared" si="127"/>
        <v>Error?</v>
      </c>
      <c r="E7798" s="4" t="s">
        <v>1878</v>
      </c>
    </row>
    <row r="7799" spans="1:5" x14ac:dyDescent="0.2">
      <c r="A7799">
        <v>7738</v>
      </c>
      <c r="B7799" s="138">
        <f>'Contracts Paid in CY 29'!G141</f>
        <v>4385041</v>
      </c>
      <c r="D7799" s="2" t="str">
        <f t="shared" si="127"/>
        <v>Error?</v>
      </c>
      <c r="E7799" s="4" t="s">
        <v>1878</v>
      </c>
    </row>
    <row r="7800" spans="1:5" x14ac:dyDescent="0.2">
      <c r="A7800">
        <v>7739</v>
      </c>
      <c r="D7800" s="2" t="str">
        <f t="shared" si="127"/>
        <v>OK</v>
      </c>
    </row>
    <row r="7801" spans="1:5" x14ac:dyDescent="0.2">
      <c r="A7801">
        <v>7740</v>
      </c>
      <c r="B7801" s="138">
        <f>'Revenues 9-14'!C120</f>
        <v>0</v>
      </c>
      <c r="D7801" s="2" t="str">
        <f t="shared" si="127"/>
        <v>Error?</v>
      </c>
      <c r="E7801" s="4" t="s">
        <v>1915</v>
      </c>
    </row>
    <row r="7802" spans="1:5" x14ac:dyDescent="0.2">
      <c r="A7802">
        <v>7741</v>
      </c>
      <c r="B7802" s="138">
        <f>'Revenues 9-14'!D120</f>
        <v>0</v>
      </c>
      <c r="D7802" s="2" t="str">
        <f t="shared" si="127"/>
        <v>Error?</v>
      </c>
      <c r="E7802" s="4" t="s">
        <v>1915</v>
      </c>
    </row>
    <row r="7803" spans="1:5" x14ac:dyDescent="0.2">
      <c r="A7803">
        <v>7742</v>
      </c>
      <c r="B7803" s="138">
        <f>'Revenues 9-14'!E120</f>
        <v>0</v>
      </c>
      <c r="D7803" s="2" t="str">
        <f t="shared" si="127"/>
        <v>Error?</v>
      </c>
      <c r="E7803" s="4" t="s">
        <v>1915</v>
      </c>
    </row>
    <row r="7804" spans="1:5" x14ac:dyDescent="0.2">
      <c r="A7804">
        <v>7743</v>
      </c>
      <c r="B7804" s="138">
        <f>'Revenues 9-14'!F120</f>
        <v>0</v>
      </c>
      <c r="D7804" s="2" t="str">
        <f t="shared" si="127"/>
        <v>Error?</v>
      </c>
      <c r="E7804" s="4" t="s">
        <v>1915</v>
      </c>
    </row>
    <row r="7805" spans="1:5" x14ac:dyDescent="0.2">
      <c r="A7805">
        <v>7744</v>
      </c>
      <c r="B7805" s="138">
        <f>'Revenues 9-14'!G120</f>
        <v>0</v>
      </c>
      <c r="D7805" s="2" t="str">
        <f t="shared" si="127"/>
        <v>Error?</v>
      </c>
      <c r="E7805" s="4" t="s">
        <v>1915</v>
      </c>
    </row>
    <row r="7806" spans="1:5" x14ac:dyDescent="0.2">
      <c r="A7806">
        <v>7745</v>
      </c>
      <c r="B7806" s="138">
        <f>'Revenues 9-14'!H120</f>
        <v>0</v>
      </c>
      <c r="D7806" s="2" t="str">
        <f t="shared" si="127"/>
        <v>Error?</v>
      </c>
      <c r="E7806" s="4" t="s">
        <v>1915</v>
      </c>
    </row>
    <row r="7807" spans="1:5" x14ac:dyDescent="0.2">
      <c r="A7807">
        <v>7746</v>
      </c>
      <c r="B7807" s="138">
        <f>'Revenues 9-14'!J120</f>
        <v>0</v>
      </c>
      <c r="D7807" s="2" t="str">
        <f t="shared" ref="D7807:D7816" si="128">IF(ISBLANK(B7807),"OK",IF(A7807-B7807=0,"OK","Error?"))</f>
        <v>Error?</v>
      </c>
      <c r="E7807" s="4" t="s">
        <v>1915</v>
      </c>
    </row>
    <row r="7808" spans="1:5" x14ac:dyDescent="0.2">
      <c r="A7808">
        <v>7747</v>
      </c>
      <c r="B7808" s="138">
        <f>'Revenues 9-14'!K120</f>
        <v>0</v>
      </c>
      <c r="D7808" s="2" t="str">
        <f t="shared" si="128"/>
        <v>Error?</v>
      </c>
      <c r="E7808" s="4" t="s">
        <v>1915</v>
      </c>
    </row>
    <row r="7809" spans="1:5" x14ac:dyDescent="0.2">
      <c r="A7809">
        <v>7748</v>
      </c>
      <c r="B7809" s="138">
        <f>'Revenues 9-14'!C261</f>
        <v>0</v>
      </c>
      <c r="D7809" s="2" t="str">
        <f t="shared" si="128"/>
        <v>Error?</v>
      </c>
      <c r="E7809" s="4" t="s">
        <v>1916</v>
      </c>
    </row>
    <row r="7810" spans="1:5" x14ac:dyDescent="0.2">
      <c r="A7810">
        <v>7749</v>
      </c>
      <c r="B7810" s="138">
        <f>'Revenues 9-14'!D261</f>
        <v>0</v>
      </c>
      <c r="D7810" s="2" t="str">
        <f t="shared" si="128"/>
        <v>Error?</v>
      </c>
      <c r="E7810" s="4" t="s">
        <v>1916</v>
      </c>
    </row>
    <row r="7811" spans="1:5" x14ac:dyDescent="0.2">
      <c r="A7811">
        <v>7750</v>
      </c>
      <c r="B7811" s="138">
        <f>'Revenues 9-14'!F261</f>
        <v>0</v>
      </c>
      <c r="D7811" s="2" t="str">
        <f t="shared" si="128"/>
        <v>Error?</v>
      </c>
      <c r="E7811" s="4" t="s">
        <v>1916</v>
      </c>
    </row>
    <row r="7812" spans="1:5" x14ac:dyDescent="0.2">
      <c r="A7812">
        <v>7751</v>
      </c>
      <c r="B7812" s="138">
        <f>'Revenues 9-14'!G261</f>
        <v>0</v>
      </c>
      <c r="D7812" s="2" t="str">
        <f t="shared" si="128"/>
        <v>Error?</v>
      </c>
      <c r="E7812" s="4" t="s">
        <v>1916</v>
      </c>
    </row>
    <row r="7813" spans="1:5" x14ac:dyDescent="0.2">
      <c r="A7813">
        <v>7752</v>
      </c>
      <c r="B7813" s="138">
        <f>'Revenues 9-14'!C262</f>
        <v>0</v>
      </c>
      <c r="D7813" s="2" t="str">
        <f t="shared" si="128"/>
        <v>Error?</v>
      </c>
      <c r="E7813" s="4" t="s">
        <v>1917</v>
      </c>
    </row>
    <row r="7814" spans="1:5" x14ac:dyDescent="0.2">
      <c r="A7814">
        <v>7753</v>
      </c>
      <c r="B7814" s="138">
        <f>'Revenues 9-14'!D262</f>
        <v>0</v>
      </c>
      <c r="D7814" s="2" t="str">
        <f t="shared" si="128"/>
        <v>Error?</v>
      </c>
      <c r="E7814" s="4" t="s">
        <v>1917</v>
      </c>
    </row>
    <row r="7815" spans="1:5" x14ac:dyDescent="0.2">
      <c r="A7815">
        <v>7754</v>
      </c>
      <c r="B7815" s="138">
        <f>'Revenues 9-14'!F262</f>
        <v>0</v>
      </c>
      <c r="D7815" s="2" t="str">
        <f t="shared" si="128"/>
        <v>Error?</v>
      </c>
      <c r="E7815" s="4" t="s">
        <v>1917</v>
      </c>
    </row>
    <row r="7816" spans="1:5" x14ac:dyDescent="0.2">
      <c r="A7816">
        <v>7755</v>
      </c>
      <c r="B7816" s="138">
        <f>'Revenues 9-14'!G262</f>
        <v>0</v>
      </c>
      <c r="D7816" s="2" t="str">
        <f t="shared" si="128"/>
        <v>Error?</v>
      </c>
      <c r="E7816" s="4" t="s">
        <v>1917</v>
      </c>
    </row>
  </sheetData>
  <sheetProtection password="F60E" sheet="1" objects="1" scenarios="1"/>
  <phoneticPr fontId="19"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topLeftCell="A19" zoomScale="110" zoomScaleNormal="110" workbookViewId="0">
      <selection activeCell="I35" sqref="I35"/>
    </sheetView>
  </sheetViews>
  <sheetFormatPr defaultColWidth="9.140625" defaultRowHeight="12.75" x14ac:dyDescent="0.2"/>
  <cols>
    <col min="1" max="1" width="7.85546875" style="1152" customWidth="1"/>
    <col min="2" max="2" width="2.28515625" style="1148" customWidth="1"/>
    <col min="3" max="3" width="9.140625" style="1152"/>
    <col min="4" max="4" width="13" style="1152" customWidth="1"/>
    <col min="5" max="5" width="16" style="1152" customWidth="1"/>
    <col min="6" max="6" width="4.140625" style="1152" customWidth="1"/>
    <col min="7" max="7" width="3.7109375" style="1152" customWidth="1"/>
    <col min="8" max="8" width="9.7109375" style="1152" customWidth="1"/>
    <col min="9" max="9" width="10.7109375" style="1152" customWidth="1"/>
    <col min="10" max="10" width="5" style="1152" customWidth="1"/>
    <col min="11" max="11" width="6.5703125" style="1152" customWidth="1"/>
    <col min="12" max="12" width="12.85546875" style="1152" customWidth="1"/>
    <col min="13" max="13" width="2.7109375" style="1152" customWidth="1"/>
    <col min="14" max="14" width="13.140625" style="1152" customWidth="1"/>
    <col min="15" max="15" width="7.140625" style="1152" customWidth="1"/>
    <col min="16" max="16" width="7" style="1152" customWidth="1"/>
    <col min="17" max="17" width="9.7109375" style="1152" customWidth="1"/>
    <col min="18" max="19" width="9.85546875" style="1152" customWidth="1"/>
    <col min="20" max="16384" width="9.140625" style="1152"/>
  </cols>
  <sheetData>
    <row r="1" spans="1:29" x14ac:dyDescent="0.2">
      <c r="A1" s="1147"/>
      <c r="C1" s="1147"/>
      <c r="D1" s="1147"/>
      <c r="E1" s="1147"/>
      <c r="F1" s="1149"/>
      <c r="G1" s="1149"/>
      <c r="H1" s="1147"/>
      <c r="I1" s="1147"/>
      <c r="J1" s="1147"/>
      <c r="K1" s="1147"/>
      <c r="L1" s="1150"/>
      <c r="M1" s="1151"/>
    </row>
    <row r="2" spans="1:29" ht="13.5" customHeight="1" x14ac:dyDescent="0.2">
      <c r="A2" s="2498" t="s">
        <v>1190</v>
      </c>
      <c r="B2" s="2498"/>
      <c r="C2" s="2498"/>
      <c r="D2" s="2498"/>
      <c r="E2" s="2498"/>
      <c r="F2" s="2498"/>
      <c r="G2" s="2498"/>
      <c r="H2" s="2498"/>
      <c r="I2" s="2498"/>
      <c r="J2" s="2498"/>
      <c r="K2" s="2498"/>
      <c r="L2" s="2498"/>
    </row>
    <row r="3" spans="1:29" ht="13.5" customHeight="1" x14ac:dyDescent="0.2">
      <c r="A3" s="2529" t="s">
        <v>1189</v>
      </c>
      <c r="B3" s="2529"/>
      <c r="C3" s="2529"/>
      <c r="D3" s="2529"/>
      <c r="E3" s="2529"/>
      <c r="F3" s="2529"/>
      <c r="G3" s="2529"/>
      <c r="H3" s="2529"/>
      <c r="I3" s="2529"/>
      <c r="J3" s="2529"/>
      <c r="K3" s="2529"/>
      <c r="L3" s="2529"/>
    </row>
    <row r="4" spans="1:29" ht="13.5" customHeight="1" x14ac:dyDescent="0.2">
      <c r="A4" s="2498" t="s">
        <v>1963</v>
      </c>
      <c r="B4" s="2519"/>
      <c r="C4" s="2519"/>
      <c r="D4" s="2519"/>
      <c r="E4" s="2519"/>
      <c r="F4" s="2519"/>
      <c r="G4" s="2519"/>
      <c r="H4" s="2519"/>
      <c r="I4" s="2519"/>
      <c r="J4" s="2519"/>
      <c r="K4" s="2519"/>
      <c r="L4" s="2519"/>
    </row>
    <row r="5" spans="1:29" ht="29.85" customHeight="1" x14ac:dyDescent="0.2">
      <c r="A5" s="1153"/>
      <c r="B5" s="1154"/>
      <c r="C5" s="1153"/>
      <c r="D5" s="1153"/>
      <c r="E5" s="1153"/>
      <c r="F5" s="1153"/>
      <c r="G5" s="1153"/>
      <c r="H5" s="1153"/>
      <c r="I5" s="1153"/>
      <c r="J5" s="1153"/>
      <c r="K5" s="1153"/>
      <c r="L5" s="1153"/>
      <c r="V5" s="1155"/>
      <c r="W5" s="1155"/>
      <c r="X5" s="1155"/>
      <c r="Y5" s="1155"/>
      <c r="Z5" s="1155"/>
      <c r="AA5" s="1155"/>
      <c r="AB5" s="1155"/>
      <c r="AC5" s="1155"/>
    </row>
    <row r="6" spans="1:29" ht="13.5" customHeight="1" x14ac:dyDescent="0.2">
      <c r="A6" s="1156" t="s">
        <v>1188</v>
      </c>
      <c r="B6" s="1157"/>
      <c r="C6" s="1158"/>
      <c r="D6" s="1158"/>
      <c r="E6" s="1159" t="s">
        <v>1187</v>
      </c>
      <c r="F6" s="1160"/>
      <c r="G6" s="1161" t="s">
        <v>1186</v>
      </c>
      <c r="H6" s="1158"/>
      <c r="I6" s="1158"/>
      <c r="J6" s="1158"/>
      <c r="K6" s="1158"/>
      <c r="L6" s="1162"/>
      <c r="V6" s="1155"/>
      <c r="W6" s="1155"/>
      <c r="X6" s="1155"/>
      <c r="Y6" s="1155"/>
      <c r="Z6" s="1155"/>
      <c r="AA6" s="1155"/>
      <c r="AB6" s="1155"/>
      <c r="AC6" s="1155"/>
    </row>
    <row r="7" spans="1:29" ht="16.5" customHeight="1" x14ac:dyDescent="0.2">
      <c r="A7" s="2520" t="str">
        <f>COVER!A17</f>
        <v>Hawthorn CCSD 73</v>
      </c>
      <c r="B7" s="2521"/>
      <c r="C7" s="2521"/>
      <c r="D7" s="2522"/>
      <c r="E7" s="2523">
        <f>COVER!A13</f>
        <v>34049073004</v>
      </c>
      <c r="F7" s="2524"/>
      <c r="G7" s="2530" t="str">
        <f>COVER!T23</f>
        <v>066-005142</v>
      </c>
      <c r="H7" s="2531"/>
      <c r="I7" s="2531"/>
      <c r="J7" s="2531"/>
      <c r="K7" s="2531"/>
      <c r="L7" s="2532"/>
    </row>
    <row r="8" spans="1:29" ht="13.5" customHeight="1" x14ac:dyDescent="0.2">
      <c r="A8" s="1156" t="s">
        <v>1504</v>
      </c>
      <c r="B8" s="1157"/>
      <c r="C8" s="1158"/>
      <c r="D8" s="1158"/>
      <c r="E8" s="1163"/>
      <c r="F8" s="1162"/>
      <c r="G8" s="1164" t="s">
        <v>1185</v>
      </c>
      <c r="H8" s="1165"/>
      <c r="I8" s="1165"/>
      <c r="J8" s="1165"/>
      <c r="K8" s="1165"/>
      <c r="L8" s="1166"/>
    </row>
    <row r="9" spans="1:29" ht="13.5" customHeight="1" x14ac:dyDescent="0.2">
      <c r="A9" s="2533"/>
      <c r="B9" s="2534"/>
      <c r="C9" s="2534"/>
      <c r="D9" s="2534"/>
      <c r="E9" s="2534"/>
      <c r="F9" s="2535"/>
      <c r="G9" s="2504" t="str">
        <f>COVER!T13</f>
        <v>EDER, CASELLA &amp; CO.</v>
      </c>
      <c r="H9" s="2536"/>
      <c r="I9" s="2536"/>
      <c r="J9" s="2536"/>
      <c r="K9" s="2536"/>
      <c r="L9" s="2537"/>
    </row>
    <row r="10" spans="1:29" ht="13.5" customHeight="1" x14ac:dyDescent="0.2">
      <c r="A10" s="2510">
        <f>COVER!A38</f>
        <v>0</v>
      </c>
      <c r="B10" s="2511"/>
      <c r="C10" s="2511"/>
      <c r="D10" s="2511"/>
      <c r="E10" s="2511"/>
      <c r="F10" s="2512"/>
      <c r="G10" s="2504" t="str">
        <f>COVER!T17</f>
        <v>5400 WEST ELM STREET, SUITE 203</v>
      </c>
      <c r="H10" s="2505"/>
      <c r="I10" s="2505"/>
      <c r="J10" s="2505"/>
      <c r="K10" s="2505"/>
      <c r="L10" s="2506"/>
    </row>
    <row r="11" spans="1:29" ht="13.5" customHeight="1" x14ac:dyDescent="0.2">
      <c r="A11" s="1156" t="s">
        <v>1506</v>
      </c>
      <c r="B11" s="1157"/>
      <c r="C11" s="1158"/>
      <c r="D11" s="1163"/>
      <c r="E11" s="1158"/>
      <c r="F11" s="1162"/>
      <c r="G11" s="2504" t="str">
        <f>COVER!T19</f>
        <v>MCHENRY</v>
      </c>
      <c r="H11" s="2505"/>
      <c r="I11" s="2505"/>
      <c r="J11" s="2505"/>
      <c r="K11" s="2505"/>
      <c r="L11" s="2506"/>
    </row>
    <row r="12" spans="1:29" ht="13.5" customHeight="1" x14ac:dyDescent="0.2">
      <c r="A12" s="2513" t="s">
        <v>1505</v>
      </c>
      <c r="B12" s="2514"/>
      <c r="C12" s="2514"/>
      <c r="D12" s="2514"/>
      <c r="E12" s="2514"/>
      <c r="F12" s="2515"/>
      <c r="G12" s="2507"/>
      <c r="H12" s="2508"/>
      <c r="I12" s="2508"/>
      <c r="J12" s="2508"/>
      <c r="K12" s="2508"/>
      <c r="L12" s="2509"/>
    </row>
    <row r="13" spans="1:29" ht="13.5" customHeight="1" x14ac:dyDescent="0.2">
      <c r="A13" s="2504"/>
      <c r="B13" s="2505"/>
      <c r="C13" s="2505"/>
      <c r="D13" s="2505"/>
      <c r="E13" s="2505"/>
      <c r="F13" s="2506"/>
      <c r="G13" s="2499" t="s">
        <v>1507</v>
      </c>
      <c r="H13" s="2500"/>
      <c r="I13" s="2516" t="str">
        <f>COVER!T25</f>
        <v>CPAS@EDERCASELLA.COM</v>
      </c>
      <c r="J13" s="2517"/>
      <c r="K13" s="2517"/>
      <c r="L13" s="2518"/>
    </row>
    <row r="14" spans="1:29" ht="13.5" customHeight="1" x14ac:dyDescent="0.2">
      <c r="A14" s="2504" t="str">
        <f>COVER!A19</f>
        <v>841 W END COURT</v>
      </c>
      <c r="B14" s="2505"/>
      <c r="C14" s="2505"/>
      <c r="D14" s="2505"/>
      <c r="E14" s="2505"/>
      <c r="F14" s="2506"/>
      <c r="G14" s="1167" t="s">
        <v>1184</v>
      </c>
      <c r="H14" s="1165"/>
      <c r="I14" s="1165"/>
      <c r="J14" s="1165"/>
      <c r="K14" s="1165"/>
      <c r="L14" s="1166"/>
    </row>
    <row r="15" spans="1:29" ht="13.5" customHeight="1" x14ac:dyDescent="0.2">
      <c r="A15" s="2504" t="str">
        <f>COVER!A21</f>
        <v>VERNON HILLS</v>
      </c>
      <c r="B15" s="2505"/>
      <c r="C15" s="2505"/>
      <c r="D15" s="2505"/>
      <c r="E15" s="2505"/>
      <c r="F15" s="2506"/>
      <c r="G15" s="2501" t="str">
        <f>COVER!T15</f>
        <v>KEVIN SMITH</v>
      </c>
      <c r="H15" s="2502"/>
      <c r="I15" s="2502"/>
      <c r="J15" s="2502"/>
      <c r="K15" s="2502"/>
      <c r="L15" s="2503"/>
    </row>
    <row r="16" spans="1:29" ht="12.2" customHeight="1" x14ac:dyDescent="0.2">
      <c r="A16" s="2526">
        <f>COVER!A25</f>
        <v>60061</v>
      </c>
      <c r="B16" s="2527"/>
      <c r="C16" s="2527"/>
      <c r="D16" s="2527"/>
      <c r="E16" s="2527"/>
      <c r="F16" s="2528"/>
      <c r="G16" s="2538"/>
      <c r="H16" s="2539"/>
      <c r="I16" s="2539"/>
      <c r="J16" s="2539"/>
      <c r="K16" s="2539"/>
      <c r="L16" s="2540"/>
    </row>
    <row r="17" spans="1:13" ht="12.2" customHeight="1" x14ac:dyDescent="0.2">
      <c r="A17" s="2541"/>
      <c r="B17" s="2527"/>
      <c r="C17" s="2527"/>
      <c r="D17" s="2527"/>
      <c r="E17" s="2527"/>
      <c r="F17" s="2528"/>
      <c r="G17" s="1167" t="s">
        <v>1183</v>
      </c>
      <c r="H17" s="1165"/>
      <c r="I17" s="1165"/>
      <c r="J17" s="1165"/>
      <c r="K17" s="1169" t="s">
        <v>1182</v>
      </c>
      <c r="L17" s="1162"/>
      <c r="M17" s="1155"/>
    </row>
    <row r="18" spans="1:13" ht="12.2" customHeight="1" x14ac:dyDescent="0.2">
      <c r="A18" s="2510"/>
      <c r="B18" s="2511"/>
      <c r="C18" s="2511"/>
      <c r="D18" s="2511"/>
      <c r="E18" s="2511"/>
      <c r="F18" s="2512"/>
      <c r="G18" s="2520" t="str">
        <f>COVER!T21</f>
        <v>815-344-1300</v>
      </c>
      <c r="H18" s="2521"/>
      <c r="I18" s="2521"/>
      <c r="J18" s="2521"/>
      <c r="K18" s="2520" t="str">
        <f>COVER!X21</f>
        <v>815-344-1320</v>
      </c>
      <c r="L18" s="2525"/>
    </row>
    <row r="19" spans="1:13" ht="12.2" customHeight="1" x14ac:dyDescent="0.2">
      <c r="A19" s="1170"/>
      <c r="C19" s="1170"/>
      <c r="D19" s="1170"/>
      <c r="E19" s="1170"/>
      <c r="F19" s="1170"/>
      <c r="G19" s="1170"/>
      <c r="H19" s="1170"/>
      <c r="I19" s="1170"/>
      <c r="J19" s="1170"/>
      <c r="K19" s="1170"/>
      <c r="L19" s="1170"/>
    </row>
    <row r="20" spans="1:13" ht="12.2" customHeight="1" x14ac:dyDescent="0.2">
      <c r="A20" s="1170"/>
      <c r="C20" s="1170"/>
      <c r="D20" s="1170"/>
      <c r="E20" s="1170"/>
      <c r="F20" s="1170"/>
      <c r="G20" s="1170"/>
      <c r="H20" s="1170"/>
      <c r="I20" s="1170"/>
      <c r="J20" s="1170" t="s">
        <v>1168</v>
      </c>
      <c r="K20" s="1148" t="s">
        <v>1168</v>
      </c>
    </row>
    <row r="21" spans="1:13" ht="12.2" customHeight="1" x14ac:dyDescent="0.2">
      <c r="A21" s="1171" t="s">
        <v>1685</v>
      </c>
    </row>
    <row r="22" spans="1:13" ht="12.2" customHeight="1" x14ac:dyDescent="0.2">
      <c r="A22" s="1172"/>
    </row>
    <row r="23" spans="1:13" ht="12.2" customHeight="1" x14ac:dyDescent="0.2">
      <c r="A23" s="1172"/>
      <c r="B23" s="1173" t="s">
        <v>2101</v>
      </c>
      <c r="C23" s="1174" t="s">
        <v>1181</v>
      </c>
    </row>
    <row r="24" spans="1:13" ht="10.15" customHeight="1" x14ac:dyDescent="0.2">
      <c r="A24" s="1172"/>
      <c r="C24" s="1174" t="s">
        <v>1180</v>
      </c>
    </row>
    <row r="25" spans="1:13" ht="9" customHeight="1" x14ac:dyDescent="0.2">
      <c r="B25" s="1175" t="s">
        <v>1168</v>
      </c>
      <c r="C25" s="1176"/>
    </row>
    <row r="26" spans="1:13" s="1170" customFormat="1" ht="12.2" customHeight="1" x14ac:dyDescent="0.2">
      <c r="B26" s="1173" t="s">
        <v>2101</v>
      </c>
      <c r="C26" s="1174" t="s">
        <v>1686</v>
      </c>
    </row>
    <row r="27" spans="1:13" s="1170" customFormat="1" ht="9" customHeight="1" x14ac:dyDescent="0.2">
      <c r="B27" s="1175"/>
      <c r="C27" s="1174"/>
    </row>
    <row r="28" spans="1:13" s="1170" customFormat="1" ht="12.2" customHeight="1" x14ac:dyDescent="0.2">
      <c r="A28" s="1177"/>
      <c r="B28" s="1173" t="s">
        <v>2101</v>
      </c>
      <c r="C28" s="1174" t="s">
        <v>1687</v>
      </c>
    </row>
    <row r="29" spans="1:13" s="1170" customFormat="1" ht="9" customHeight="1" x14ac:dyDescent="0.2">
      <c r="A29" s="1177"/>
      <c r="B29" s="1175"/>
      <c r="C29" s="1174"/>
    </row>
    <row r="30" spans="1:13" s="1170" customFormat="1" ht="12.2" customHeight="1" x14ac:dyDescent="0.2">
      <c r="B30" s="1173" t="s">
        <v>2101</v>
      </c>
      <c r="C30" s="1174" t="s">
        <v>1549</v>
      </c>
      <c r="D30" s="1168"/>
      <c r="E30" s="1168"/>
    </row>
    <row r="31" spans="1:13" s="1170" customFormat="1" ht="9" customHeight="1" x14ac:dyDescent="0.2">
      <c r="B31" s="1175"/>
      <c r="C31" s="1174"/>
      <c r="D31" s="1168"/>
      <c r="E31" s="1168"/>
    </row>
    <row r="32" spans="1:13" s="1170" customFormat="1" ht="12.2" customHeight="1" x14ac:dyDescent="0.2">
      <c r="B32" s="1173" t="s">
        <v>2101</v>
      </c>
      <c r="C32" s="1174" t="s">
        <v>1550</v>
      </c>
      <c r="D32" s="1168"/>
      <c r="E32" s="1168"/>
    </row>
    <row r="33" spans="1:8" s="1170" customFormat="1" ht="10.9" customHeight="1" x14ac:dyDescent="0.2">
      <c r="B33" s="1175"/>
      <c r="C33" s="1178" t="s">
        <v>1688</v>
      </c>
      <c r="D33" s="1168"/>
      <c r="E33" s="1168"/>
    </row>
    <row r="34" spans="1:8" ht="9" customHeight="1" x14ac:dyDescent="0.2">
      <c r="B34" s="1175"/>
      <c r="C34" s="1178"/>
    </row>
    <row r="35" spans="1:8" s="1170" customFormat="1" ht="13.5" customHeight="1" x14ac:dyDescent="0.2">
      <c r="B35" s="1173" t="s">
        <v>2101</v>
      </c>
      <c r="C35" s="1174" t="s">
        <v>1551</v>
      </c>
    </row>
    <row r="36" spans="1:8" s="1170" customFormat="1" ht="10.9" customHeight="1" x14ac:dyDescent="0.2">
      <c r="B36" s="1175"/>
      <c r="C36" s="1178" t="s">
        <v>1552</v>
      </c>
    </row>
    <row r="37" spans="1:8" ht="9" customHeight="1" x14ac:dyDescent="0.2">
      <c r="B37" s="1175"/>
      <c r="C37" s="1178"/>
    </row>
    <row r="38" spans="1:8" s="1170" customFormat="1" ht="12.2" customHeight="1" x14ac:dyDescent="0.2">
      <c r="B38" s="1173" t="s">
        <v>2101</v>
      </c>
      <c r="C38" s="1174" t="s">
        <v>1553</v>
      </c>
    </row>
    <row r="39" spans="1:8" ht="9" customHeight="1" x14ac:dyDescent="0.2">
      <c r="B39" s="1175"/>
      <c r="C39" s="1178"/>
    </row>
    <row r="40" spans="1:8" s="1170" customFormat="1" ht="13.5" customHeight="1" x14ac:dyDescent="0.2">
      <c r="B40" s="1173" t="s">
        <v>2101</v>
      </c>
      <c r="C40" s="1174" t="s">
        <v>1554</v>
      </c>
    </row>
    <row r="41" spans="1:8" ht="9" customHeight="1" x14ac:dyDescent="0.2">
      <c r="A41" s="1179"/>
      <c r="B41" s="1175"/>
      <c r="C41" s="1178"/>
    </row>
    <row r="42" spans="1:8" s="1170" customFormat="1" ht="13.5" customHeight="1" x14ac:dyDescent="0.2">
      <c r="B42" s="1173" t="s">
        <v>2101</v>
      </c>
      <c r="C42" s="1174" t="s">
        <v>1810</v>
      </c>
      <c r="D42" s="1168"/>
      <c r="E42" s="1168"/>
      <c r="F42" s="1168"/>
      <c r="G42" s="1168"/>
      <c r="H42" s="1168"/>
    </row>
    <row r="43" spans="1:8" s="1170" customFormat="1" ht="12.95" customHeight="1" x14ac:dyDescent="0.2">
      <c r="B43" s="1175"/>
      <c r="C43" s="1165"/>
      <c r="D43" s="1168"/>
      <c r="E43" s="1168"/>
      <c r="F43" s="1168"/>
      <c r="G43" s="1168"/>
      <c r="H43" s="1168"/>
    </row>
    <row r="44" spans="1:8" s="1170" customFormat="1" ht="13.5" customHeight="1" x14ac:dyDescent="0.2">
      <c r="A44" s="1171" t="s">
        <v>1179</v>
      </c>
      <c r="B44" s="1175"/>
      <c r="D44" s="1168"/>
      <c r="E44" s="1168"/>
      <c r="F44" s="1168"/>
      <c r="G44" s="1168"/>
      <c r="H44" s="1168"/>
    </row>
    <row r="45" spans="1:8" ht="12" customHeight="1" x14ac:dyDescent="0.2">
      <c r="B45" s="1175"/>
      <c r="D45" s="1180"/>
      <c r="E45" s="1180"/>
      <c r="F45" s="1180"/>
      <c r="G45" s="1180"/>
      <c r="H45" s="1180"/>
    </row>
    <row r="46" spans="1:8" s="1170" customFormat="1" ht="12.2" customHeight="1" x14ac:dyDescent="0.2">
      <c r="B46" s="1173"/>
      <c r="C46" s="1181" t="s">
        <v>1555</v>
      </c>
      <c r="D46" s="1168"/>
      <c r="E46" s="1168"/>
      <c r="F46" s="1168"/>
      <c r="G46" s="1168"/>
      <c r="H46" s="1168"/>
    </row>
    <row r="47" spans="1:8" ht="9" customHeight="1" x14ac:dyDescent="0.2"/>
    <row r="48" spans="1:8" ht="12.2" customHeight="1" x14ac:dyDescent="0.2">
      <c r="B48" s="1888"/>
      <c r="C48" s="1182" t="s">
        <v>1556</v>
      </c>
    </row>
    <row r="49" spans="1:12" ht="9" customHeight="1" x14ac:dyDescent="0.2"/>
    <row r="50" spans="1:12" ht="6" customHeight="1" x14ac:dyDescent="0.2">
      <c r="C50" s="1182"/>
    </row>
    <row r="51" spans="1:12" ht="12.2" customHeight="1" x14ac:dyDescent="0.2">
      <c r="A51" s="1180"/>
    </row>
    <row r="52" spans="1:12" ht="12.2" customHeight="1" x14ac:dyDescent="0.2"/>
    <row r="53" spans="1:12" ht="12.2" customHeight="1" x14ac:dyDescent="0.2"/>
    <row r="54" spans="1:12" ht="12.2" customHeight="1" x14ac:dyDescent="0.2"/>
    <row r="55" spans="1:12" ht="12.2" customHeight="1" x14ac:dyDescent="0.2">
      <c r="A55" s="1183"/>
    </row>
    <row r="58" spans="1:12" ht="12.75" customHeight="1" x14ac:dyDescent="0.2"/>
    <row r="59" spans="1:12" ht="36" customHeight="1" x14ac:dyDescent="0.2">
      <c r="L59" s="1150"/>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topLeftCell="A4" zoomScale="125" zoomScaleNormal="125" workbookViewId="0">
      <selection activeCell="D24" sqref="D24"/>
    </sheetView>
  </sheetViews>
  <sheetFormatPr defaultColWidth="10.7109375" defaultRowHeight="11.25" x14ac:dyDescent="0.2"/>
  <cols>
    <col min="1" max="1" width="1.7109375" style="1187" customWidth="1"/>
    <col min="2" max="2" width="2.7109375" style="1191" customWidth="1"/>
    <col min="3" max="3" width="3.28515625" style="1201" customWidth="1"/>
    <col min="4" max="4" width="97.7109375" style="1191" customWidth="1"/>
    <col min="5" max="5" width="4.140625" style="1191" customWidth="1"/>
    <col min="6" max="16384" width="10.7109375" style="1191"/>
  </cols>
  <sheetData>
    <row r="1" spans="1:11" s="1184" customFormat="1" ht="12.75" x14ac:dyDescent="0.2">
      <c r="A1" s="2542" t="str">
        <f>'Single Audit Cover'!A7</f>
        <v>Hawthorn CCSD 73</v>
      </c>
      <c r="B1" s="2519"/>
      <c r="C1" s="2519"/>
      <c r="D1" s="2519"/>
    </row>
    <row r="2" spans="1:11" s="1184" customFormat="1" ht="12.75" x14ac:dyDescent="0.2">
      <c r="A2" s="2543">
        <f>'Single Audit Cover'!E7</f>
        <v>34049073004</v>
      </c>
      <c r="B2" s="2544"/>
      <c r="C2" s="2544"/>
      <c r="D2" s="2544"/>
    </row>
    <row r="3" spans="1:11" s="1184" customFormat="1" ht="12.75" x14ac:dyDescent="0.2">
      <c r="A3" s="2542" t="s">
        <v>1500</v>
      </c>
      <c r="B3" s="2519"/>
      <c r="C3" s="2519"/>
      <c r="D3" s="2519"/>
    </row>
    <row r="4" spans="1:11" s="1184" customFormat="1" ht="4.5" customHeight="1" x14ac:dyDescent="0.2">
      <c r="A4" s="1185"/>
      <c r="B4" s="1186"/>
      <c r="C4" s="1186"/>
      <c r="D4" s="1186"/>
    </row>
    <row r="5" spans="1:11" x14ac:dyDescent="0.2">
      <c r="B5" s="1188" t="s">
        <v>1501</v>
      </c>
      <c r="C5" s="1189"/>
      <c r="D5" s="1190"/>
    </row>
    <row r="6" spans="1:11" x14ac:dyDescent="0.2">
      <c r="B6" s="1188" t="s">
        <v>1224</v>
      </c>
      <c r="C6" s="1189"/>
      <c r="D6" s="1190"/>
    </row>
    <row r="7" spans="1:11" x14ac:dyDescent="0.2">
      <c r="B7" s="1188" t="s">
        <v>1502</v>
      </c>
      <c r="C7" s="1189"/>
      <c r="D7" s="1190"/>
    </row>
    <row r="8" spans="1:11" ht="4.5" customHeight="1" x14ac:dyDescent="0.2">
      <c r="B8" s="1188"/>
      <c r="C8" s="1189"/>
      <c r="D8" s="1190"/>
    </row>
    <row r="9" spans="1:11" x14ac:dyDescent="0.2">
      <c r="B9" s="1192" t="s">
        <v>1223</v>
      </c>
      <c r="C9" s="1193"/>
      <c r="D9" s="1190"/>
    </row>
    <row r="10" spans="1:11" ht="4.5" customHeight="1" x14ac:dyDescent="0.2">
      <c r="B10" s="1192"/>
      <c r="C10" s="1193"/>
      <c r="D10" s="1190"/>
    </row>
    <row r="11" spans="1:11" x14ac:dyDescent="0.2">
      <c r="B11" s="1194"/>
      <c r="C11" s="1195">
        <v>1</v>
      </c>
      <c r="D11" s="1196" t="s">
        <v>1689</v>
      </c>
      <c r="E11" s="1197"/>
      <c r="F11" s="1197"/>
      <c r="G11" s="1197"/>
      <c r="H11" s="1197"/>
      <c r="I11" s="1197"/>
      <c r="J11" s="1197"/>
      <c r="K11" s="1197"/>
    </row>
    <row r="12" spans="1:11" ht="3" customHeight="1" x14ac:dyDescent="0.2">
      <c r="B12" s="1198"/>
      <c r="C12" s="1195"/>
      <c r="D12" s="1196"/>
      <c r="E12" s="1197"/>
      <c r="F12" s="1197"/>
      <c r="G12" s="1197"/>
      <c r="H12" s="1197"/>
      <c r="I12" s="1197"/>
      <c r="J12" s="1197"/>
      <c r="K12" s="1197"/>
    </row>
    <row r="13" spans="1:11" x14ac:dyDescent="0.2">
      <c r="B13" s="1194"/>
      <c r="C13" s="1195">
        <f>C11+1</f>
        <v>2</v>
      </c>
      <c r="D13" s="1199" t="s">
        <v>1690</v>
      </c>
      <c r="E13" s="1197"/>
      <c r="F13" s="1197"/>
      <c r="G13" s="1197"/>
      <c r="H13" s="1197"/>
      <c r="I13" s="1197"/>
      <c r="J13" s="1197"/>
      <c r="K13" s="1197"/>
    </row>
    <row r="14" spans="1:11" ht="3" customHeight="1" x14ac:dyDescent="0.2">
      <c r="B14" s="1198"/>
      <c r="C14" s="1195"/>
      <c r="D14" s="1199"/>
      <c r="E14" s="1197"/>
      <c r="F14" s="1197"/>
      <c r="G14" s="1197"/>
      <c r="H14" s="1197"/>
      <c r="I14" s="1197"/>
      <c r="J14" s="1197"/>
      <c r="K14" s="1197"/>
    </row>
    <row r="15" spans="1:11" x14ac:dyDescent="0.2">
      <c r="B15" s="1194"/>
      <c r="C15" s="1195">
        <f>C13+1</f>
        <v>3</v>
      </c>
      <c r="D15" s="1196" t="s">
        <v>1691</v>
      </c>
      <c r="E15" s="1197"/>
      <c r="F15" s="1197"/>
      <c r="G15" s="1197"/>
      <c r="H15" s="1197"/>
      <c r="I15" s="1197"/>
      <c r="J15" s="1197"/>
      <c r="K15" s="1197"/>
    </row>
    <row r="16" spans="1:11" ht="10.5" customHeight="1" x14ac:dyDescent="0.2">
      <c r="B16" s="1200"/>
      <c r="D16" s="1199" t="s">
        <v>1222</v>
      </c>
      <c r="E16" s="1197"/>
      <c r="F16" s="1197"/>
      <c r="G16" s="1197"/>
      <c r="H16" s="1197"/>
      <c r="I16" s="1197"/>
      <c r="J16" s="1197"/>
      <c r="K16" s="1197"/>
    </row>
    <row r="17" spans="1:11" ht="3" customHeight="1" x14ac:dyDescent="0.2">
      <c r="B17" s="1200"/>
      <c r="D17" s="1199"/>
      <c r="E17" s="1197"/>
      <c r="F17" s="1197"/>
      <c r="G17" s="1197"/>
      <c r="H17" s="1197"/>
      <c r="I17" s="1197"/>
      <c r="J17" s="1197"/>
      <c r="K17" s="1197"/>
    </row>
    <row r="18" spans="1:11" x14ac:dyDescent="0.2">
      <c r="B18" s="1194"/>
      <c r="C18" s="1195">
        <f>C15+1</f>
        <v>4</v>
      </c>
      <c r="D18" s="1202" t="s">
        <v>1692</v>
      </c>
      <c r="E18" s="1197"/>
      <c r="F18" s="1197"/>
      <c r="G18" s="1197"/>
      <c r="H18" s="1197"/>
      <c r="I18" s="1197"/>
      <c r="J18" s="1197"/>
      <c r="K18" s="1197"/>
    </row>
    <row r="19" spans="1:11" ht="9.75" customHeight="1" x14ac:dyDescent="0.2">
      <c r="A19" s="1191"/>
      <c r="B19" s="1200"/>
      <c r="D19" s="1199" t="s">
        <v>1221</v>
      </c>
      <c r="E19" s="1197"/>
      <c r="F19" s="1197"/>
      <c r="G19" s="1197"/>
      <c r="H19" s="1197"/>
      <c r="I19" s="1197"/>
      <c r="J19" s="1197"/>
      <c r="K19" s="1197"/>
    </row>
    <row r="20" spans="1:11" ht="3" customHeight="1" x14ac:dyDescent="0.2">
      <c r="A20" s="1191"/>
      <c r="B20" s="1200"/>
      <c r="D20" s="1199"/>
      <c r="E20" s="1197"/>
      <c r="F20" s="1197"/>
      <c r="G20" s="1197"/>
      <c r="H20" s="1197"/>
      <c r="I20" s="1197"/>
      <c r="J20" s="1197"/>
      <c r="K20" s="1197"/>
    </row>
    <row r="21" spans="1:11" x14ac:dyDescent="0.2">
      <c r="A21" s="1191"/>
      <c r="B21" s="1194"/>
      <c r="C21" s="1195">
        <f>C18+1</f>
        <v>5</v>
      </c>
      <c r="D21" s="1199" t="s">
        <v>1220</v>
      </c>
      <c r="E21" s="1197"/>
      <c r="F21" s="1197"/>
      <c r="G21" s="1197"/>
      <c r="H21" s="1197"/>
      <c r="I21" s="1197"/>
      <c r="J21" s="1197"/>
      <c r="K21" s="1197"/>
    </row>
    <row r="22" spans="1:11" ht="10.5" customHeight="1" x14ac:dyDescent="0.2">
      <c r="A22" s="1191"/>
      <c r="B22" s="1200"/>
      <c r="D22" s="1199" t="s">
        <v>1219</v>
      </c>
      <c r="E22" s="1197"/>
      <c r="F22" s="1197"/>
      <c r="G22" s="1197"/>
      <c r="H22" s="1197"/>
      <c r="I22" s="1197"/>
      <c r="J22" s="1197"/>
      <c r="K22" s="1197"/>
    </row>
    <row r="23" spans="1:11" ht="3" customHeight="1" x14ac:dyDescent="0.2">
      <c r="A23" s="1191"/>
      <c r="B23" s="1200"/>
      <c r="D23" s="1199"/>
      <c r="E23" s="1197"/>
      <c r="F23" s="1197"/>
      <c r="G23" s="1197"/>
      <c r="H23" s="1197"/>
      <c r="I23" s="1197"/>
      <c r="J23" s="1197"/>
      <c r="K23" s="1197"/>
    </row>
    <row r="24" spans="1:11" x14ac:dyDescent="0.2">
      <c r="A24" s="1191"/>
      <c r="B24" s="1194"/>
      <c r="C24" s="1195">
        <f>C21+1</f>
        <v>6</v>
      </c>
      <c r="D24" s="1203" t="s">
        <v>1713</v>
      </c>
      <c r="E24" s="1197"/>
      <c r="F24" s="1197"/>
      <c r="G24" s="1197"/>
      <c r="H24" s="1197"/>
      <c r="I24" s="1197"/>
      <c r="J24" s="1197"/>
      <c r="K24" s="1197"/>
    </row>
    <row r="25" spans="1:11" x14ac:dyDescent="0.2">
      <c r="A25" s="1191"/>
      <c r="B25" s="1200"/>
      <c r="D25" s="1199" t="s">
        <v>1693</v>
      </c>
      <c r="E25" s="1197"/>
      <c r="F25" s="1197"/>
      <c r="G25" s="1197"/>
      <c r="H25" s="1197"/>
      <c r="I25" s="1197"/>
      <c r="J25" s="1197"/>
      <c r="K25" s="1197"/>
    </row>
    <row r="26" spans="1:11" x14ac:dyDescent="0.2">
      <c r="A26" s="1191"/>
      <c r="B26" s="1200"/>
      <c r="D26" s="1204" t="s">
        <v>1694</v>
      </c>
      <c r="E26" s="1197"/>
      <c r="F26" s="1197"/>
      <c r="G26" s="1197"/>
      <c r="H26" s="1197"/>
      <c r="I26" s="1197"/>
      <c r="J26" s="1197"/>
      <c r="K26" s="1197"/>
    </row>
    <row r="27" spans="1:11" ht="3" customHeight="1" x14ac:dyDescent="0.2">
      <c r="A27" s="1191"/>
      <c r="B27" s="1200"/>
      <c r="D27" s="1204"/>
      <c r="E27" s="1197"/>
      <c r="F27" s="1197"/>
      <c r="G27" s="1197"/>
      <c r="H27" s="1197"/>
      <c r="I27" s="1197"/>
      <c r="J27" s="1197"/>
      <c r="K27" s="1197"/>
    </row>
    <row r="28" spans="1:11" x14ac:dyDescent="0.2">
      <c r="A28" s="1191"/>
      <c r="B28" s="1194"/>
      <c r="C28" s="1201">
        <f>C24+1</f>
        <v>7</v>
      </c>
      <c r="D28" s="1204" t="s">
        <v>1557</v>
      </c>
      <c r="E28" s="1197"/>
      <c r="F28" s="1197"/>
      <c r="G28" s="1197"/>
      <c r="H28" s="1197"/>
      <c r="I28" s="1197"/>
      <c r="J28" s="1197"/>
      <c r="K28" s="1197"/>
    </row>
    <row r="29" spans="1:11" ht="10.5" customHeight="1" x14ac:dyDescent="0.2">
      <c r="A29" s="1191"/>
      <c r="D29" s="1205" t="s">
        <v>1558</v>
      </c>
    </row>
    <row r="30" spans="1:11" ht="6" customHeight="1" x14ac:dyDescent="0.2">
      <c r="A30" s="1191"/>
      <c r="D30" s="1190"/>
    </row>
    <row r="31" spans="1:11" x14ac:dyDescent="0.2">
      <c r="A31" s="1191"/>
      <c r="B31" s="1192" t="s">
        <v>1218</v>
      </c>
      <c r="C31" s="1193"/>
      <c r="D31" s="1190"/>
    </row>
    <row r="32" spans="1:11" ht="4.5" customHeight="1" x14ac:dyDescent="0.2">
      <c r="A32" s="1191"/>
      <c r="B32" s="1192"/>
      <c r="C32" s="1193"/>
      <c r="D32" s="1190"/>
    </row>
    <row r="33" spans="1:5" x14ac:dyDescent="0.2">
      <c r="A33" s="1191"/>
      <c r="B33" s="1194"/>
      <c r="C33" s="1195">
        <v>8</v>
      </c>
      <c r="D33" s="1206" t="s">
        <v>1217</v>
      </c>
    </row>
    <row r="34" spans="1:5" ht="10.5" customHeight="1" x14ac:dyDescent="0.2">
      <c r="A34" s="1191"/>
      <c r="B34" s="1207"/>
      <c r="C34" s="1195"/>
      <c r="D34" s="1206" t="s">
        <v>1559</v>
      </c>
    </row>
    <row r="35" spans="1:5" ht="3" customHeight="1" x14ac:dyDescent="0.2">
      <c r="A35" s="1191"/>
      <c r="B35" s="1200"/>
      <c r="D35" s="1190"/>
    </row>
    <row r="36" spans="1:5" x14ac:dyDescent="0.2">
      <c r="A36" s="1191"/>
      <c r="B36" s="1194"/>
      <c r="C36" s="1195">
        <f>C33+1</f>
        <v>9</v>
      </c>
      <c r="D36" s="1206" t="s">
        <v>1216</v>
      </c>
    </row>
    <row r="37" spans="1:5" ht="10.5" customHeight="1" x14ac:dyDescent="0.2">
      <c r="A37" s="1191"/>
      <c r="B37" s="1200"/>
      <c r="D37" s="1206" t="s">
        <v>1559</v>
      </c>
    </row>
    <row r="38" spans="1:5" ht="3" customHeight="1" x14ac:dyDescent="0.2">
      <c r="A38" s="1191"/>
      <c r="B38" s="1208"/>
      <c r="C38" s="1209"/>
      <c r="D38" s="1190"/>
    </row>
    <row r="39" spans="1:5" x14ac:dyDescent="0.2">
      <c r="A39" s="1191"/>
      <c r="B39" s="1210"/>
      <c r="C39" s="1201">
        <f>C36+1</f>
        <v>10</v>
      </c>
      <c r="D39" s="1190" t="s">
        <v>1215</v>
      </c>
    </row>
    <row r="40" spans="1:5" ht="10.5" customHeight="1" x14ac:dyDescent="0.2">
      <c r="A40" s="1191"/>
      <c r="B40" s="1211"/>
      <c r="C40" s="1209"/>
      <c r="D40" s="1190" t="s">
        <v>1560</v>
      </c>
    </row>
    <row r="41" spans="1:5" ht="3" customHeight="1" x14ac:dyDescent="0.2">
      <c r="A41" s="1191"/>
      <c r="B41" s="1208"/>
      <c r="C41" s="1209"/>
      <c r="D41" s="1190"/>
    </row>
    <row r="42" spans="1:5" ht="10.5" customHeight="1" x14ac:dyDescent="0.2">
      <c r="A42" s="1191"/>
      <c r="B42" s="1210"/>
      <c r="C42" s="1201">
        <v>11</v>
      </c>
      <c r="D42" s="1212" t="s">
        <v>1561</v>
      </c>
      <c r="E42" s="312"/>
    </row>
    <row r="43" spans="1:5" ht="3" customHeight="1" x14ac:dyDescent="0.2">
      <c r="A43" s="1191"/>
      <c r="B43" s="1208"/>
      <c r="C43" s="1209"/>
      <c r="D43" s="1190"/>
    </row>
    <row r="44" spans="1:5" x14ac:dyDescent="0.2">
      <c r="A44" s="1191"/>
      <c r="B44" s="1194"/>
      <c r="C44" s="1195">
        <f>C42+1</f>
        <v>12</v>
      </c>
      <c r="D44" s="1206" t="s">
        <v>1214</v>
      </c>
    </row>
    <row r="45" spans="1:5" ht="10.5" customHeight="1" x14ac:dyDescent="0.2">
      <c r="A45" s="1191"/>
      <c r="B45" s="1207"/>
      <c r="C45" s="1195"/>
      <c r="D45" s="1206" t="s">
        <v>1213</v>
      </c>
    </row>
    <row r="46" spans="1:5" ht="10.5" customHeight="1" x14ac:dyDescent="0.2">
      <c r="A46" s="1191"/>
      <c r="B46" s="1208"/>
      <c r="C46" s="1209"/>
      <c r="D46" s="1206" t="s">
        <v>1212</v>
      </c>
    </row>
    <row r="47" spans="1:5" ht="3" customHeight="1" x14ac:dyDescent="0.2">
      <c r="A47" s="1191"/>
      <c r="B47" s="1208"/>
      <c r="C47" s="1209"/>
      <c r="D47" s="1206"/>
    </row>
    <row r="48" spans="1:5" x14ac:dyDescent="0.2">
      <c r="A48" s="1191"/>
      <c r="B48" s="1194"/>
      <c r="C48" s="1195">
        <f>C44+1</f>
        <v>13</v>
      </c>
      <c r="D48" s="1206" t="s">
        <v>1562</v>
      </c>
    </row>
    <row r="49" spans="1:4" ht="3" customHeight="1" x14ac:dyDescent="0.2">
      <c r="A49" s="1191"/>
      <c r="B49" s="1198"/>
      <c r="C49" s="1195"/>
      <c r="D49" s="1206"/>
    </row>
    <row r="50" spans="1:4" x14ac:dyDescent="0.2">
      <c r="A50" s="1191"/>
      <c r="B50" s="1194"/>
      <c r="C50" s="1195">
        <f>C48+1</f>
        <v>14</v>
      </c>
      <c r="D50" s="1206" t="s">
        <v>1211</v>
      </c>
    </row>
    <row r="51" spans="1:4" ht="3" customHeight="1" x14ac:dyDescent="0.2">
      <c r="A51" s="1191"/>
      <c r="B51" s="1198"/>
      <c r="C51" s="1195"/>
      <c r="D51" s="1206"/>
    </row>
    <row r="52" spans="1:4" x14ac:dyDescent="0.2">
      <c r="A52" s="1191"/>
      <c r="B52" s="1194"/>
      <c r="C52" s="1195">
        <f>C50+1</f>
        <v>15</v>
      </c>
      <c r="D52" s="1206" t="s">
        <v>1210</v>
      </c>
    </row>
    <row r="53" spans="1:4" ht="3" customHeight="1" x14ac:dyDescent="0.2">
      <c r="A53" s="1191"/>
      <c r="B53" s="1198"/>
      <c r="C53" s="1195"/>
      <c r="D53" s="1206"/>
    </row>
    <row r="54" spans="1:4" x14ac:dyDescent="0.2">
      <c r="A54" s="1191"/>
      <c r="B54" s="1194"/>
      <c r="C54" s="1195">
        <f>C52+1</f>
        <v>16</v>
      </c>
      <c r="D54" s="1206" t="s">
        <v>1209</v>
      </c>
    </row>
    <row r="55" spans="1:4" ht="3" customHeight="1" x14ac:dyDescent="0.2">
      <c r="A55" s="1191"/>
      <c r="B55" s="1198"/>
      <c r="C55" s="1195"/>
      <c r="D55" s="1206"/>
    </row>
    <row r="56" spans="1:4" x14ac:dyDescent="0.2">
      <c r="A56" s="1191"/>
      <c r="B56" s="1194"/>
      <c r="C56" s="1195">
        <f>C54+1</f>
        <v>17</v>
      </c>
      <c r="D56" s="1190" t="s">
        <v>1695</v>
      </c>
    </row>
    <row r="57" spans="1:4" ht="10.5" customHeight="1" x14ac:dyDescent="0.2">
      <c r="A57" s="1191"/>
      <c r="D57" s="1206" t="s">
        <v>1696</v>
      </c>
    </row>
    <row r="58" spans="1:4" x14ac:dyDescent="0.2">
      <c r="A58" s="1191"/>
      <c r="C58" s="1213"/>
      <c r="D58" s="1206" t="s">
        <v>1697</v>
      </c>
    </row>
    <row r="59" spans="1:4" ht="10.5" customHeight="1" x14ac:dyDescent="0.2">
      <c r="A59" s="1191"/>
      <c r="D59" s="1190" t="s">
        <v>1208</v>
      </c>
    </row>
    <row r="60" spans="1:4" ht="10.5" customHeight="1" x14ac:dyDescent="0.2">
      <c r="A60" s="1191"/>
      <c r="D60" s="1214" t="s">
        <v>1586</v>
      </c>
    </row>
    <row r="61" spans="1:4" ht="10.5" customHeight="1" x14ac:dyDescent="0.2">
      <c r="A61" s="1191"/>
      <c r="C61" s="1213"/>
      <c r="D61" s="1206" t="s">
        <v>1698</v>
      </c>
    </row>
    <row r="62" spans="1:4" ht="10.5" customHeight="1" x14ac:dyDescent="0.2">
      <c r="A62" s="1191"/>
      <c r="D62" s="1215" t="s">
        <v>1207</v>
      </c>
    </row>
    <row r="63" spans="1:4" ht="10.5" customHeight="1" x14ac:dyDescent="0.2">
      <c r="A63" s="1191"/>
      <c r="D63" s="1190" t="s">
        <v>1563</v>
      </c>
    </row>
    <row r="64" spans="1:4" ht="10.5" customHeight="1" x14ac:dyDescent="0.2">
      <c r="A64" s="1191"/>
      <c r="D64" s="1214" t="s">
        <v>1585</v>
      </c>
    </row>
    <row r="65" spans="1:4" x14ac:dyDescent="0.2">
      <c r="A65" s="1191"/>
      <c r="C65" s="1213"/>
      <c r="D65" s="1206" t="s">
        <v>1699</v>
      </c>
    </row>
    <row r="66" spans="1:4" ht="10.5" customHeight="1" x14ac:dyDescent="0.2">
      <c r="A66" s="1191"/>
      <c r="D66" s="1216" t="s">
        <v>1206</v>
      </c>
    </row>
    <row r="67" spans="1:4" ht="10.5" customHeight="1" x14ac:dyDescent="0.2">
      <c r="A67" s="1191"/>
      <c r="D67" s="1190" t="s">
        <v>1564</v>
      </c>
    </row>
    <row r="68" spans="1:4" ht="10.5" customHeight="1" x14ac:dyDescent="0.2">
      <c r="A68" s="1191"/>
      <c r="D68" s="1214" t="s">
        <v>1585</v>
      </c>
    </row>
    <row r="69" spans="1:4" ht="10.5" customHeight="1" x14ac:dyDescent="0.2">
      <c r="A69" s="1191"/>
      <c r="C69" s="1213"/>
      <c r="D69" s="1206" t="s">
        <v>1700</v>
      </c>
    </row>
    <row r="70" spans="1:4" x14ac:dyDescent="0.2">
      <c r="A70" s="1191"/>
      <c r="D70" s="1215" t="s">
        <v>1205</v>
      </c>
    </row>
    <row r="71" spans="1:4" ht="3" customHeight="1" x14ac:dyDescent="0.2">
      <c r="A71" s="1191"/>
      <c r="D71" s="1190"/>
    </row>
    <row r="72" spans="1:4" x14ac:dyDescent="0.2">
      <c r="A72" s="1191"/>
      <c r="B72" s="1194"/>
      <c r="C72" s="1195">
        <f>C56+1</f>
        <v>18</v>
      </c>
      <c r="D72" s="1216" t="s">
        <v>1701</v>
      </c>
    </row>
    <row r="73" spans="1:4" ht="3" customHeight="1" x14ac:dyDescent="0.2">
      <c r="A73" s="1191"/>
      <c r="B73" s="1198"/>
      <c r="C73" s="1195"/>
      <c r="D73" s="1216"/>
    </row>
    <row r="74" spans="1:4" x14ac:dyDescent="0.2">
      <c r="A74" s="1191"/>
      <c r="B74" s="1194"/>
      <c r="C74" s="1195">
        <f>C72+1</f>
        <v>19</v>
      </c>
      <c r="D74" s="1206" t="s">
        <v>1204</v>
      </c>
    </row>
    <row r="75" spans="1:4" ht="3" customHeight="1" x14ac:dyDescent="0.2">
      <c r="A75" s="1191"/>
      <c r="B75" s="1198"/>
      <c r="C75" s="1195"/>
      <c r="D75" s="1206"/>
    </row>
    <row r="76" spans="1:4" x14ac:dyDescent="0.2">
      <c r="A76" s="1191"/>
      <c r="B76" s="1194"/>
      <c r="C76" s="1195">
        <f>C74+1</f>
        <v>20</v>
      </c>
      <c r="D76" s="1217" t="s">
        <v>1702</v>
      </c>
    </row>
    <row r="77" spans="1:4" ht="3" customHeight="1" x14ac:dyDescent="0.2">
      <c r="A77" s="1191"/>
      <c r="B77" s="1198"/>
      <c r="C77" s="1195"/>
      <c r="D77" s="1217"/>
    </row>
    <row r="78" spans="1:4" x14ac:dyDescent="0.2">
      <c r="A78" s="1191"/>
      <c r="B78" s="1194"/>
      <c r="C78" s="1195">
        <f>C76+1</f>
        <v>21</v>
      </c>
      <c r="D78" s="1190" t="s">
        <v>1703</v>
      </c>
    </row>
    <row r="79" spans="1:4" ht="3" customHeight="1" x14ac:dyDescent="0.2">
      <c r="A79" s="1191"/>
      <c r="B79" s="1198"/>
      <c r="C79" s="1195"/>
      <c r="D79" s="1190"/>
    </row>
    <row r="80" spans="1:4" x14ac:dyDescent="0.2">
      <c r="A80" s="1191"/>
      <c r="B80" s="1194"/>
      <c r="C80" s="1195">
        <f>C78+1</f>
        <v>22</v>
      </c>
      <c r="D80" s="1218" t="s">
        <v>1704</v>
      </c>
    </row>
    <row r="81" spans="1:4" ht="3" customHeight="1" x14ac:dyDescent="0.2">
      <c r="A81" s="1191"/>
      <c r="B81" s="1198"/>
      <c r="C81" s="1195"/>
      <c r="D81" s="1218"/>
    </row>
    <row r="82" spans="1:4" x14ac:dyDescent="0.2">
      <c r="A82" s="1191"/>
      <c r="B82" s="1194"/>
      <c r="C82" s="1195">
        <f>C80+1</f>
        <v>23</v>
      </c>
      <c r="D82" s="1217" t="s">
        <v>1705</v>
      </c>
    </row>
    <row r="83" spans="1:4" ht="10.5" customHeight="1" x14ac:dyDescent="0.2">
      <c r="A83" s="1191"/>
      <c r="B83" s="1200"/>
      <c r="D83" s="1206" t="s">
        <v>1203</v>
      </c>
    </row>
    <row r="84" spans="1:4" ht="3" customHeight="1" x14ac:dyDescent="0.2">
      <c r="A84" s="1191"/>
      <c r="B84" s="1200"/>
      <c r="D84" s="1206"/>
    </row>
    <row r="85" spans="1:4" x14ac:dyDescent="0.2">
      <c r="A85" s="1191"/>
      <c r="B85" s="1194"/>
      <c r="C85" s="1195">
        <f>C82+1</f>
        <v>24</v>
      </c>
      <c r="D85" s="1206" t="s">
        <v>1202</v>
      </c>
    </row>
    <row r="86" spans="1:4" ht="3" customHeight="1" x14ac:dyDescent="0.2">
      <c r="A86" s="1191"/>
      <c r="B86" s="1198"/>
      <c r="C86" s="1195"/>
      <c r="D86" s="1206"/>
    </row>
    <row r="87" spans="1:4" x14ac:dyDescent="0.2">
      <c r="A87" s="1191"/>
      <c r="B87" s="1194"/>
      <c r="C87" s="1195">
        <f>C85+1</f>
        <v>25</v>
      </c>
      <c r="D87" s="1206" t="s">
        <v>1201</v>
      </c>
    </row>
    <row r="88" spans="1:4" ht="3" customHeight="1" x14ac:dyDescent="0.2">
      <c r="A88" s="1191"/>
      <c r="B88" s="1198"/>
      <c r="C88" s="1195"/>
      <c r="D88" s="1206"/>
    </row>
    <row r="89" spans="1:4" x14ac:dyDescent="0.2">
      <c r="A89" s="1191"/>
      <c r="B89" s="1194"/>
      <c r="C89" s="1195">
        <f>C87+1</f>
        <v>26</v>
      </c>
      <c r="D89" s="1206" t="s">
        <v>1200</v>
      </c>
    </row>
    <row r="90" spans="1:4" ht="3" customHeight="1" x14ac:dyDescent="0.2">
      <c r="A90" s="1191"/>
      <c r="B90" s="1198"/>
      <c r="C90" s="1195"/>
      <c r="D90" s="1206"/>
    </row>
    <row r="91" spans="1:4" x14ac:dyDescent="0.2">
      <c r="A91" s="1191"/>
      <c r="B91" s="1194"/>
      <c r="C91" s="1195">
        <f>C89+1</f>
        <v>27</v>
      </c>
      <c r="D91" s="1206" t="s">
        <v>1706</v>
      </c>
    </row>
    <row r="92" spans="1:4" x14ac:dyDescent="0.2">
      <c r="A92" s="1191"/>
      <c r="B92" s="1219"/>
      <c r="C92" s="1213"/>
      <c r="D92" s="1206" t="s">
        <v>1199</v>
      </c>
    </row>
    <row r="93" spans="1:4" ht="4.5" customHeight="1" x14ac:dyDescent="0.2">
      <c r="A93" s="1191"/>
      <c r="D93" s="1190"/>
    </row>
    <row r="94" spans="1:4" x14ac:dyDescent="0.2">
      <c r="A94" s="1191"/>
      <c r="B94" s="1192" t="s">
        <v>1565</v>
      </c>
      <c r="C94" s="1193"/>
      <c r="D94" s="1190"/>
    </row>
    <row r="95" spans="1:4" ht="4.5" customHeight="1" x14ac:dyDescent="0.2">
      <c r="A95" s="1191"/>
      <c r="B95" s="1192"/>
      <c r="C95" s="1193"/>
      <c r="D95" s="1190"/>
    </row>
    <row r="96" spans="1:4" x14ac:dyDescent="0.2">
      <c r="A96" s="1191"/>
      <c r="B96" s="1194"/>
      <c r="C96" s="1195">
        <f>C91+1</f>
        <v>28</v>
      </c>
      <c r="D96" s="1206" t="s">
        <v>1707</v>
      </c>
    </row>
    <row r="97" spans="1:4" ht="3" customHeight="1" x14ac:dyDescent="0.2">
      <c r="A97" s="1191"/>
      <c r="B97" s="1198"/>
      <c r="C97" s="1195"/>
      <c r="D97" s="1206"/>
    </row>
    <row r="98" spans="1:4" x14ac:dyDescent="0.2">
      <c r="A98" s="1191"/>
      <c r="B98" s="1194"/>
      <c r="C98" s="1195">
        <f>C96+1</f>
        <v>29</v>
      </c>
      <c r="D98" s="1220" t="s">
        <v>1708</v>
      </c>
    </row>
    <row r="99" spans="1:4" ht="3" customHeight="1" x14ac:dyDescent="0.2">
      <c r="A99" s="1191"/>
      <c r="B99" s="1198"/>
      <c r="C99" s="1195"/>
      <c r="D99" s="1220"/>
    </row>
    <row r="100" spans="1:4" x14ac:dyDescent="0.2">
      <c r="A100" s="1191"/>
      <c r="B100" s="1194"/>
      <c r="C100" s="1195">
        <f>C98+1</f>
        <v>30</v>
      </c>
      <c r="D100" s="1206" t="s">
        <v>1709</v>
      </c>
    </row>
    <row r="101" spans="1:4" ht="3" customHeight="1" x14ac:dyDescent="0.2">
      <c r="A101" s="1191"/>
      <c r="B101" s="1198"/>
      <c r="C101" s="1195"/>
      <c r="D101" s="1221"/>
    </row>
    <row r="102" spans="1:4" x14ac:dyDescent="0.2">
      <c r="A102" s="1191"/>
      <c r="B102" s="1194"/>
      <c r="C102" s="1195">
        <f>C100+1</f>
        <v>31</v>
      </c>
      <c r="D102" s="1206" t="s">
        <v>1566</v>
      </c>
    </row>
    <row r="103" spans="1:4" ht="4.5" customHeight="1" x14ac:dyDescent="0.2">
      <c r="A103" s="1191"/>
      <c r="B103" s="312"/>
      <c r="C103" s="1195"/>
      <c r="D103" s="1206"/>
    </row>
    <row r="104" spans="1:4" ht="14.1" customHeight="1" x14ac:dyDescent="0.2">
      <c r="A104" s="1191"/>
      <c r="B104" s="1222" t="s">
        <v>1198</v>
      </c>
    </row>
    <row r="105" spans="1:4" ht="4.5" customHeight="1" x14ac:dyDescent="0.2">
      <c r="A105" s="1191"/>
      <c r="B105" s="1222"/>
    </row>
    <row r="106" spans="1:4" x14ac:dyDescent="0.2">
      <c r="A106" s="1191"/>
      <c r="B106" s="1194"/>
      <c r="C106" s="1195">
        <f>C102+1</f>
        <v>32</v>
      </c>
      <c r="D106" s="1190" t="s">
        <v>1567</v>
      </c>
    </row>
    <row r="107" spans="1:4" ht="3" customHeight="1" x14ac:dyDescent="0.2">
      <c r="A107" s="1191"/>
      <c r="B107" s="1198"/>
      <c r="C107" s="1195"/>
      <c r="D107" s="1190"/>
    </row>
    <row r="108" spans="1:4" x14ac:dyDescent="0.2">
      <c r="A108" s="1191"/>
      <c r="B108" s="1194"/>
      <c r="C108" s="1195">
        <v>33</v>
      </c>
      <c r="D108" s="1190" t="s">
        <v>1710</v>
      </c>
    </row>
    <row r="109" spans="1:4" ht="3" customHeight="1" x14ac:dyDescent="0.2">
      <c r="A109" s="1191"/>
      <c r="B109" s="1198"/>
      <c r="C109" s="1195"/>
      <c r="D109" s="1190"/>
    </row>
    <row r="110" spans="1:4" x14ac:dyDescent="0.2">
      <c r="A110" s="1191"/>
      <c r="B110" s="1194"/>
      <c r="C110" s="1195">
        <f>C108+1</f>
        <v>34</v>
      </c>
      <c r="D110" s="1190" t="s">
        <v>1197</v>
      </c>
    </row>
    <row r="111" spans="1:4" ht="3" customHeight="1" x14ac:dyDescent="0.2">
      <c r="A111" s="1191"/>
      <c r="B111" s="1198"/>
      <c r="C111" s="1195"/>
      <c r="D111" s="1190"/>
    </row>
    <row r="112" spans="1:4" x14ac:dyDescent="0.2">
      <c r="A112" s="1191"/>
      <c r="B112" s="1194"/>
      <c r="C112" s="1195">
        <f>C110+1</f>
        <v>35</v>
      </c>
      <c r="D112" s="1190" t="s">
        <v>1196</v>
      </c>
    </row>
    <row r="113" spans="1:4" ht="11.25" customHeight="1" x14ac:dyDescent="0.2">
      <c r="A113" s="1191"/>
      <c r="B113" s="1223"/>
      <c r="C113" s="1195"/>
      <c r="D113" s="1224" t="s">
        <v>1195</v>
      </c>
    </row>
    <row r="114" spans="1:4" ht="3" customHeight="1" x14ac:dyDescent="0.2">
      <c r="A114" s="1191"/>
      <c r="B114" s="1225"/>
      <c r="C114" s="1195"/>
      <c r="D114" s="1224"/>
    </row>
    <row r="115" spans="1:4" x14ac:dyDescent="0.2">
      <c r="A115" s="1191"/>
      <c r="B115" s="1194"/>
      <c r="C115" s="1195">
        <f>C112+1</f>
        <v>36</v>
      </c>
      <c r="D115" s="1206" t="s">
        <v>1194</v>
      </c>
    </row>
    <row r="116" spans="1:4" ht="3" customHeight="1" x14ac:dyDescent="0.2">
      <c r="A116" s="1191"/>
      <c r="B116" s="1198"/>
      <c r="C116" s="1195"/>
      <c r="D116" s="1206"/>
    </row>
    <row r="117" spans="1:4" x14ac:dyDescent="0.2">
      <c r="A117" s="1191"/>
      <c r="B117" s="1194"/>
      <c r="C117" s="1195">
        <f>C115+1</f>
        <v>37</v>
      </c>
      <c r="D117" s="1206" t="s">
        <v>1711</v>
      </c>
    </row>
    <row r="118" spans="1:4" ht="3" customHeight="1" x14ac:dyDescent="0.2">
      <c r="A118" s="1191"/>
      <c r="B118" s="1198"/>
      <c r="C118" s="1195"/>
      <c r="D118" s="1206"/>
    </row>
    <row r="119" spans="1:4" x14ac:dyDescent="0.2">
      <c r="A119" s="1191"/>
      <c r="B119" s="1194"/>
      <c r="C119" s="1195">
        <f>C117+1</f>
        <v>38</v>
      </c>
      <c r="D119" s="1206" t="s">
        <v>1712</v>
      </c>
    </row>
    <row r="120" spans="1:4" ht="10.5" customHeight="1" x14ac:dyDescent="0.2">
      <c r="A120" s="1191"/>
      <c r="B120" s="1219"/>
      <c r="C120" s="1195"/>
      <c r="D120" s="1206" t="s">
        <v>1193</v>
      </c>
    </row>
    <row r="121" spans="1:4" ht="10.5" customHeight="1" x14ac:dyDescent="0.2">
      <c r="A121" s="1191"/>
      <c r="B121" s="1219"/>
      <c r="C121" s="1195"/>
      <c r="D121" s="1206" t="s">
        <v>1192</v>
      </c>
    </row>
    <row r="122" spans="1:4" ht="3" customHeight="1" x14ac:dyDescent="0.2">
      <c r="A122" s="1191"/>
      <c r="B122" s="1219"/>
      <c r="C122" s="1195"/>
      <c r="D122" s="1206"/>
    </row>
    <row r="123" spans="1:4" x14ac:dyDescent="0.2">
      <c r="A123" s="1191"/>
      <c r="B123" s="1194"/>
      <c r="C123" s="1195">
        <f>C119+1</f>
        <v>39</v>
      </c>
      <c r="D123" s="1216" t="s">
        <v>1811</v>
      </c>
    </row>
    <row r="124" spans="1:4" x14ac:dyDescent="0.2">
      <c r="A124" s="1191"/>
      <c r="B124" s="312"/>
      <c r="C124" s="1195"/>
      <c r="D124" s="1206" t="s">
        <v>1191</v>
      </c>
    </row>
    <row r="125" spans="1:4" ht="4.5" customHeight="1" x14ac:dyDescent="0.2">
      <c r="A125" s="1191"/>
      <c r="D125" s="1190"/>
    </row>
    <row r="126" spans="1:4" x14ac:dyDescent="0.2">
      <c r="A126" s="1191"/>
      <c r="B126" s="1226"/>
      <c r="C126" s="1195"/>
      <c r="D126" s="1206"/>
    </row>
    <row r="127" spans="1:4" x14ac:dyDescent="0.2">
      <c r="A127" s="1191"/>
      <c r="D127" s="1206"/>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43" bottom="0.35" header="0.3" footer="0.3"/>
  <pageSetup scale="70" firstPageNumber="36"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317" customWidth="1"/>
    <col min="2" max="2" width="29.5703125" style="1227" customWidth="1"/>
    <col min="3" max="3" width="1.28515625" style="1227" customWidth="1"/>
    <col min="4" max="4" width="24.42578125" style="1228" customWidth="1"/>
    <col min="5" max="5" width="5" style="317" customWidth="1"/>
    <col min="6" max="16384" width="15.7109375" style="317"/>
  </cols>
  <sheetData>
    <row r="1" spans="1:5" x14ac:dyDescent="0.2">
      <c r="A1" s="2546" t="str">
        <f>'Single Audit Cover'!A7</f>
        <v>Hawthorn CCSD 73</v>
      </c>
      <c r="B1" s="2546"/>
      <c r="C1" s="2546"/>
      <c r="D1" s="2546"/>
      <c r="E1" s="2546"/>
    </row>
    <row r="2" spans="1:5" x14ac:dyDescent="0.2">
      <c r="A2" s="2547">
        <f>'Single Audit Cover'!E7</f>
        <v>34049073004</v>
      </c>
      <c r="B2" s="2547"/>
      <c r="C2" s="2547"/>
      <c r="D2" s="2547"/>
      <c r="E2" s="2547"/>
    </row>
    <row r="3" spans="1:5" ht="4.5" customHeight="1" x14ac:dyDescent="0.2"/>
    <row r="4" spans="1:5" x14ac:dyDescent="0.2">
      <c r="A4" s="2546" t="s">
        <v>1244</v>
      </c>
      <c r="B4" s="2546"/>
      <c r="C4" s="2546"/>
      <c r="D4" s="2546"/>
      <c r="E4" s="2546"/>
    </row>
    <row r="5" spans="1:5" x14ac:dyDescent="0.2">
      <c r="A5" s="2549" t="str">
        <f>'Single Audit Cover'!A4</f>
        <v>Year Ending June 30, 2019</v>
      </c>
      <c r="B5" s="2549"/>
      <c r="C5" s="2549"/>
      <c r="D5" s="2549"/>
      <c r="E5" s="2549"/>
    </row>
    <row r="6" spans="1:5" x14ac:dyDescent="0.2">
      <c r="A6" s="2546" t="s">
        <v>1243</v>
      </c>
      <c r="B6" s="2546"/>
      <c r="C6" s="2546"/>
      <c r="D6" s="2546"/>
      <c r="E6" s="2546"/>
    </row>
    <row r="8" spans="1:5" x14ac:dyDescent="0.2">
      <c r="A8" s="1229" t="s">
        <v>1242</v>
      </c>
    </row>
    <row r="10" spans="1:5" x14ac:dyDescent="0.2">
      <c r="A10" s="1230" t="s">
        <v>1241</v>
      </c>
      <c r="B10" s="1231" t="s">
        <v>1240</v>
      </c>
      <c r="C10" s="1231"/>
      <c r="D10" s="1232">
        <f>SUM('Acct Summary 7-8'!C7:K7)</f>
        <v>1372862</v>
      </c>
    </row>
    <row r="11" spans="1:5" ht="18" customHeight="1" x14ac:dyDescent="0.2">
      <c r="A11" s="1230" t="s">
        <v>1239</v>
      </c>
      <c r="B11" s="1231"/>
      <c r="C11" s="1231"/>
    </row>
    <row r="12" spans="1:5" x14ac:dyDescent="0.2">
      <c r="A12" s="1230" t="s">
        <v>1238</v>
      </c>
      <c r="B12" s="1231" t="s">
        <v>1237</v>
      </c>
      <c r="C12" s="1231"/>
      <c r="D12" s="1233">
        <f>SUM('Revenues 9-14'!C112:D112,'Revenues 9-14'!F112:G112)</f>
        <v>0</v>
      </c>
    </row>
    <row r="13" spans="1:5" x14ac:dyDescent="0.2">
      <c r="A13" s="1230" t="s">
        <v>1236</v>
      </c>
      <c r="B13" s="1231"/>
      <c r="C13" s="1231"/>
    </row>
    <row r="14" spans="1:5" x14ac:dyDescent="0.2">
      <c r="A14" s="1230" t="s">
        <v>1714</v>
      </c>
      <c r="B14" s="1231"/>
      <c r="C14" s="1231"/>
      <c r="D14" s="1233">
        <f>'ICR Computation 30'!E11</f>
        <v>94491</v>
      </c>
    </row>
    <row r="15" spans="1:5" x14ac:dyDescent="0.2">
      <c r="A15" s="1230"/>
      <c r="B15" s="1231"/>
      <c r="C15" s="1231"/>
    </row>
    <row r="16" spans="1:5" x14ac:dyDescent="0.2">
      <c r="A16" s="1230" t="s">
        <v>1818</v>
      </c>
      <c r="B16" s="1231"/>
      <c r="C16" s="1231"/>
    </row>
    <row r="17" spans="1:4" x14ac:dyDescent="0.2">
      <c r="A17" s="1230" t="s">
        <v>2035</v>
      </c>
      <c r="B17" s="1231" t="s">
        <v>1235</v>
      </c>
      <c r="C17" s="1231"/>
      <c r="D17" s="1233">
        <f>-SUM('Revenues 9-14'!C264:D264,'Revenues 9-14'!F264:G264)</f>
        <v>-140130</v>
      </c>
    </row>
    <row r="19" spans="1:4" ht="13.5" thickBot="1" x14ac:dyDescent="0.25">
      <c r="A19" s="1234" t="s">
        <v>1234</v>
      </c>
      <c r="D19" s="1235">
        <f>SUM(D10:D17)</f>
        <v>1327223</v>
      </c>
    </row>
    <row r="20" spans="1:4" ht="21.75" customHeight="1" thickTop="1" x14ac:dyDescent="0.2"/>
    <row r="21" spans="1:4" x14ac:dyDescent="0.2">
      <c r="A21" s="1229" t="s">
        <v>1233</v>
      </c>
    </row>
    <row r="22" spans="1:4" ht="8.25" customHeight="1" x14ac:dyDescent="0.2"/>
    <row r="23" spans="1:4" x14ac:dyDescent="0.2">
      <c r="A23" s="1236" t="s">
        <v>1227</v>
      </c>
    </row>
    <row r="24" spans="1:4" x14ac:dyDescent="0.2">
      <c r="A24" s="2548"/>
      <c r="B24" s="2548"/>
      <c r="D24" s="1237"/>
    </row>
    <row r="25" spans="1:4" x14ac:dyDescent="0.2">
      <c r="A25" s="2545"/>
      <c r="B25" s="2545"/>
      <c r="D25" s="1237"/>
    </row>
    <row r="26" spans="1:4" x14ac:dyDescent="0.2">
      <c r="A26" s="2545"/>
      <c r="B26" s="2545"/>
      <c r="D26" s="1237"/>
    </row>
    <row r="27" spans="1:4" x14ac:dyDescent="0.2">
      <c r="A27" s="2545"/>
      <c r="B27" s="2545"/>
      <c r="D27" s="1237"/>
    </row>
    <row r="28" spans="1:4" x14ac:dyDescent="0.2">
      <c r="A28" s="2545"/>
      <c r="B28" s="2545"/>
      <c r="D28" s="1237"/>
    </row>
    <row r="29" spans="1:4" x14ac:dyDescent="0.2">
      <c r="A29" s="2545"/>
      <c r="B29" s="2545"/>
      <c r="D29" s="1237"/>
    </row>
    <row r="30" spans="1:4" x14ac:dyDescent="0.2">
      <c r="A30" s="2545"/>
      <c r="B30" s="2545"/>
      <c r="D30" s="1237"/>
    </row>
    <row r="32" spans="1:4" x14ac:dyDescent="0.2">
      <c r="A32" s="1229" t="s">
        <v>1232</v>
      </c>
      <c r="D32" s="1232">
        <f>SUM(D19:D30)</f>
        <v>1327223</v>
      </c>
    </row>
    <row r="33" spans="1:4" x14ac:dyDescent="0.2">
      <c r="D33" s="1238"/>
    </row>
    <row r="34" spans="1:4" x14ac:dyDescent="0.2">
      <c r="A34" s="317" t="s">
        <v>1231</v>
      </c>
    </row>
    <row r="35" spans="1:4" x14ac:dyDescent="0.2">
      <c r="A35" s="317" t="s">
        <v>1230</v>
      </c>
      <c r="B35" s="1227" t="s">
        <v>1229</v>
      </c>
      <c r="D35" s="1239">
        <f>+' SEFA (3)'!F27</f>
        <v>1327224</v>
      </c>
    </row>
    <row r="37" spans="1:4" x14ac:dyDescent="0.2">
      <c r="A37" s="1229" t="s">
        <v>1228</v>
      </c>
    </row>
    <row r="39" spans="1:4" ht="13.35" customHeight="1" x14ac:dyDescent="0.2">
      <c r="A39" s="1236" t="s">
        <v>1227</v>
      </c>
    </row>
    <row r="40" spans="1:4" x14ac:dyDescent="0.2">
      <c r="A40" s="2545" t="s">
        <v>2095</v>
      </c>
      <c r="B40" s="2545"/>
      <c r="D40" s="1237">
        <v>-1</v>
      </c>
    </row>
    <row r="41" spans="1:4" x14ac:dyDescent="0.2">
      <c r="A41" s="2545"/>
      <c r="B41" s="2545"/>
      <c r="D41" s="1240"/>
    </row>
    <row r="42" spans="1:4" x14ac:dyDescent="0.2">
      <c r="A42" s="2545"/>
      <c r="B42" s="2545"/>
      <c r="D42" s="1240"/>
    </row>
    <row r="43" spans="1:4" x14ac:dyDescent="0.2">
      <c r="A43" s="2545"/>
      <c r="B43" s="2545"/>
      <c r="D43" s="1240"/>
    </row>
    <row r="44" spans="1:4" x14ac:dyDescent="0.2">
      <c r="A44" s="2545"/>
      <c r="B44" s="2545"/>
      <c r="D44" s="1240"/>
    </row>
    <row r="45" spans="1:4" x14ac:dyDescent="0.2">
      <c r="A45" s="2545"/>
      <c r="B45" s="2545"/>
      <c r="D45" s="1240"/>
    </row>
    <row r="47" spans="1:4" x14ac:dyDescent="0.2">
      <c r="B47" s="1241" t="s">
        <v>1226</v>
      </c>
      <c r="C47" s="1241"/>
      <c r="D47" s="1242">
        <f>SUM(D35:D45)</f>
        <v>1327223</v>
      </c>
    </row>
    <row r="49" spans="2:4" x14ac:dyDescent="0.2">
      <c r="B49" s="1241" t="s">
        <v>1225</v>
      </c>
      <c r="C49" s="1241"/>
      <c r="D49" s="1242">
        <f>D32-D47</f>
        <v>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63E95-1F69-4E4E-9C14-E9E729E83C30}">
  <sheetPr>
    <tabColor rgb="FF92D050"/>
    <pageSetUpPr fitToPage="1"/>
  </sheetPr>
  <dimension ref="B1:N152"/>
  <sheetViews>
    <sheetView showGridLines="0" topLeftCell="A4" zoomScaleNormal="100" workbookViewId="0">
      <selection activeCell="J32" sqref="J32"/>
    </sheetView>
  </sheetViews>
  <sheetFormatPr defaultColWidth="33.5703125" defaultRowHeight="12.75" x14ac:dyDescent="0.2"/>
  <cols>
    <col min="1" max="1" width="0.140625" style="317" customWidth="1"/>
    <col min="2" max="2" width="32.85546875" style="317" customWidth="1"/>
    <col min="3" max="3" width="8.7109375" style="1326" customWidth="1"/>
    <col min="4" max="4" width="12.7109375" style="1327" customWidth="1"/>
    <col min="5" max="6" width="11.7109375" style="317" customWidth="1"/>
    <col min="7" max="7" width="11.7109375" style="1227" customWidth="1"/>
    <col min="8" max="8" width="13.7109375" style="1227" bestFit="1" customWidth="1"/>
    <col min="9" max="9" width="11.7109375" style="1227" customWidth="1"/>
    <col min="10" max="10" width="13.7109375" style="1227" customWidth="1"/>
    <col min="11" max="12" width="11.7109375" style="1227" customWidth="1"/>
    <col min="13" max="13" width="11.7109375" style="317" customWidth="1"/>
    <col min="14" max="14" width="2.7109375" style="317" customWidth="1"/>
    <col min="15" max="16384" width="33.5703125" style="317"/>
  </cols>
  <sheetData>
    <row r="1" spans="2:14" ht="11.85" customHeight="1" x14ac:dyDescent="0.2">
      <c r="B1" s="2529" t="str">
        <f>'Single Audit Cover'!A7</f>
        <v>Hawthorn CCSD 73</v>
      </c>
      <c r="C1" s="2550"/>
      <c r="D1" s="2550"/>
      <c r="E1" s="2550"/>
      <c r="F1" s="2550"/>
      <c r="G1" s="2550"/>
      <c r="H1" s="2550"/>
      <c r="I1" s="2550"/>
      <c r="J1" s="2550"/>
      <c r="K1" s="2550"/>
      <c r="L1" s="2550"/>
      <c r="M1" s="2550"/>
    </row>
    <row r="2" spans="2:14" ht="15" x14ac:dyDescent="0.2">
      <c r="B2" s="2551">
        <f>'Single Audit Cover'!E7</f>
        <v>34049073004</v>
      </c>
      <c r="C2" s="2551"/>
      <c r="D2" s="2551"/>
      <c r="E2" s="2551"/>
      <c r="F2" s="2551"/>
      <c r="G2" s="2551"/>
      <c r="H2" s="2551"/>
      <c r="I2" s="2551"/>
      <c r="J2" s="2551"/>
      <c r="K2" s="2551"/>
      <c r="L2" s="2551"/>
      <c r="M2" s="2551"/>
      <c r="N2" s="1271"/>
    </row>
    <row r="3" spans="2:14" ht="15" x14ac:dyDescent="0.2">
      <c r="B3" s="2552" t="s">
        <v>1218</v>
      </c>
      <c r="C3" s="2552"/>
      <c r="D3" s="2552"/>
      <c r="E3" s="2552"/>
      <c r="F3" s="2552"/>
      <c r="G3" s="2552"/>
      <c r="H3" s="2552"/>
      <c r="I3" s="2552"/>
      <c r="J3" s="2552"/>
      <c r="K3" s="2552"/>
      <c r="L3" s="2552"/>
      <c r="M3" s="2552"/>
      <c r="N3" s="1271"/>
    </row>
    <row r="4" spans="2:14" ht="15" x14ac:dyDescent="0.2">
      <c r="B4" s="2553" t="str">
        <f>'Single Audit Cover'!A4</f>
        <v>Year Ending June 30, 2019</v>
      </c>
      <c r="C4" s="2553"/>
      <c r="D4" s="2553"/>
      <c r="E4" s="2553"/>
      <c r="F4" s="2553"/>
      <c r="G4" s="2553"/>
      <c r="H4" s="2553"/>
      <c r="I4" s="2553"/>
      <c r="J4" s="2553"/>
      <c r="K4" s="2553"/>
      <c r="L4" s="2553"/>
      <c r="M4" s="2553"/>
      <c r="N4" s="1271"/>
    </row>
    <row r="6" spans="2:14" x14ac:dyDescent="0.2">
      <c r="B6" s="1272"/>
      <c r="C6" s="1273"/>
      <c r="D6" s="1274" t="s">
        <v>1264</v>
      </c>
      <c r="E6" s="1275" t="s">
        <v>526</v>
      </c>
      <c r="F6" s="1276"/>
      <c r="G6" s="1277" t="s">
        <v>1718</v>
      </c>
      <c r="H6" s="1275"/>
      <c r="I6" s="1275"/>
      <c r="J6" s="1275"/>
      <c r="K6" s="1278"/>
      <c r="L6" s="1279"/>
      <c r="M6" s="1280"/>
    </row>
    <row r="7" spans="2:14" x14ac:dyDescent="0.2">
      <c r="B7" s="1281" t="s">
        <v>1568</v>
      </c>
      <c r="C7" s="1282"/>
      <c r="D7" s="1283"/>
      <c r="E7" s="1284"/>
      <c r="F7" s="1285"/>
      <c r="G7" s="1284"/>
      <c r="H7" s="1286" t="s">
        <v>1261</v>
      </c>
      <c r="I7" s="1284"/>
      <c r="J7" s="1287" t="s">
        <v>1261</v>
      </c>
      <c r="K7" s="1288"/>
      <c r="L7" s="1289" t="s">
        <v>1259</v>
      </c>
      <c r="M7" s="1290"/>
    </row>
    <row r="8" spans="2:14" x14ac:dyDescent="0.2">
      <c r="B8" s="1618"/>
      <c r="C8" s="1282" t="s">
        <v>1263</v>
      </c>
      <c r="D8" s="1283" t="s">
        <v>1262</v>
      </c>
      <c r="E8" s="1291" t="s">
        <v>1261</v>
      </c>
      <c r="F8" s="1292" t="s">
        <v>1261</v>
      </c>
      <c r="G8" s="1293" t="s">
        <v>1261</v>
      </c>
      <c r="H8" s="1286" t="s">
        <v>1813</v>
      </c>
      <c r="I8" s="1288" t="s">
        <v>1261</v>
      </c>
      <c r="J8" s="1287" t="s">
        <v>1964</v>
      </c>
      <c r="K8" s="1288" t="s">
        <v>1260</v>
      </c>
      <c r="L8" s="1289" t="s">
        <v>1256</v>
      </c>
      <c r="M8" s="1290" t="s">
        <v>30</v>
      </c>
    </row>
    <row r="9" spans="2:14" ht="14.25" x14ac:dyDescent="0.2">
      <c r="B9" s="1294" t="s">
        <v>1258</v>
      </c>
      <c r="C9" s="1282" t="s">
        <v>1719</v>
      </c>
      <c r="D9" s="1283" t="s">
        <v>1720</v>
      </c>
      <c r="E9" s="1291" t="s">
        <v>1813</v>
      </c>
      <c r="F9" s="1292" t="s">
        <v>1964</v>
      </c>
      <c r="G9" s="1293" t="s">
        <v>1813</v>
      </c>
      <c r="H9" s="1286" t="s">
        <v>1569</v>
      </c>
      <c r="I9" s="1288" t="s">
        <v>1964</v>
      </c>
      <c r="J9" s="1287" t="s">
        <v>1569</v>
      </c>
      <c r="K9" s="1288" t="s">
        <v>1257</v>
      </c>
      <c r="L9" s="1295" t="s">
        <v>1570</v>
      </c>
      <c r="M9" s="1290"/>
    </row>
    <row r="10" spans="2:14" ht="11.85" customHeight="1" x14ac:dyDescent="0.2">
      <c r="B10" s="1294" t="s">
        <v>1255</v>
      </c>
      <c r="C10" s="1296" t="s">
        <v>1254</v>
      </c>
      <c r="D10" s="1297" t="s">
        <v>1253</v>
      </c>
      <c r="E10" s="1298" t="s">
        <v>1252</v>
      </c>
      <c r="F10" s="1299" t="s">
        <v>1251</v>
      </c>
      <c r="G10" s="1300" t="s">
        <v>1250</v>
      </c>
      <c r="H10" s="1301" t="s">
        <v>1265</v>
      </c>
      <c r="I10" s="1302" t="s">
        <v>1249</v>
      </c>
      <c r="J10" s="1303" t="s">
        <v>1265</v>
      </c>
      <c r="K10" s="1304" t="s">
        <v>1248</v>
      </c>
      <c r="L10" s="1304" t="s">
        <v>1247</v>
      </c>
      <c r="M10" s="1305" t="s">
        <v>1246</v>
      </c>
    </row>
    <row r="11" spans="2:14" ht="20.100000000000001" customHeight="1" x14ac:dyDescent="0.2">
      <c r="B11" s="1306" t="s">
        <v>2046</v>
      </c>
      <c r="C11" s="1307"/>
      <c r="D11" s="1308"/>
      <c r="E11" s="1309"/>
      <c r="F11" s="1309"/>
      <c r="G11" s="1309"/>
      <c r="H11" s="1309"/>
      <c r="I11" s="1309"/>
      <c r="J11" s="1309"/>
      <c r="K11" s="1309"/>
      <c r="L11" s="1309">
        <f>+G11+I11+K11</f>
        <v>0</v>
      </c>
      <c r="M11" s="1309"/>
    </row>
    <row r="12" spans="2:14" ht="20.100000000000001" customHeight="1" x14ac:dyDescent="0.2">
      <c r="B12" s="1306" t="s">
        <v>2048</v>
      </c>
      <c r="C12" s="1310"/>
      <c r="D12" s="1311"/>
      <c r="E12" s="1312"/>
      <c r="F12" s="1312"/>
      <c r="G12" s="1312"/>
      <c r="H12" s="1312"/>
      <c r="I12" s="1312"/>
      <c r="J12" s="1312"/>
      <c r="K12" s="1312"/>
      <c r="L12" s="1309">
        <f t="shared" ref="L12:L27" si="0">+G12+I12+K12</f>
        <v>0</v>
      </c>
      <c r="M12" s="1312"/>
    </row>
    <row r="13" spans="2:14" ht="20.100000000000001" customHeight="1" x14ac:dyDescent="0.2">
      <c r="B13" s="1306" t="s">
        <v>2096</v>
      </c>
      <c r="C13" s="1310">
        <v>10.555</v>
      </c>
      <c r="D13" s="1311" t="s">
        <v>2047</v>
      </c>
      <c r="E13" s="1312"/>
      <c r="F13" s="1312">
        <v>66175</v>
      </c>
      <c r="G13" s="1312"/>
      <c r="H13" s="1312"/>
      <c r="I13" s="1312">
        <v>66175</v>
      </c>
      <c r="J13" s="1312"/>
      <c r="K13" s="1312"/>
      <c r="L13" s="1309">
        <f t="shared" si="0"/>
        <v>66175</v>
      </c>
      <c r="M13" s="1312" t="s">
        <v>2053</v>
      </c>
    </row>
    <row r="14" spans="2:14" ht="20.100000000000001" customHeight="1" x14ac:dyDescent="0.2">
      <c r="B14" s="1306" t="s">
        <v>2097</v>
      </c>
      <c r="C14" s="1310">
        <v>10.555</v>
      </c>
      <c r="D14" s="1311" t="s">
        <v>2049</v>
      </c>
      <c r="E14" s="1312">
        <v>418739</v>
      </c>
      <c r="F14" s="1312">
        <v>66045</v>
      </c>
      <c r="G14" s="1312">
        <v>418739</v>
      </c>
      <c r="H14" s="1312"/>
      <c r="I14" s="1312">
        <v>66045</v>
      </c>
      <c r="J14" s="1312"/>
      <c r="K14" s="1312"/>
      <c r="L14" s="1309">
        <f t="shared" si="0"/>
        <v>484784</v>
      </c>
      <c r="M14" s="1312" t="s">
        <v>2053</v>
      </c>
    </row>
    <row r="15" spans="2:14" ht="20.100000000000001" customHeight="1" x14ac:dyDescent="0.2">
      <c r="B15" s="1306" t="s">
        <v>2097</v>
      </c>
      <c r="C15" s="1310">
        <v>10.555</v>
      </c>
      <c r="D15" s="1311" t="s">
        <v>2050</v>
      </c>
      <c r="E15" s="1312"/>
      <c r="F15" s="1312">
        <v>392683</v>
      </c>
      <c r="G15" s="1312"/>
      <c r="H15" s="1312"/>
      <c r="I15" s="1312">
        <v>392683</v>
      </c>
      <c r="J15" s="1312"/>
      <c r="K15" s="1312"/>
      <c r="L15" s="1309">
        <f t="shared" si="0"/>
        <v>392683</v>
      </c>
      <c r="M15" s="1312" t="s">
        <v>2053</v>
      </c>
    </row>
    <row r="16" spans="2:14" ht="20.100000000000001" customHeight="1" x14ac:dyDescent="0.2">
      <c r="B16" s="1306" t="s">
        <v>2098</v>
      </c>
      <c r="C16" s="1310">
        <v>10.553000000000001</v>
      </c>
      <c r="D16" s="1311" t="s">
        <v>2051</v>
      </c>
      <c r="E16" s="1312">
        <v>77005</v>
      </c>
      <c r="F16" s="1312">
        <v>9265</v>
      </c>
      <c r="G16" s="1312">
        <v>77005</v>
      </c>
      <c r="H16" s="1312"/>
      <c r="I16" s="1312">
        <v>9265</v>
      </c>
      <c r="J16" s="1312"/>
      <c r="K16" s="1312"/>
      <c r="L16" s="1309">
        <f t="shared" si="0"/>
        <v>86270</v>
      </c>
      <c r="M16" s="1312" t="s">
        <v>2053</v>
      </c>
    </row>
    <row r="17" spans="2:14" ht="20.100000000000001" customHeight="1" x14ac:dyDescent="0.2">
      <c r="B17" s="1306" t="s">
        <v>2098</v>
      </c>
      <c r="C17" s="1310">
        <v>10.553000000000001</v>
      </c>
      <c r="D17" s="1311" t="s">
        <v>2052</v>
      </c>
      <c r="E17" s="1312"/>
      <c r="F17" s="1312">
        <v>67285</v>
      </c>
      <c r="G17" s="1312"/>
      <c r="H17" s="1312"/>
      <c r="I17" s="1312">
        <v>67285</v>
      </c>
      <c r="J17" s="1312"/>
      <c r="K17" s="1312"/>
      <c r="L17" s="1309">
        <f t="shared" si="0"/>
        <v>67285</v>
      </c>
      <c r="M17" s="1312" t="s">
        <v>2053</v>
      </c>
    </row>
    <row r="18" spans="2:14" ht="20.100000000000001" customHeight="1" x14ac:dyDescent="0.2">
      <c r="B18" s="1306"/>
      <c r="C18" s="1310"/>
      <c r="D18" s="1311"/>
      <c r="E18" s="1312"/>
      <c r="F18" s="1312"/>
      <c r="G18" s="1312"/>
      <c r="H18" s="1312"/>
      <c r="I18" s="1312"/>
      <c r="J18" s="1312"/>
      <c r="K18" s="1312"/>
      <c r="L18" s="1309">
        <f t="shared" si="0"/>
        <v>0</v>
      </c>
      <c r="M18" s="1312"/>
    </row>
    <row r="19" spans="2:14" ht="20.100000000000001" customHeight="1" x14ac:dyDescent="0.2">
      <c r="B19" s="1306" t="s">
        <v>2054</v>
      </c>
      <c r="C19" s="1310"/>
      <c r="D19" s="1311"/>
      <c r="E19" s="1312"/>
      <c r="F19" s="1312"/>
      <c r="G19" s="1312"/>
      <c r="H19" s="1312"/>
      <c r="I19" s="1312"/>
      <c r="J19" s="1312"/>
      <c r="K19" s="1312"/>
      <c r="L19" s="1309">
        <f t="shared" si="0"/>
        <v>0</v>
      </c>
      <c r="M19" s="1312"/>
    </row>
    <row r="20" spans="2:14" ht="20.100000000000001" customHeight="1" x14ac:dyDescent="0.2">
      <c r="B20" s="1306" t="s">
        <v>2096</v>
      </c>
      <c r="C20" s="1310">
        <v>10.555</v>
      </c>
      <c r="D20" s="1311" t="s">
        <v>2047</v>
      </c>
      <c r="E20" s="1312"/>
      <c r="F20" s="1312">
        <v>28316</v>
      </c>
      <c r="G20" s="1312"/>
      <c r="H20" s="1312"/>
      <c r="I20" s="1312">
        <v>28316</v>
      </c>
      <c r="J20" s="1312"/>
      <c r="K20" s="1312"/>
      <c r="L20" s="1309">
        <f t="shared" si="0"/>
        <v>28316</v>
      </c>
      <c r="M20" s="1312"/>
    </row>
    <row r="21" spans="2:14" ht="20.100000000000001" customHeight="1" x14ac:dyDescent="0.2">
      <c r="B21" s="1306"/>
      <c r="C21" s="1310"/>
      <c r="D21" s="1311"/>
      <c r="E21" s="1312"/>
      <c r="F21" s="1312"/>
      <c r="G21" s="1312"/>
      <c r="H21" s="1312"/>
      <c r="I21" s="1312"/>
      <c r="J21" s="1312"/>
      <c r="K21" s="1312"/>
      <c r="L21" s="1309">
        <f t="shared" si="0"/>
        <v>0</v>
      </c>
      <c r="M21" s="1312"/>
    </row>
    <row r="22" spans="2:14" ht="20.100000000000001" customHeight="1" x14ac:dyDescent="0.2">
      <c r="B22" s="1306" t="s">
        <v>2057</v>
      </c>
      <c r="C22" s="1310"/>
      <c r="D22" s="1311"/>
      <c r="E22" s="1312">
        <f>+SUM(E13:E20)</f>
        <v>495744</v>
      </c>
      <c r="F22" s="1312">
        <f>+SUM(F13:F20)</f>
        <v>629769</v>
      </c>
      <c r="G22" s="1312">
        <f>+SUM(G13:G20)</f>
        <v>495744</v>
      </c>
      <c r="H22" s="1312"/>
      <c r="I22" s="1312">
        <f>+SUM(I13:I20)</f>
        <v>629769</v>
      </c>
      <c r="J22" s="1312"/>
      <c r="K22" s="1312"/>
      <c r="L22" s="1309">
        <f t="shared" si="0"/>
        <v>1125513</v>
      </c>
      <c r="M22" s="1312"/>
    </row>
    <row r="23" spans="2:14" ht="20.100000000000001" customHeight="1" x14ac:dyDescent="0.2">
      <c r="B23" s="1306"/>
      <c r="C23" s="1310"/>
      <c r="D23" s="1311"/>
      <c r="E23" s="1312"/>
      <c r="F23" s="1312"/>
      <c r="G23" s="1312"/>
      <c r="H23" s="1312"/>
      <c r="I23" s="1312"/>
      <c r="J23" s="1312"/>
      <c r="K23" s="1312"/>
      <c r="L23" s="1309">
        <f t="shared" si="0"/>
        <v>0</v>
      </c>
      <c r="M23" s="1312"/>
    </row>
    <row r="24" spans="2:14" ht="20.100000000000001" customHeight="1" x14ac:dyDescent="0.2">
      <c r="B24" s="1306" t="s">
        <v>2058</v>
      </c>
      <c r="C24" s="1310"/>
      <c r="D24" s="1311"/>
      <c r="E24" s="1312">
        <f>+E22</f>
        <v>495744</v>
      </c>
      <c r="F24" s="1312">
        <f>+F22</f>
        <v>629769</v>
      </c>
      <c r="G24" s="1312">
        <f>+G22</f>
        <v>495744</v>
      </c>
      <c r="H24" s="1312"/>
      <c r="I24" s="1312">
        <f>+I22</f>
        <v>629769</v>
      </c>
      <c r="J24" s="1312"/>
      <c r="K24" s="1312"/>
      <c r="L24" s="1309">
        <f t="shared" si="0"/>
        <v>1125513</v>
      </c>
      <c r="M24" s="1312"/>
    </row>
    <row r="25" spans="2:14" ht="20.100000000000001" customHeight="1" x14ac:dyDescent="0.2">
      <c r="B25" s="1306"/>
      <c r="C25" s="1310"/>
      <c r="D25" s="1311"/>
      <c r="E25" s="1312"/>
      <c r="F25" s="1312"/>
      <c r="G25" s="1312"/>
      <c r="H25" s="1312"/>
      <c r="I25" s="1312"/>
      <c r="J25" s="1312"/>
      <c r="K25" s="1312"/>
      <c r="L25" s="1309">
        <f t="shared" si="0"/>
        <v>0</v>
      </c>
      <c r="M25" s="1312"/>
    </row>
    <row r="26" spans="2:14" ht="20.100000000000001" customHeight="1" x14ac:dyDescent="0.2">
      <c r="B26" s="1306" t="s">
        <v>2056</v>
      </c>
      <c r="C26" s="1310"/>
      <c r="D26" s="1311"/>
      <c r="E26" s="1312"/>
      <c r="F26" s="1312"/>
      <c r="G26" s="1312"/>
      <c r="H26" s="1312"/>
      <c r="I26" s="1312"/>
      <c r="J26" s="1312"/>
      <c r="K26" s="1312"/>
      <c r="L26" s="1309">
        <f t="shared" si="0"/>
        <v>0</v>
      </c>
      <c r="M26" s="1312"/>
    </row>
    <row r="27" spans="2:14" ht="20.100000000000001" customHeight="1" x14ac:dyDescent="0.2">
      <c r="B27" s="1306" t="s">
        <v>2055</v>
      </c>
      <c r="C27" s="1310"/>
      <c r="D27" s="1311"/>
      <c r="E27" s="1312"/>
      <c r="F27" s="1312"/>
      <c r="G27" s="1312"/>
      <c r="H27" s="1312"/>
      <c r="I27" s="1312"/>
      <c r="J27" s="1312"/>
      <c r="K27" s="1312"/>
      <c r="L27" s="1309">
        <f t="shared" si="0"/>
        <v>0</v>
      </c>
      <c r="M27" s="1312"/>
      <c r="N27" s="1313"/>
    </row>
    <row r="28" spans="2:14" ht="12.75" customHeight="1" x14ac:dyDescent="0.2">
      <c r="B28" s="1314"/>
      <c r="C28" s="1315"/>
      <c r="D28" s="1316"/>
      <c r="E28" s="1317"/>
      <c r="F28" s="1317"/>
      <c r="G28" s="1317"/>
      <c r="H28" s="1317"/>
      <c r="I28" s="1317"/>
      <c r="J28" s="1317"/>
      <c r="K28" s="1317"/>
      <c r="L28" s="1317"/>
      <c r="M28" s="1317"/>
      <c r="N28" s="1313"/>
    </row>
    <row r="29" spans="2:14" x14ac:dyDescent="0.2">
      <c r="B29" s="1226"/>
      <c r="C29" s="1318"/>
      <c r="D29" s="1319"/>
      <c r="E29" s="1226"/>
      <c r="F29" s="1226"/>
      <c r="G29" s="1219"/>
      <c r="H29" s="1219"/>
      <c r="I29" s="1219"/>
      <c r="J29" s="1219"/>
      <c r="K29" s="1219"/>
      <c r="L29" s="1219"/>
      <c r="M29" s="1226"/>
      <c r="N29" s="1313"/>
    </row>
    <row r="30" spans="2:14" ht="13.5" customHeight="1" x14ac:dyDescent="0.2">
      <c r="B30" s="1251" t="s">
        <v>1721</v>
      </c>
      <c r="C30" s="1318"/>
      <c r="D30" s="1319"/>
      <c r="E30" s="1226"/>
      <c r="F30" s="1226"/>
      <c r="G30" s="1219"/>
      <c r="H30" s="1219"/>
      <c r="I30" s="1219"/>
      <c r="J30" s="1219"/>
      <c r="K30" s="1219"/>
      <c r="L30" s="1219"/>
      <c r="M30" s="1226"/>
      <c r="N30" s="1313"/>
    </row>
    <row r="31" spans="2:14" ht="8.25" customHeight="1" x14ac:dyDescent="0.2">
      <c r="B31" s="1251"/>
      <c r="C31" s="1318"/>
      <c r="D31" s="1319"/>
      <c r="E31" s="1226"/>
      <c r="F31" s="1226"/>
      <c r="G31" s="1219"/>
      <c r="H31" s="1219"/>
      <c r="I31" s="1219"/>
      <c r="J31" s="1219"/>
      <c r="K31" s="1219"/>
      <c r="L31" s="1219"/>
      <c r="M31" s="1226"/>
      <c r="N31" s="1313"/>
    </row>
    <row r="32" spans="2:14" x14ac:dyDescent="0.2">
      <c r="B32" s="1320" t="s">
        <v>1814</v>
      </c>
      <c r="C32" s="1321"/>
      <c r="D32" s="1322"/>
      <c r="E32" s="1323"/>
      <c r="F32" s="1323"/>
      <c r="G32" s="1323"/>
      <c r="H32" s="1323"/>
      <c r="I32" s="317"/>
      <c r="J32" s="317"/>
    </row>
    <row r="33" spans="2:13" x14ac:dyDescent="0.2">
      <c r="B33" s="1246"/>
      <c r="C33" s="1324"/>
      <c r="D33" s="1325"/>
      <c r="E33" s="1247"/>
      <c r="F33" s="1247"/>
      <c r="G33" s="317"/>
      <c r="H33" s="317"/>
      <c r="I33" s="317"/>
      <c r="J33" s="317"/>
    </row>
    <row r="34" spans="2:13" ht="13.5" customHeight="1" x14ac:dyDescent="0.2">
      <c r="B34" s="1245" t="s">
        <v>1245</v>
      </c>
      <c r="G34" s="317"/>
      <c r="H34" s="317"/>
      <c r="I34" s="317"/>
      <c r="J34" s="317"/>
    </row>
    <row r="35" spans="2:13" ht="13.5" customHeight="1" x14ac:dyDescent="0.2">
      <c r="B35" s="1328"/>
      <c r="C35" s="1329"/>
      <c r="D35" s="1330"/>
      <c r="E35" s="1266"/>
      <c r="F35" s="1266"/>
      <c r="G35" s="1266"/>
      <c r="H35" s="1266"/>
      <c r="I35" s="1266"/>
      <c r="J35" s="1266"/>
      <c r="K35" s="1331"/>
      <c r="L35" s="1331"/>
      <c r="M35" s="1266"/>
    </row>
    <row r="36" spans="2:13" ht="9.6" customHeight="1" x14ac:dyDescent="0.2">
      <c r="B36" s="1332"/>
      <c r="G36" s="317"/>
      <c r="H36" s="317"/>
      <c r="I36" s="317"/>
      <c r="J36" s="317"/>
    </row>
    <row r="37" spans="2:13" ht="11.25" customHeight="1" x14ac:dyDescent="0.2">
      <c r="B37" s="1333" t="s">
        <v>1722</v>
      </c>
      <c r="C37" s="1334"/>
      <c r="D37" s="1334"/>
      <c r="E37" s="1334"/>
      <c r="F37" s="1334"/>
      <c r="G37" s="1334"/>
      <c r="H37" s="1334"/>
      <c r="I37" s="1335"/>
      <c r="J37" s="1335"/>
      <c r="K37" s="1335"/>
      <c r="L37" s="1335"/>
      <c r="M37" s="1335"/>
    </row>
    <row r="38" spans="2:13" ht="11.25" customHeight="1" x14ac:dyDescent="0.2">
      <c r="B38" s="1336" t="s">
        <v>1571</v>
      </c>
      <c r="C38" s="1335"/>
      <c r="D38" s="1335"/>
      <c r="E38" s="1335"/>
      <c r="F38" s="1335"/>
      <c r="G38" s="1335"/>
      <c r="H38" s="1335"/>
      <c r="I38" s="1335"/>
      <c r="J38" s="1335"/>
      <c r="K38" s="1335"/>
      <c r="L38" s="1335"/>
      <c r="M38" s="1335"/>
    </row>
    <row r="39" spans="2:13" ht="3.95" customHeight="1" x14ac:dyDescent="0.2">
      <c r="B39" s="1336"/>
      <c r="C39" s="1335"/>
      <c r="D39" s="1335"/>
      <c r="E39" s="1335"/>
      <c r="F39" s="1335"/>
      <c r="G39" s="1335"/>
      <c r="H39" s="1335"/>
      <c r="I39" s="1335"/>
      <c r="J39" s="1335"/>
      <c r="K39" s="1335"/>
      <c r="L39" s="1335"/>
      <c r="M39" s="1335"/>
    </row>
    <row r="40" spans="2:13" ht="11.25" customHeight="1" x14ac:dyDescent="0.2">
      <c r="B40" s="1333" t="s">
        <v>1723</v>
      </c>
      <c r="C40" s="1335"/>
      <c r="D40" s="1335"/>
      <c r="E40" s="1335"/>
      <c r="F40" s="1335"/>
      <c r="G40" s="1335"/>
      <c r="H40" s="1335"/>
      <c r="I40" s="1335"/>
      <c r="J40" s="1335"/>
      <c r="K40" s="1335"/>
      <c r="L40" s="1335"/>
      <c r="M40" s="1335"/>
    </row>
    <row r="41" spans="2:13" ht="11.25" customHeight="1" x14ac:dyDescent="0.2">
      <c r="B41" s="1269" t="s">
        <v>1572</v>
      </c>
      <c r="C41" s="1337"/>
      <c r="D41" s="1338"/>
      <c r="E41" s="1269"/>
      <c r="F41" s="1269"/>
      <c r="G41" s="1269"/>
      <c r="H41" s="1269"/>
      <c r="I41" s="1269"/>
      <c r="J41" s="1269"/>
      <c r="K41" s="1339"/>
      <c r="L41" s="1339"/>
      <c r="M41" s="1269"/>
    </row>
    <row r="42" spans="2:13" ht="3.95" customHeight="1" x14ac:dyDescent="0.2">
      <c r="B42" s="1269"/>
      <c r="C42" s="1337"/>
      <c r="D42" s="1338"/>
      <c r="E42" s="1269"/>
      <c r="F42" s="1269"/>
      <c r="G42" s="1269"/>
      <c r="H42" s="1269"/>
      <c r="I42" s="1269"/>
      <c r="J42" s="1269"/>
      <c r="K42" s="1339"/>
      <c r="L42" s="1339"/>
      <c r="M42" s="1269"/>
    </row>
    <row r="43" spans="2:13" ht="11.25" customHeight="1" x14ac:dyDescent="0.2">
      <c r="B43" s="1340" t="s">
        <v>1724</v>
      </c>
      <c r="C43" s="1337"/>
      <c r="D43" s="1338"/>
      <c r="E43" s="1269"/>
      <c r="F43" s="1269"/>
      <c r="G43" s="1269"/>
      <c r="H43" s="1269"/>
      <c r="I43" s="1269"/>
      <c r="J43" s="1269"/>
      <c r="K43" s="1339"/>
      <c r="L43" s="1339"/>
      <c r="M43" s="1269"/>
    </row>
    <row r="44" spans="2:13" ht="3.95" customHeight="1" x14ac:dyDescent="0.2">
      <c r="B44" s="1340"/>
      <c r="C44" s="1337"/>
      <c r="D44" s="1338"/>
      <c r="E44" s="1269"/>
      <c r="F44" s="1269"/>
      <c r="G44" s="1269"/>
      <c r="H44" s="1269"/>
      <c r="I44" s="1269"/>
      <c r="J44" s="1269"/>
      <c r="K44" s="1339"/>
      <c r="L44" s="1339"/>
      <c r="M44" s="1269"/>
    </row>
    <row r="45" spans="2:13" ht="11.25" customHeight="1" x14ac:dyDescent="0.2">
      <c r="B45" s="1341" t="s">
        <v>1725</v>
      </c>
      <c r="C45" s="1337"/>
      <c r="D45" s="1338"/>
      <c r="E45" s="1269"/>
      <c r="F45" s="1269"/>
      <c r="G45" s="1269"/>
      <c r="H45" s="1269"/>
      <c r="I45" s="1269"/>
      <c r="J45" s="1269"/>
      <c r="K45" s="1339"/>
      <c r="L45" s="1339"/>
      <c r="M45" s="1269"/>
    </row>
    <row r="46" spans="2:13" ht="11.25" customHeight="1" x14ac:dyDescent="0.2">
      <c r="B46" s="1269" t="s">
        <v>1573</v>
      </c>
      <c r="G46" s="317"/>
      <c r="H46" s="317"/>
      <c r="I46" s="317"/>
      <c r="J46" s="317"/>
    </row>
    <row r="47" spans="2:13" ht="11.1" customHeight="1" x14ac:dyDescent="0.2">
      <c r="B47" s="1269"/>
      <c r="G47" s="317"/>
      <c r="H47" s="317"/>
      <c r="I47" s="317"/>
      <c r="J47" s="317"/>
    </row>
    <row r="48" spans="2:13" ht="11.1" customHeight="1" x14ac:dyDescent="0.2">
      <c r="B48" s="1269"/>
      <c r="G48" s="317"/>
      <c r="H48" s="317"/>
      <c r="I48" s="317"/>
      <c r="J48" s="317"/>
    </row>
    <row r="49" spans="7:13" ht="13.5" customHeight="1" x14ac:dyDescent="0.2">
      <c r="M49" s="1342"/>
    </row>
    <row r="50" spans="7:13" ht="13.5" customHeight="1" x14ac:dyDescent="0.2">
      <c r="M50" s="1342"/>
    </row>
    <row r="51" spans="7:13" ht="13.5" customHeight="1" x14ac:dyDescent="0.2">
      <c r="M51" s="134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33"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63EBF-2DFC-41F4-B500-325C3A46A1BD}">
  <sheetPr>
    <tabColor rgb="FF92D050"/>
    <pageSetUpPr fitToPage="1"/>
  </sheetPr>
  <dimension ref="B1:N152"/>
  <sheetViews>
    <sheetView showGridLines="0" zoomScaleNormal="100" workbookViewId="0">
      <selection activeCell="B11" sqref="B11"/>
    </sheetView>
  </sheetViews>
  <sheetFormatPr defaultColWidth="33.5703125" defaultRowHeight="12.75" x14ac:dyDescent="0.2"/>
  <cols>
    <col min="1" max="1" width="0.140625" style="317" customWidth="1"/>
    <col min="2" max="2" width="32.85546875" style="317" customWidth="1"/>
    <col min="3" max="3" width="8.7109375" style="1326" customWidth="1"/>
    <col min="4" max="4" width="12.7109375" style="1327" customWidth="1"/>
    <col min="5" max="6" width="11.7109375" style="317" customWidth="1"/>
    <col min="7" max="7" width="11.7109375" style="1227" customWidth="1"/>
    <col min="8" max="8" width="13.7109375" style="1227" bestFit="1" customWidth="1"/>
    <col min="9" max="9" width="11.7109375" style="1227" customWidth="1"/>
    <col min="10" max="10" width="13.7109375" style="1227" customWidth="1"/>
    <col min="11" max="12" width="11.7109375" style="1227" customWidth="1"/>
    <col min="13" max="13" width="11.7109375" style="317" customWidth="1"/>
    <col min="14" max="14" width="2.7109375" style="317" customWidth="1"/>
    <col min="15" max="16384" width="33.5703125" style="317"/>
  </cols>
  <sheetData>
    <row r="1" spans="2:14" ht="11.85" customHeight="1" x14ac:dyDescent="0.2">
      <c r="B1" s="2529" t="str">
        <f>'Single Audit Cover'!A7</f>
        <v>Hawthorn CCSD 73</v>
      </c>
      <c r="C1" s="2550"/>
      <c r="D1" s="2550"/>
      <c r="E1" s="2550"/>
      <c r="F1" s="2550"/>
      <c r="G1" s="2550"/>
      <c r="H1" s="2550"/>
      <c r="I1" s="2550"/>
      <c r="J1" s="2550"/>
      <c r="K1" s="2550"/>
      <c r="L1" s="2550"/>
      <c r="M1" s="2550"/>
    </row>
    <row r="2" spans="2:14" ht="15" x14ac:dyDescent="0.2">
      <c r="B2" s="2551">
        <f>'Single Audit Cover'!E7</f>
        <v>34049073004</v>
      </c>
      <c r="C2" s="2551"/>
      <c r="D2" s="2551"/>
      <c r="E2" s="2551"/>
      <c r="F2" s="2551"/>
      <c r="G2" s="2551"/>
      <c r="H2" s="2551"/>
      <c r="I2" s="2551"/>
      <c r="J2" s="2551"/>
      <c r="K2" s="2551"/>
      <c r="L2" s="2551"/>
      <c r="M2" s="2551"/>
      <c r="N2" s="1271"/>
    </row>
    <row r="3" spans="2:14" ht="15" x14ac:dyDescent="0.2">
      <c r="B3" s="2552" t="s">
        <v>1218</v>
      </c>
      <c r="C3" s="2552"/>
      <c r="D3" s="2552"/>
      <c r="E3" s="2552"/>
      <c r="F3" s="2552"/>
      <c r="G3" s="2552"/>
      <c r="H3" s="2552"/>
      <c r="I3" s="2552"/>
      <c r="J3" s="2552"/>
      <c r="K3" s="2552"/>
      <c r="L3" s="2552"/>
      <c r="M3" s="2552"/>
      <c r="N3" s="1271"/>
    </row>
    <row r="4" spans="2:14" ht="15" x14ac:dyDescent="0.2">
      <c r="B4" s="2553" t="str">
        <f>'Single Audit Cover'!A4</f>
        <v>Year Ending June 30, 2019</v>
      </c>
      <c r="C4" s="2553"/>
      <c r="D4" s="2553"/>
      <c r="E4" s="2553"/>
      <c r="F4" s="2553"/>
      <c r="G4" s="2553"/>
      <c r="H4" s="2553"/>
      <c r="I4" s="2553"/>
      <c r="J4" s="2553"/>
      <c r="K4" s="2553"/>
      <c r="L4" s="2553"/>
      <c r="M4" s="2553"/>
      <c r="N4" s="1271"/>
    </row>
    <row r="6" spans="2:14" x14ac:dyDescent="0.2">
      <c r="B6" s="1272"/>
      <c r="C6" s="1273"/>
      <c r="D6" s="1274" t="s">
        <v>1264</v>
      </c>
      <c r="E6" s="1275" t="s">
        <v>526</v>
      </c>
      <c r="F6" s="1276"/>
      <c r="G6" s="1277" t="s">
        <v>1718</v>
      </c>
      <c r="H6" s="1275"/>
      <c r="I6" s="1275"/>
      <c r="J6" s="1275"/>
      <c r="K6" s="1278"/>
      <c r="L6" s="1279"/>
      <c r="M6" s="1280"/>
    </row>
    <row r="7" spans="2:14" x14ac:dyDescent="0.2">
      <c r="B7" s="1281" t="s">
        <v>1568</v>
      </c>
      <c r="C7" s="1282"/>
      <c r="D7" s="1283"/>
      <c r="E7" s="1284"/>
      <c r="F7" s="1285"/>
      <c r="G7" s="1284"/>
      <c r="H7" s="1286" t="s">
        <v>1261</v>
      </c>
      <c r="I7" s="1284"/>
      <c r="J7" s="1287" t="s">
        <v>1261</v>
      </c>
      <c r="K7" s="1288"/>
      <c r="L7" s="1289" t="s">
        <v>1259</v>
      </c>
      <c r="M7" s="1290"/>
    </row>
    <row r="8" spans="2:14" x14ac:dyDescent="0.2">
      <c r="B8" s="1618"/>
      <c r="C8" s="1282" t="s">
        <v>1263</v>
      </c>
      <c r="D8" s="1283" t="s">
        <v>1262</v>
      </c>
      <c r="E8" s="1291" t="s">
        <v>1261</v>
      </c>
      <c r="F8" s="1292" t="s">
        <v>1261</v>
      </c>
      <c r="G8" s="1293" t="s">
        <v>1261</v>
      </c>
      <c r="H8" s="1286" t="s">
        <v>1813</v>
      </c>
      <c r="I8" s="1288" t="s">
        <v>1261</v>
      </c>
      <c r="J8" s="1287" t="s">
        <v>1964</v>
      </c>
      <c r="K8" s="1288" t="s">
        <v>1260</v>
      </c>
      <c r="L8" s="1289" t="s">
        <v>1256</v>
      </c>
      <c r="M8" s="1290" t="s">
        <v>30</v>
      </c>
    </row>
    <row r="9" spans="2:14" ht="14.25" x14ac:dyDescent="0.2">
      <c r="B9" s="1294" t="s">
        <v>1258</v>
      </c>
      <c r="C9" s="1282" t="s">
        <v>1719</v>
      </c>
      <c r="D9" s="1283" t="s">
        <v>1720</v>
      </c>
      <c r="E9" s="1291" t="s">
        <v>1813</v>
      </c>
      <c r="F9" s="1292" t="s">
        <v>1964</v>
      </c>
      <c r="G9" s="1293" t="s">
        <v>1813</v>
      </c>
      <c r="H9" s="1286" t="s">
        <v>1569</v>
      </c>
      <c r="I9" s="1288" t="s">
        <v>1964</v>
      </c>
      <c r="J9" s="1287" t="s">
        <v>1569</v>
      </c>
      <c r="K9" s="1288" t="s">
        <v>1257</v>
      </c>
      <c r="L9" s="1295" t="s">
        <v>1570</v>
      </c>
      <c r="M9" s="1290"/>
    </row>
    <row r="10" spans="2:14" ht="11.85" customHeight="1" x14ac:dyDescent="0.2">
      <c r="B10" s="1294" t="s">
        <v>1255</v>
      </c>
      <c r="C10" s="1296" t="s">
        <v>1254</v>
      </c>
      <c r="D10" s="1297" t="s">
        <v>1253</v>
      </c>
      <c r="E10" s="1298" t="s">
        <v>1252</v>
      </c>
      <c r="F10" s="1299" t="s">
        <v>1251</v>
      </c>
      <c r="G10" s="1300" t="s">
        <v>1250</v>
      </c>
      <c r="H10" s="1301" t="s">
        <v>1265</v>
      </c>
      <c r="I10" s="1302" t="s">
        <v>1249</v>
      </c>
      <c r="J10" s="1303" t="s">
        <v>1265</v>
      </c>
      <c r="K10" s="1304" t="s">
        <v>1248</v>
      </c>
      <c r="L10" s="1304" t="s">
        <v>1247</v>
      </c>
      <c r="M10" s="1305" t="s">
        <v>1246</v>
      </c>
    </row>
    <row r="11" spans="2:14" ht="20.100000000000001" customHeight="1" x14ac:dyDescent="0.2">
      <c r="B11" s="1306" t="s">
        <v>2059</v>
      </c>
      <c r="C11" s="1307"/>
      <c r="D11" s="1308"/>
      <c r="E11" s="1309"/>
      <c r="F11" s="1309"/>
      <c r="G11" s="1309"/>
      <c r="H11" s="1309"/>
      <c r="I11" s="1309"/>
      <c r="J11" s="1309"/>
      <c r="K11" s="1309"/>
      <c r="L11" s="1309">
        <f>+G11+I11+K11</f>
        <v>0</v>
      </c>
      <c r="M11" s="1309"/>
    </row>
    <row r="12" spans="2:14" ht="20.100000000000001" customHeight="1" x14ac:dyDescent="0.2">
      <c r="B12" s="1306" t="s">
        <v>2048</v>
      </c>
      <c r="C12" s="1310"/>
      <c r="D12" s="1311"/>
      <c r="E12" s="1312"/>
      <c r="F12" s="1312"/>
      <c r="G12" s="1312"/>
      <c r="H12" s="1312"/>
      <c r="I12" s="1312"/>
      <c r="J12" s="1312"/>
      <c r="K12" s="1312"/>
      <c r="L12" s="1309">
        <f t="shared" ref="L12:L27" si="0">+G12+I12+K12</f>
        <v>0</v>
      </c>
      <c r="M12" s="1312"/>
    </row>
    <row r="13" spans="2:14" ht="20.100000000000001" customHeight="1" x14ac:dyDescent="0.2">
      <c r="B13" s="1306" t="s">
        <v>2061</v>
      </c>
      <c r="C13" s="1310">
        <v>84.027000000000001</v>
      </c>
      <c r="D13" s="1311" t="s">
        <v>2060</v>
      </c>
      <c r="E13" s="1312">
        <v>60601</v>
      </c>
      <c r="F13" s="1312">
        <v>56541</v>
      </c>
      <c r="G13" s="1312">
        <v>78473</v>
      </c>
      <c r="H13" s="1312"/>
      <c r="I13" s="1312">
        <v>38669</v>
      </c>
      <c r="J13" s="1312"/>
      <c r="K13" s="1312"/>
      <c r="L13" s="1309">
        <f t="shared" si="0"/>
        <v>117142</v>
      </c>
      <c r="M13" s="1312" t="s">
        <v>2053</v>
      </c>
    </row>
    <row r="14" spans="2:14" ht="20.100000000000001" customHeight="1" x14ac:dyDescent="0.2">
      <c r="B14" s="1306" t="s">
        <v>2061</v>
      </c>
      <c r="C14" s="1310">
        <v>84.027000000000001</v>
      </c>
      <c r="D14" s="1311" t="s">
        <v>2062</v>
      </c>
      <c r="E14" s="1312"/>
      <c r="F14" s="1312">
        <v>72067</v>
      </c>
      <c r="G14" s="1312"/>
      <c r="H14" s="1312"/>
      <c r="I14" s="1312">
        <v>72067</v>
      </c>
      <c r="J14" s="1312"/>
      <c r="K14" s="1312"/>
      <c r="L14" s="1309">
        <f t="shared" si="0"/>
        <v>72067</v>
      </c>
      <c r="M14" s="1312" t="s">
        <v>2053</v>
      </c>
    </row>
    <row r="15" spans="2:14" ht="20.100000000000001" customHeight="1" x14ac:dyDescent="0.2">
      <c r="B15" s="1306" t="s">
        <v>2061</v>
      </c>
      <c r="C15" s="1310">
        <v>84.027000000000001</v>
      </c>
      <c r="D15" s="1311" t="s">
        <v>2063</v>
      </c>
      <c r="E15" s="1312"/>
      <c r="F15" s="1312">
        <v>2260</v>
      </c>
      <c r="G15" s="1312"/>
      <c r="H15" s="1312"/>
      <c r="I15" s="1312">
        <v>2260</v>
      </c>
      <c r="J15" s="1312"/>
      <c r="K15" s="1312"/>
      <c r="L15" s="1309">
        <f t="shared" si="0"/>
        <v>2260</v>
      </c>
      <c r="M15" s="1312" t="s">
        <v>2053</v>
      </c>
    </row>
    <row r="16" spans="2:14" ht="20.100000000000001" customHeight="1" x14ac:dyDescent="0.2">
      <c r="B16" s="1306" t="s">
        <v>2064</v>
      </c>
      <c r="C16" s="1310"/>
      <c r="D16" s="1311"/>
      <c r="E16" s="1312"/>
      <c r="F16" s="1312"/>
      <c r="G16" s="1312"/>
      <c r="H16" s="1312"/>
      <c r="I16" s="1312"/>
      <c r="J16" s="1312"/>
      <c r="K16" s="1312"/>
      <c r="L16" s="1309">
        <f t="shared" si="0"/>
        <v>0</v>
      </c>
      <c r="M16" s="1312"/>
    </row>
    <row r="17" spans="2:14" ht="20.100000000000001" customHeight="1" x14ac:dyDescent="0.2">
      <c r="B17" s="1306" t="s">
        <v>2065</v>
      </c>
      <c r="C17" s="1310">
        <v>84.027000000000001</v>
      </c>
      <c r="D17" s="1311" t="s">
        <v>2067</v>
      </c>
      <c r="E17" s="1312">
        <v>380892</v>
      </c>
      <c r="F17" s="1312">
        <v>10685</v>
      </c>
      <c r="G17" s="1312">
        <v>380892</v>
      </c>
      <c r="H17" s="1312"/>
      <c r="I17" s="1312">
        <v>10685</v>
      </c>
      <c r="J17" s="1312"/>
      <c r="K17" s="1312"/>
      <c r="L17" s="1309">
        <f t="shared" si="0"/>
        <v>391577</v>
      </c>
      <c r="M17" s="1312">
        <v>584659</v>
      </c>
    </row>
    <row r="18" spans="2:14" ht="20.100000000000001" customHeight="1" x14ac:dyDescent="0.2">
      <c r="B18" s="1306" t="s">
        <v>2066</v>
      </c>
      <c r="C18" s="1310">
        <v>84.027000000000001</v>
      </c>
      <c r="D18" s="1311" t="s">
        <v>2068</v>
      </c>
      <c r="E18" s="1312"/>
      <c r="F18" s="1312">
        <v>0</v>
      </c>
      <c r="G18" s="1312"/>
      <c r="H18" s="1312"/>
      <c r="I18" s="1312">
        <v>551610</v>
      </c>
      <c r="J18" s="1312"/>
      <c r="K18" s="1312"/>
      <c r="L18" s="1309">
        <f t="shared" si="0"/>
        <v>551610</v>
      </c>
      <c r="M18" s="1312">
        <v>647931</v>
      </c>
    </row>
    <row r="19" spans="2:14" ht="20.100000000000001" customHeight="1" x14ac:dyDescent="0.2">
      <c r="B19" s="1306" t="s">
        <v>2069</v>
      </c>
      <c r="C19" s="1310">
        <v>84.173000000000002</v>
      </c>
      <c r="D19" s="1311" t="s">
        <v>2070</v>
      </c>
      <c r="E19" s="1312">
        <v>37179</v>
      </c>
      <c r="F19" s="1312">
        <v>7979</v>
      </c>
      <c r="G19" s="1312">
        <v>45158</v>
      </c>
      <c r="H19" s="1312"/>
      <c r="I19" s="1312">
        <v>0</v>
      </c>
      <c r="J19" s="1312"/>
      <c r="K19" s="1312"/>
      <c r="L19" s="1309">
        <f t="shared" si="0"/>
        <v>45158</v>
      </c>
      <c r="M19" s="1312">
        <v>49379</v>
      </c>
    </row>
    <row r="20" spans="2:14" ht="20.100000000000001" customHeight="1" x14ac:dyDescent="0.2">
      <c r="B20" s="1306" t="s">
        <v>2069</v>
      </c>
      <c r="C20" s="1310">
        <v>84.173000000000002</v>
      </c>
      <c r="D20" s="1311" t="s">
        <v>2071</v>
      </c>
      <c r="E20" s="1312"/>
      <c r="F20" s="1312">
        <v>0</v>
      </c>
      <c r="G20" s="1312"/>
      <c r="H20" s="1312"/>
      <c r="I20" s="1312">
        <v>43771</v>
      </c>
      <c r="J20" s="1312"/>
      <c r="K20" s="1312"/>
      <c r="L20" s="1309">
        <f t="shared" si="0"/>
        <v>43771</v>
      </c>
      <c r="M20" s="1312">
        <v>45578</v>
      </c>
    </row>
    <row r="21" spans="2:14" ht="20.100000000000001" customHeight="1" x14ac:dyDescent="0.2">
      <c r="B21" s="1306" t="s">
        <v>2072</v>
      </c>
      <c r="C21" s="1310"/>
      <c r="D21" s="1311"/>
      <c r="E21" s="1312">
        <f>+SUM(E13:E20)</f>
        <v>478672</v>
      </c>
      <c r="F21" s="1312">
        <f>+SUM(F13:F20)</f>
        <v>149532</v>
      </c>
      <c r="G21" s="1312">
        <f>+SUM(G13:G20)</f>
        <v>504523</v>
      </c>
      <c r="H21" s="1312"/>
      <c r="I21" s="1312">
        <f>+SUM(I13:I20)</f>
        <v>719062</v>
      </c>
      <c r="J21" s="1312"/>
      <c r="K21" s="1312"/>
      <c r="L21" s="1309">
        <f t="shared" si="0"/>
        <v>1223585</v>
      </c>
      <c r="M21" s="1312"/>
    </row>
    <row r="22" spans="2:14" ht="20.100000000000001" customHeight="1" x14ac:dyDescent="0.2">
      <c r="B22" s="1306"/>
      <c r="C22" s="1310"/>
      <c r="D22" s="1311"/>
      <c r="E22" s="1312"/>
      <c r="F22" s="1312"/>
      <c r="G22" s="1312"/>
      <c r="H22" s="1312"/>
      <c r="I22" s="1312"/>
      <c r="J22" s="1312"/>
      <c r="K22" s="1312"/>
      <c r="L22" s="1309">
        <f t="shared" si="0"/>
        <v>0</v>
      </c>
      <c r="M22" s="1312"/>
    </row>
    <row r="23" spans="2:14" ht="20.100000000000001" customHeight="1" x14ac:dyDescent="0.2">
      <c r="B23" s="1306" t="s">
        <v>2048</v>
      </c>
      <c r="C23" s="1310"/>
      <c r="D23" s="1311"/>
      <c r="E23" s="1312"/>
      <c r="F23" s="1312"/>
      <c r="G23" s="1312"/>
      <c r="H23" s="1312"/>
      <c r="I23" s="1312"/>
      <c r="J23" s="1312"/>
      <c r="K23" s="1312"/>
      <c r="L23" s="1309">
        <f t="shared" si="0"/>
        <v>0</v>
      </c>
      <c r="M23" s="1312"/>
    </row>
    <row r="24" spans="2:14" ht="20.100000000000001" customHeight="1" x14ac:dyDescent="0.2">
      <c r="B24" s="1306" t="s">
        <v>2099</v>
      </c>
      <c r="C24" s="1310">
        <v>84.01</v>
      </c>
      <c r="D24" s="1311" t="s">
        <v>2073</v>
      </c>
      <c r="E24" s="1312">
        <v>151983</v>
      </c>
      <c r="F24" s="1312">
        <v>130868</v>
      </c>
      <c r="G24" s="1312">
        <v>282851</v>
      </c>
      <c r="H24" s="1312"/>
      <c r="I24" s="1312"/>
      <c r="J24" s="1312"/>
      <c r="K24" s="1312"/>
      <c r="L24" s="1309">
        <f t="shared" si="0"/>
        <v>282851</v>
      </c>
      <c r="M24" s="1312">
        <v>360205</v>
      </c>
    </row>
    <row r="25" spans="2:14" ht="20.100000000000001" customHeight="1" x14ac:dyDescent="0.2">
      <c r="B25" s="1306" t="s">
        <v>2099</v>
      </c>
      <c r="C25" s="1310">
        <v>84.01</v>
      </c>
      <c r="D25" s="1311" t="s">
        <v>2074</v>
      </c>
      <c r="E25" s="1312"/>
      <c r="F25" s="1312">
        <v>167696</v>
      </c>
      <c r="G25" s="1312"/>
      <c r="H25" s="1312"/>
      <c r="I25" s="1312">
        <v>255927</v>
      </c>
      <c r="J25" s="1312"/>
      <c r="K25" s="1312"/>
      <c r="L25" s="1309">
        <f t="shared" si="0"/>
        <v>255927</v>
      </c>
      <c r="M25" s="1312">
        <v>373431</v>
      </c>
    </row>
    <row r="26" spans="2:14" ht="20.100000000000001" customHeight="1" x14ac:dyDescent="0.2">
      <c r="B26" s="1306" t="s">
        <v>2075</v>
      </c>
      <c r="C26" s="1310">
        <v>84.424000000000007</v>
      </c>
      <c r="D26" s="1311" t="s">
        <v>2076</v>
      </c>
      <c r="E26" s="1312"/>
      <c r="F26" s="1312">
        <v>10000</v>
      </c>
      <c r="G26" s="1312">
        <v>10000</v>
      </c>
      <c r="H26" s="1312"/>
      <c r="I26" s="1312"/>
      <c r="J26" s="1312"/>
      <c r="K26" s="1312"/>
      <c r="L26" s="1309">
        <f t="shared" si="0"/>
        <v>10000</v>
      </c>
      <c r="M26" s="1312">
        <v>10000</v>
      </c>
    </row>
    <row r="27" spans="2:14" ht="20.100000000000001" customHeight="1" x14ac:dyDescent="0.2">
      <c r="B27" s="1306" t="s">
        <v>2075</v>
      </c>
      <c r="C27" s="1310">
        <v>84.424000000000007</v>
      </c>
      <c r="D27" s="1311" t="s">
        <v>2077</v>
      </c>
      <c r="E27" s="1312"/>
      <c r="F27" s="1312">
        <v>2050</v>
      </c>
      <c r="G27" s="1312"/>
      <c r="H27" s="1312"/>
      <c r="I27" s="1312">
        <v>18911</v>
      </c>
      <c r="J27" s="1312"/>
      <c r="K27" s="1312"/>
      <c r="L27" s="1309">
        <f t="shared" si="0"/>
        <v>18911</v>
      </c>
      <c r="M27" s="1312">
        <v>28062</v>
      </c>
      <c r="N27" s="1313"/>
    </row>
    <row r="28" spans="2:14" ht="12.75" customHeight="1" x14ac:dyDescent="0.2">
      <c r="B28" s="1314"/>
      <c r="C28" s="1315"/>
      <c r="D28" s="1316"/>
      <c r="E28" s="1317"/>
      <c r="F28" s="1317"/>
      <c r="G28" s="1317"/>
      <c r="H28" s="1317"/>
      <c r="I28" s="1317"/>
      <c r="J28" s="1317"/>
      <c r="K28" s="1317"/>
      <c r="L28" s="1317"/>
      <c r="M28" s="1317"/>
      <c r="N28" s="1313"/>
    </row>
    <row r="29" spans="2:14" x14ac:dyDescent="0.2">
      <c r="B29" s="1226"/>
      <c r="C29" s="1318"/>
      <c r="D29" s="1319"/>
      <c r="E29" s="1226"/>
      <c r="F29" s="1226"/>
      <c r="G29" s="1219"/>
      <c r="H29" s="1219"/>
      <c r="I29" s="1219"/>
      <c r="J29" s="1219"/>
      <c r="K29" s="1219"/>
      <c r="L29" s="1219"/>
      <c r="M29" s="1226"/>
      <c r="N29" s="1313"/>
    </row>
    <row r="30" spans="2:14" ht="13.5" customHeight="1" x14ac:dyDescent="0.2">
      <c r="B30" s="1251" t="s">
        <v>1721</v>
      </c>
      <c r="C30" s="1318"/>
      <c r="D30" s="1319"/>
      <c r="E30" s="1226"/>
      <c r="F30" s="1226"/>
      <c r="G30" s="1219"/>
      <c r="H30" s="1219"/>
      <c r="I30" s="1219"/>
      <c r="J30" s="1219"/>
      <c r="K30" s="1219"/>
      <c r="L30" s="1219"/>
      <c r="M30" s="1226"/>
      <c r="N30" s="1313"/>
    </row>
    <row r="31" spans="2:14" ht="8.25" customHeight="1" x14ac:dyDescent="0.2">
      <c r="B31" s="1251"/>
      <c r="C31" s="1318"/>
      <c r="D31" s="1319"/>
      <c r="E31" s="1226"/>
      <c r="F31" s="1226"/>
      <c r="G31" s="1219"/>
      <c r="H31" s="1219"/>
      <c r="I31" s="1219"/>
      <c r="J31" s="1219"/>
      <c r="K31" s="1219"/>
      <c r="L31" s="1219"/>
      <c r="M31" s="1226"/>
      <c r="N31" s="1313"/>
    </row>
    <row r="32" spans="2:14" x14ac:dyDescent="0.2">
      <c r="B32" s="1320" t="s">
        <v>1814</v>
      </c>
      <c r="C32" s="1321"/>
      <c r="D32" s="1322"/>
      <c r="E32" s="1323"/>
      <c r="F32" s="1323"/>
      <c r="G32" s="1323"/>
      <c r="H32" s="1323"/>
      <c r="I32" s="317"/>
      <c r="J32" s="317"/>
    </row>
    <row r="33" spans="2:13" x14ac:dyDescent="0.2">
      <c r="B33" s="1246"/>
      <c r="C33" s="1324"/>
      <c r="D33" s="1325"/>
      <c r="E33" s="1247"/>
      <c r="F33" s="1247"/>
      <c r="G33" s="317"/>
      <c r="H33" s="317"/>
      <c r="I33" s="317"/>
      <c r="J33" s="317"/>
    </row>
    <row r="34" spans="2:13" ht="13.5" customHeight="1" x14ac:dyDescent="0.2">
      <c r="B34" s="1245" t="s">
        <v>1245</v>
      </c>
      <c r="G34" s="317"/>
      <c r="H34" s="317"/>
      <c r="I34" s="317"/>
      <c r="J34" s="317"/>
    </row>
    <row r="35" spans="2:13" ht="13.5" customHeight="1" x14ac:dyDescent="0.2">
      <c r="B35" s="1328"/>
      <c r="C35" s="1329"/>
      <c r="D35" s="1330"/>
      <c r="E35" s="1266"/>
      <c r="F35" s="1266"/>
      <c r="G35" s="1266"/>
      <c r="H35" s="1266"/>
      <c r="I35" s="1266"/>
      <c r="J35" s="1266"/>
      <c r="K35" s="1331"/>
      <c r="L35" s="1331"/>
      <c r="M35" s="1266"/>
    </row>
    <row r="36" spans="2:13" ht="9.6" customHeight="1" x14ac:dyDescent="0.2">
      <c r="B36" s="1332"/>
      <c r="G36" s="317"/>
      <c r="H36" s="317"/>
      <c r="I36" s="317"/>
      <c r="J36" s="317"/>
    </row>
    <row r="37" spans="2:13" ht="11.25" customHeight="1" x14ac:dyDescent="0.2">
      <c r="B37" s="1333" t="s">
        <v>1722</v>
      </c>
      <c r="C37" s="1334"/>
      <c r="D37" s="1334"/>
      <c r="E37" s="1334"/>
      <c r="F37" s="1334"/>
      <c r="G37" s="1334"/>
      <c r="H37" s="1334"/>
      <c r="I37" s="1335"/>
      <c r="J37" s="1335"/>
      <c r="K37" s="1335"/>
      <c r="L37" s="1335"/>
      <c r="M37" s="1335"/>
    </row>
    <row r="38" spans="2:13" ht="11.25" customHeight="1" x14ac:dyDescent="0.2">
      <c r="B38" s="1336" t="s">
        <v>1571</v>
      </c>
      <c r="C38" s="1335"/>
      <c r="D38" s="1335"/>
      <c r="E38" s="1335"/>
      <c r="F38" s="1335"/>
      <c r="G38" s="1335"/>
      <c r="H38" s="1335"/>
      <c r="I38" s="1335"/>
      <c r="J38" s="1335"/>
      <c r="K38" s="1335"/>
      <c r="L38" s="1335"/>
      <c r="M38" s="1335"/>
    </row>
    <row r="39" spans="2:13" ht="3.95" customHeight="1" x14ac:dyDescent="0.2">
      <c r="B39" s="1336"/>
      <c r="C39" s="1335"/>
      <c r="D39" s="1335"/>
      <c r="E39" s="1335"/>
      <c r="F39" s="1335"/>
      <c r="G39" s="1335"/>
      <c r="H39" s="1335"/>
      <c r="I39" s="1335"/>
      <c r="J39" s="1335"/>
      <c r="K39" s="1335"/>
      <c r="L39" s="1335"/>
      <c r="M39" s="1335"/>
    </row>
    <row r="40" spans="2:13" ht="11.25" customHeight="1" x14ac:dyDescent="0.2">
      <c r="B40" s="1333" t="s">
        <v>1723</v>
      </c>
      <c r="C40" s="1335"/>
      <c r="D40" s="1335"/>
      <c r="E40" s="1335"/>
      <c r="F40" s="1335"/>
      <c r="G40" s="1335"/>
      <c r="H40" s="1335"/>
      <c r="I40" s="1335"/>
      <c r="J40" s="1335"/>
      <c r="K40" s="1335"/>
      <c r="L40" s="1335"/>
      <c r="M40" s="1335"/>
    </row>
    <row r="41" spans="2:13" ht="11.25" customHeight="1" x14ac:dyDescent="0.2">
      <c r="B41" s="1269" t="s">
        <v>1572</v>
      </c>
      <c r="C41" s="1337"/>
      <c r="D41" s="1338"/>
      <c r="E41" s="1269"/>
      <c r="F41" s="1269"/>
      <c r="G41" s="1269"/>
      <c r="H41" s="1269"/>
      <c r="I41" s="1269"/>
      <c r="J41" s="1269"/>
      <c r="K41" s="1339"/>
      <c r="L41" s="1339"/>
      <c r="M41" s="1269"/>
    </row>
    <row r="42" spans="2:13" ht="3.95" customHeight="1" x14ac:dyDescent="0.2">
      <c r="B42" s="1269"/>
      <c r="C42" s="1337"/>
      <c r="D42" s="1338"/>
      <c r="E42" s="1269"/>
      <c r="F42" s="1269"/>
      <c r="G42" s="1269"/>
      <c r="H42" s="1269"/>
      <c r="I42" s="1269"/>
      <c r="J42" s="1269"/>
      <c r="K42" s="1339"/>
      <c r="L42" s="1339"/>
      <c r="M42" s="1269"/>
    </row>
    <row r="43" spans="2:13" ht="11.25" customHeight="1" x14ac:dyDescent="0.2">
      <c r="B43" s="1340" t="s">
        <v>1724</v>
      </c>
      <c r="C43" s="1337"/>
      <c r="D43" s="1338"/>
      <c r="E43" s="1269"/>
      <c r="F43" s="1269"/>
      <c r="G43" s="1269"/>
      <c r="H43" s="1269"/>
      <c r="I43" s="1269"/>
      <c r="J43" s="1269"/>
      <c r="K43" s="1339"/>
      <c r="L43" s="1339"/>
      <c r="M43" s="1269"/>
    </row>
    <row r="44" spans="2:13" ht="3.95" customHeight="1" x14ac:dyDescent="0.2">
      <c r="B44" s="1340"/>
      <c r="C44" s="1337"/>
      <c r="D44" s="1338"/>
      <c r="E44" s="1269"/>
      <c r="F44" s="1269"/>
      <c r="G44" s="1269"/>
      <c r="H44" s="1269"/>
      <c r="I44" s="1269"/>
      <c r="J44" s="1269"/>
      <c r="K44" s="1339"/>
      <c r="L44" s="1339"/>
      <c r="M44" s="1269"/>
    </row>
    <row r="45" spans="2:13" ht="11.25" customHeight="1" x14ac:dyDescent="0.2">
      <c r="B45" s="1341" t="s">
        <v>1725</v>
      </c>
      <c r="C45" s="1337"/>
      <c r="D45" s="1338"/>
      <c r="E45" s="1269"/>
      <c r="F45" s="1269"/>
      <c r="G45" s="1269"/>
      <c r="H45" s="1269"/>
      <c r="I45" s="1269"/>
      <c r="J45" s="1269"/>
      <c r="K45" s="1339"/>
      <c r="L45" s="1339"/>
      <c r="M45" s="1269"/>
    </row>
    <row r="46" spans="2:13" ht="11.25" customHeight="1" x14ac:dyDescent="0.2">
      <c r="B46" s="1269" t="s">
        <v>1573</v>
      </c>
      <c r="G46" s="317"/>
      <c r="H46" s="317"/>
      <c r="I46" s="317"/>
      <c r="J46" s="317"/>
    </row>
    <row r="47" spans="2:13" ht="11.1" customHeight="1" x14ac:dyDescent="0.2">
      <c r="B47" s="1269"/>
      <c r="G47" s="317"/>
      <c r="H47" s="317"/>
      <c r="I47" s="317"/>
      <c r="J47" s="317"/>
    </row>
    <row r="48" spans="2:13" ht="11.1" customHeight="1" x14ac:dyDescent="0.2">
      <c r="B48" s="1269"/>
      <c r="G48" s="317"/>
      <c r="H48" s="317"/>
      <c r="I48" s="317"/>
      <c r="J48" s="317"/>
    </row>
    <row r="49" spans="7:13" ht="13.5" customHeight="1" x14ac:dyDescent="0.2">
      <c r="M49" s="1342"/>
    </row>
    <row r="50" spans="7:13" ht="13.5" customHeight="1" x14ac:dyDescent="0.2">
      <c r="M50" s="1342"/>
    </row>
    <row r="51" spans="7:13" ht="13.5" customHeight="1" x14ac:dyDescent="0.2">
      <c r="M51" s="134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33"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104" colorId="8" zoomScale="110" zoomScaleNormal="110" workbookViewId="0">
      <selection activeCell="G118" sqref="G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71" t="s">
        <v>1167</v>
      </c>
      <c r="B2" s="2171"/>
      <c r="C2" s="2171"/>
      <c r="D2" s="2171"/>
      <c r="E2" s="2171"/>
      <c r="F2" s="2171"/>
      <c r="G2" s="2171"/>
      <c r="H2" s="2171"/>
      <c r="I2" s="2171"/>
      <c r="J2" s="2171"/>
    </row>
    <row r="3" spans="1:11" s="181" customFormat="1" ht="17.25" customHeight="1" x14ac:dyDescent="0.2">
      <c r="A3" s="207"/>
      <c r="B3" s="207"/>
      <c r="C3" s="208"/>
      <c r="D3" s="209"/>
      <c r="E3" s="210"/>
    </row>
    <row r="4" spans="1:11" x14ac:dyDescent="0.2">
      <c r="A4" s="344" t="s">
        <v>1624</v>
      </c>
      <c r="B4" s="344"/>
      <c r="C4" s="344"/>
      <c r="D4" s="344"/>
      <c r="E4" s="344"/>
      <c r="F4" s="344"/>
      <c r="G4" s="344"/>
      <c r="H4" s="344"/>
      <c r="I4" s="344"/>
      <c r="J4" s="344"/>
      <c r="K4" s="344"/>
    </row>
    <row r="5" spans="1:11" x14ac:dyDescent="0.2">
      <c r="A5" s="237" t="s">
        <v>1625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1545</v>
      </c>
    </row>
    <row r="10" spans="1:11" s="181" customFormat="1" x14ac:dyDescent="0.2">
      <c r="A10" s="222"/>
      <c r="B10" s="223"/>
      <c r="C10" s="224"/>
      <c r="D10" s="225" t="s">
        <v>1611</v>
      </c>
    </row>
    <row r="11" spans="1:11" s="181" customFormat="1" x14ac:dyDescent="0.2">
      <c r="A11" s="219"/>
      <c r="B11" s="226"/>
      <c r="C11" s="227">
        <v>2</v>
      </c>
      <c r="D11" s="228" t="s">
        <v>1612</v>
      </c>
    </row>
    <row r="12" spans="1:11" s="181" customFormat="1" hidden="1" x14ac:dyDescent="0.2">
      <c r="A12" s="219"/>
      <c r="B12" s="229"/>
      <c r="C12" s="227"/>
      <c r="D12" s="230"/>
    </row>
    <row r="13" spans="1:11" s="181" customFormat="1" x14ac:dyDescent="0.2">
      <c r="A13" s="219"/>
      <c r="B13" s="226"/>
      <c r="C13" s="227">
        <v>3</v>
      </c>
      <c r="D13" s="228" t="s">
        <v>1613</v>
      </c>
    </row>
    <row r="14" spans="1:11" s="181" customFormat="1" x14ac:dyDescent="0.2">
      <c r="A14" s="219"/>
      <c r="B14" s="226"/>
      <c r="C14" s="227">
        <v>4</v>
      </c>
      <c r="D14" s="228" t="s">
        <v>1614</v>
      </c>
    </row>
    <row r="15" spans="1:11" s="181" customFormat="1" x14ac:dyDescent="0.2">
      <c r="A15" s="219"/>
      <c r="B15" s="226"/>
      <c r="C15" s="227">
        <v>5</v>
      </c>
      <c r="D15" s="231" t="s">
        <v>968</v>
      </c>
    </row>
    <row r="16" spans="1:11" s="181" customFormat="1" x14ac:dyDescent="0.2">
      <c r="A16" s="219"/>
      <c r="B16" s="226"/>
      <c r="C16" s="227">
        <v>6</v>
      </c>
      <c r="D16" s="231" t="s">
        <v>1446</v>
      </c>
    </row>
    <row r="17" spans="1:4" s="181" customFormat="1" ht="6" hidden="1" customHeight="1" x14ac:dyDescent="0.2">
      <c r="A17" s="219"/>
      <c r="B17" s="229"/>
      <c r="C17" s="227"/>
      <c r="D17" s="232"/>
    </row>
    <row r="18" spans="1:4" s="181" customFormat="1" ht="12" customHeight="1" x14ac:dyDescent="0.2">
      <c r="A18" s="219"/>
      <c r="B18" s="226"/>
      <c r="C18" s="227">
        <v>7</v>
      </c>
      <c r="D18" s="231" t="s">
        <v>1445</v>
      </c>
    </row>
    <row r="19" spans="1:4" s="181" customFormat="1" hidden="1" x14ac:dyDescent="0.2">
      <c r="A19" s="219"/>
      <c r="B19" s="229"/>
      <c r="C19" s="227"/>
      <c r="D19" s="232"/>
    </row>
    <row r="20" spans="1:4" s="181" customFormat="1" x14ac:dyDescent="0.2">
      <c r="A20" s="219"/>
      <c r="B20" s="226"/>
      <c r="C20" s="227">
        <v>8</v>
      </c>
      <c r="D20" s="231" t="s">
        <v>1615</v>
      </c>
    </row>
    <row r="21" spans="1:4" s="181" customFormat="1" x14ac:dyDescent="0.2">
      <c r="A21" s="219"/>
      <c r="B21" s="229"/>
      <c r="C21" s="227"/>
      <c r="D21" s="233" t="s">
        <v>1542</v>
      </c>
    </row>
    <row r="22" spans="1:4" s="181" customFormat="1" x14ac:dyDescent="0.2">
      <c r="A22" s="219"/>
      <c r="B22" s="226"/>
      <c r="C22" s="227">
        <v>9</v>
      </c>
      <c r="D22" s="231" t="s">
        <v>1616</v>
      </c>
    </row>
    <row r="23" spans="1:4" s="181" customFormat="1" x14ac:dyDescent="0.2">
      <c r="A23" s="219"/>
      <c r="B23" s="234"/>
      <c r="C23" s="227"/>
      <c r="D23" s="235" t="s">
        <v>1543</v>
      </c>
    </row>
    <row r="24" spans="1:4" s="181" customFormat="1" x14ac:dyDescent="0.2">
      <c r="A24" s="219"/>
      <c r="B24" s="226"/>
      <c r="C24" s="227">
        <v>10</v>
      </c>
      <c r="D24" s="231" t="s">
        <v>1617</v>
      </c>
    </row>
    <row r="25" spans="1:4" s="181" customFormat="1" x14ac:dyDescent="0.2">
      <c r="A25" s="219"/>
      <c r="B25" s="226"/>
      <c r="C25" s="227">
        <v>11</v>
      </c>
      <c r="D25" s="231" t="s">
        <v>1618</v>
      </c>
    </row>
    <row r="26" spans="1:4" s="181" customFormat="1" x14ac:dyDescent="0.2">
      <c r="A26" s="219"/>
      <c r="B26" s="234"/>
      <c r="C26" s="227"/>
      <c r="D26" s="235" t="s">
        <v>1544</v>
      </c>
    </row>
    <row r="27" spans="1:4" s="181" customFormat="1" x14ac:dyDescent="0.2">
      <c r="A27" s="219"/>
      <c r="B27" s="226"/>
      <c r="C27" s="227">
        <v>12</v>
      </c>
      <c r="D27" s="231" t="s">
        <v>1546</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1619</v>
      </c>
    </row>
    <row r="31" spans="1:4" s="181" customFormat="1" x14ac:dyDescent="0.2">
      <c r="A31" s="219"/>
      <c r="B31" s="226"/>
      <c r="C31" s="227">
        <v>14</v>
      </c>
      <c r="D31" s="231" t="s">
        <v>1920</v>
      </c>
    </row>
    <row r="32" spans="1:4" s="181" customFormat="1" x14ac:dyDescent="0.2">
      <c r="A32" s="219"/>
      <c r="B32" s="236"/>
      <c r="C32" s="227"/>
      <c r="D32" s="237" t="s">
        <v>1767</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185" t="s">
        <v>1620</v>
      </c>
      <c r="B35" s="2186"/>
      <c r="C35" s="2186"/>
      <c r="D35" s="2186"/>
      <c r="E35" s="2187"/>
      <c r="F35" s="2187"/>
      <c r="G35" s="2187"/>
      <c r="H35" s="2187"/>
      <c r="I35" s="2187"/>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1621</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1622</v>
      </c>
    </row>
    <row r="43" spans="1:9" s="181" customFormat="1" x14ac:dyDescent="0.2">
      <c r="A43" s="219"/>
      <c r="B43" s="229"/>
      <c r="C43" s="227"/>
      <c r="D43" s="240" t="s">
        <v>1623</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85" t="s">
        <v>312</v>
      </c>
      <c r="B47" s="2188"/>
      <c r="C47" s="2188"/>
      <c r="D47" s="2188"/>
      <c r="E47" s="2189"/>
      <c r="F47" s="2189"/>
      <c r="G47" s="2189"/>
      <c r="H47" s="2189"/>
      <c r="I47" s="2189"/>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t="s">
        <v>2101</v>
      </c>
      <c r="C50" s="227">
        <v>20</v>
      </c>
      <c r="D50" s="243" t="s">
        <v>1626</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2101</v>
      </c>
      <c r="C53" s="179">
        <v>22</v>
      </c>
      <c r="D53" s="247" t="s">
        <v>1449</v>
      </c>
      <c r="E53" s="248"/>
      <c r="F53" s="249"/>
      <c r="G53" s="249" t="s">
        <v>1448</v>
      </c>
      <c r="H53" s="250">
        <v>33239</v>
      </c>
      <c r="I53" s="237" t="s">
        <v>1470</v>
      </c>
    </row>
    <row r="54" spans="1:10" s="181" customFormat="1" x14ac:dyDescent="0.2">
      <c r="A54" s="219"/>
      <c r="B54" s="220"/>
      <c r="C54" s="179">
        <v>23</v>
      </c>
      <c r="D54" s="243" t="s">
        <v>1349</v>
      </c>
      <c r="E54" s="248"/>
      <c r="F54" s="249"/>
    </row>
    <row r="55" spans="1:10" s="181" customFormat="1" x14ac:dyDescent="0.2">
      <c r="A55" s="214"/>
      <c r="B55" s="251"/>
      <c r="C55" s="251"/>
      <c r="D55" s="231" t="s">
        <v>1766</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92" t="s">
        <v>2220</v>
      </c>
      <c r="C57" s="2193"/>
      <c r="D57" s="2193"/>
      <c r="E57" s="2193"/>
      <c r="F57" s="2193"/>
      <c r="G57" s="2193"/>
      <c r="H57" s="2193"/>
      <c r="I57" s="2193"/>
      <c r="J57" s="2194"/>
    </row>
    <row r="58" spans="1:10" s="181" customFormat="1" x14ac:dyDescent="0.2">
      <c r="A58" s="253"/>
      <c r="B58" s="2195"/>
      <c r="C58" s="2196"/>
      <c r="D58" s="2196"/>
      <c r="E58" s="2196"/>
      <c r="F58" s="2196"/>
      <c r="G58" s="2196"/>
      <c r="H58" s="2196"/>
      <c r="I58" s="2196"/>
      <c r="J58" s="2197"/>
    </row>
    <row r="59" spans="1:10" s="181" customFormat="1" x14ac:dyDescent="0.2">
      <c r="A59" s="253"/>
      <c r="B59" s="2195"/>
      <c r="C59" s="2196"/>
      <c r="D59" s="2196"/>
      <c r="E59" s="2196"/>
      <c r="F59" s="2196"/>
      <c r="G59" s="2196"/>
      <c r="H59" s="2196"/>
      <c r="I59" s="2196"/>
      <c r="J59" s="2197"/>
    </row>
    <row r="60" spans="1:10" s="181" customFormat="1" x14ac:dyDescent="0.2">
      <c r="A60" s="253"/>
      <c r="B60" s="2195"/>
      <c r="C60" s="2196"/>
      <c r="D60" s="2196"/>
      <c r="E60" s="2196"/>
      <c r="F60" s="2196"/>
      <c r="G60" s="2196"/>
      <c r="H60" s="2196"/>
      <c r="I60" s="2196"/>
      <c r="J60" s="2197"/>
    </row>
    <row r="61" spans="1:10" s="181" customFormat="1" x14ac:dyDescent="0.2">
      <c r="A61" s="253"/>
      <c r="B61" s="2195"/>
      <c r="C61" s="2196"/>
      <c r="D61" s="2196"/>
      <c r="E61" s="2196"/>
      <c r="F61" s="2196"/>
      <c r="G61" s="2196"/>
      <c r="H61" s="2196"/>
      <c r="I61" s="2196"/>
      <c r="J61" s="2197"/>
    </row>
    <row r="62" spans="1:10" s="181" customFormat="1" x14ac:dyDescent="0.2">
      <c r="A62" s="253"/>
      <c r="B62" s="2195"/>
      <c r="C62" s="2196"/>
      <c r="D62" s="2196"/>
      <c r="E62" s="2196"/>
      <c r="F62" s="2196"/>
      <c r="G62" s="2196"/>
      <c r="H62" s="2196"/>
      <c r="I62" s="2196"/>
      <c r="J62" s="2197"/>
    </row>
    <row r="63" spans="1:10" s="181" customFormat="1" x14ac:dyDescent="0.2">
      <c r="A63" s="253"/>
      <c r="B63" s="2195"/>
      <c r="C63" s="2196"/>
      <c r="D63" s="2196"/>
      <c r="E63" s="2196"/>
      <c r="F63" s="2196"/>
      <c r="G63" s="2196"/>
      <c r="H63" s="2196"/>
      <c r="I63" s="2196"/>
      <c r="J63" s="2197"/>
    </row>
    <row r="64" spans="1:10" s="181" customFormat="1" x14ac:dyDescent="0.2">
      <c r="A64" s="253"/>
      <c r="B64" s="2195"/>
      <c r="C64" s="2196"/>
      <c r="D64" s="2196"/>
      <c r="E64" s="2196"/>
      <c r="F64" s="2196"/>
      <c r="G64" s="2196"/>
      <c r="H64" s="2196"/>
      <c r="I64" s="2196"/>
      <c r="J64" s="2197"/>
    </row>
    <row r="65" spans="1:10" s="181" customFormat="1" x14ac:dyDescent="0.2">
      <c r="A65" s="253"/>
      <c r="B65" s="2195"/>
      <c r="C65" s="2196"/>
      <c r="D65" s="2196"/>
      <c r="E65" s="2196"/>
      <c r="F65" s="2196"/>
      <c r="G65" s="2196"/>
      <c r="H65" s="2196"/>
      <c r="I65" s="2196"/>
      <c r="J65" s="2197"/>
    </row>
    <row r="66" spans="1:10" s="181" customFormat="1" x14ac:dyDescent="0.2">
      <c r="A66" s="253"/>
      <c r="B66" s="2195"/>
      <c r="C66" s="2196"/>
      <c r="D66" s="2196"/>
      <c r="E66" s="2196"/>
      <c r="F66" s="2196"/>
      <c r="G66" s="2196"/>
      <c r="H66" s="2196"/>
      <c r="I66" s="2196"/>
      <c r="J66" s="2197"/>
    </row>
    <row r="67" spans="1:10" s="181" customFormat="1" ht="9" customHeight="1" x14ac:dyDescent="0.2">
      <c r="A67" s="254"/>
      <c r="B67" s="2198"/>
      <c r="C67" s="2199"/>
      <c r="D67" s="2199"/>
      <c r="E67" s="2199"/>
      <c r="F67" s="2199"/>
      <c r="G67" s="2199"/>
      <c r="H67" s="2199"/>
      <c r="I67" s="2199"/>
      <c r="J67" s="22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85" t="s">
        <v>1310</v>
      </c>
      <c r="B70" s="2188"/>
      <c r="C70" s="2188"/>
      <c r="D70" s="2188"/>
      <c r="E70" s="2189"/>
      <c r="F70" s="2189"/>
      <c r="G70" s="2189"/>
      <c r="H70" s="2189"/>
      <c r="I70" s="2189"/>
    </row>
    <row r="71" spans="1:10" s="181" customFormat="1" x14ac:dyDescent="0.2">
      <c r="A71" s="219"/>
      <c r="C71" s="257"/>
      <c r="D71" s="258" t="s">
        <v>1309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1904</v>
      </c>
      <c r="B73" s="255"/>
      <c r="C73" s="256"/>
      <c r="D73" s="256"/>
      <c r="E73" s="256"/>
      <c r="F73" s="256"/>
      <c r="G73" s="256"/>
      <c r="H73" s="256"/>
    </row>
    <row r="74" spans="1:10" s="181" customFormat="1" x14ac:dyDescent="0.2">
      <c r="A74" s="259" t="s">
        <v>1412</v>
      </c>
      <c r="B74" s="255"/>
      <c r="C74" s="256"/>
      <c r="D74" s="256"/>
      <c r="E74" s="256"/>
      <c r="F74" s="256"/>
      <c r="G74" s="256"/>
      <c r="H74" s="256"/>
    </row>
    <row r="75" spans="1:10" s="181" customFormat="1" x14ac:dyDescent="0.2">
      <c r="A75" s="259" t="s">
        <v>1921</v>
      </c>
      <c r="B75" s="255"/>
      <c r="C75" s="256"/>
      <c r="D75" s="256"/>
      <c r="E75" s="256"/>
      <c r="F75" s="256"/>
      <c r="G75" s="256"/>
      <c r="H75" s="256"/>
    </row>
    <row r="76" spans="1:10" s="181" customFormat="1" ht="18.75" customHeight="1" x14ac:dyDescent="0.2">
      <c r="A76" s="239" t="s">
        <v>1413</v>
      </c>
      <c r="B76" s="255"/>
      <c r="C76" s="256"/>
      <c r="D76" s="256"/>
      <c r="E76" s="256"/>
      <c r="F76" s="256"/>
      <c r="G76" s="256"/>
      <c r="H76" s="256"/>
    </row>
    <row r="77" spans="1:10" s="181" customFormat="1" x14ac:dyDescent="0.2">
      <c r="C77" s="179">
        <v>24</v>
      </c>
      <c r="D77" s="247" t="s">
        <v>1634</v>
      </c>
      <c r="G77" s="297" t="s">
        <v>1879</v>
      </c>
      <c r="I77" s="1791"/>
      <c r="J77" s="261"/>
    </row>
    <row r="78" spans="1:10" s="181" customFormat="1" ht="6" customHeight="1" x14ac:dyDescent="0.2">
      <c r="A78" s="219"/>
      <c r="B78" s="262"/>
      <c r="C78" s="179"/>
      <c r="D78" s="247"/>
      <c r="E78" s="248"/>
      <c r="F78" s="249"/>
    </row>
    <row r="79" spans="1:10" s="181" customFormat="1" x14ac:dyDescent="0.2">
      <c r="A79" s="219"/>
      <c r="B79" s="262"/>
      <c r="C79" s="179">
        <v>25</v>
      </c>
      <c r="D79" s="247" t="s">
        <v>1632</v>
      </c>
      <c r="E79" s="248"/>
      <c r="F79" s="249"/>
    </row>
    <row r="80" spans="1:10" s="181" customFormat="1" x14ac:dyDescent="0.2">
      <c r="A80" s="219"/>
      <c r="B80" s="262"/>
      <c r="C80" s="179"/>
      <c r="D80" s="247" t="s">
        <v>1633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90" t="s">
        <v>1307</v>
      </c>
      <c r="B83" s="2190"/>
      <c r="C83" s="2190"/>
      <c r="D83" s="2191"/>
      <c r="E83" s="263" t="s">
        <v>1344</v>
      </c>
      <c r="F83" s="263" t="s">
        <v>1345</v>
      </c>
      <c r="G83" s="263" t="s">
        <v>1346</v>
      </c>
      <c r="H83" s="263" t="s">
        <v>1347</v>
      </c>
      <c r="I83" s="263" t="s">
        <v>1348</v>
      </c>
      <c r="J83" s="264" t="s">
        <v>156</v>
      </c>
    </row>
    <row r="84" spans="1:10" s="181" customFormat="1" ht="13.5" customHeight="1" thickTop="1" x14ac:dyDescent="0.2">
      <c r="A84" s="265" t="s">
        <v>1431</v>
      </c>
      <c r="B84" s="266"/>
      <c r="C84" s="267"/>
      <c r="D84" s="268"/>
      <c r="E84" s="269"/>
      <c r="F84" s="269"/>
      <c r="G84" s="269"/>
      <c r="H84" s="269"/>
      <c r="I84" s="269"/>
      <c r="J84" s="270"/>
    </row>
    <row r="85" spans="1:10" s="181" customFormat="1" ht="13.5" customHeight="1" x14ac:dyDescent="0.2">
      <c r="A85" s="271" t="s">
        <v>1902</v>
      </c>
      <c r="B85" s="272"/>
      <c r="C85" s="273"/>
      <c r="D85" s="274"/>
      <c r="E85" s="275"/>
      <c r="F85" s="276">
        <v>0</v>
      </c>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1308</v>
      </c>
      <c r="B87" s="283"/>
      <c r="C87" s="284"/>
      <c r="D87" s="281"/>
      <c r="E87" s="269"/>
      <c r="F87" s="269"/>
      <c r="G87" s="269"/>
      <c r="H87" s="269"/>
      <c r="I87" s="269"/>
      <c r="J87" s="270"/>
    </row>
    <row r="88" spans="1:10" s="181" customFormat="1" ht="13.5" customHeight="1" x14ac:dyDescent="0.2">
      <c r="A88" s="285" t="s">
        <v>1902</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1627</v>
      </c>
      <c r="C92" s="179"/>
      <c r="E92" s="260"/>
      <c r="F92" s="296"/>
      <c r="H92" s="297"/>
    </row>
    <row r="93" spans="1:10" s="181" customFormat="1" ht="16.5" customHeight="1" x14ac:dyDescent="0.2">
      <c r="A93" s="219"/>
      <c r="B93" s="298" t="s">
        <v>1903</v>
      </c>
      <c r="C93" s="179"/>
      <c r="E93" s="260"/>
      <c r="F93" s="296"/>
      <c r="H93" s="297"/>
    </row>
    <row r="94" spans="1:10" s="181" customFormat="1" x14ac:dyDescent="0.2">
      <c r="A94" s="299" t="s">
        <v>1318</v>
      </c>
      <c r="B94" s="300"/>
      <c r="C94" s="300"/>
      <c r="D94" s="301"/>
      <c r="E94" s="302"/>
      <c r="F94" s="303"/>
      <c r="G94" s="304"/>
      <c r="H94" s="305"/>
      <c r="I94" s="306"/>
    </row>
    <row r="95" spans="1:10" s="181" customFormat="1" x14ac:dyDescent="0.2">
      <c r="A95" s="307"/>
      <c r="B95" s="308" t="s">
        <v>1628</v>
      </c>
      <c r="C95" s="309"/>
      <c r="D95" s="310"/>
      <c r="E95" s="304"/>
      <c r="F95" s="304"/>
      <c r="G95" s="304"/>
      <c r="H95" s="304"/>
      <c r="I95" s="304"/>
    </row>
    <row r="96" spans="1:10" s="181" customFormat="1" x14ac:dyDescent="0.2">
      <c r="A96" s="307" t="s">
        <v>1168</v>
      </c>
      <c r="B96" s="345" t="s">
        <v>1630</v>
      </c>
      <c r="C96" s="309"/>
      <c r="D96" s="311"/>
      <c r="E96" s="311"/>
      <c r="F96" s="311"/>
      <c r="G96" s="311"/>
      <c r="H96" s="311"/>
      <c r="I96" s="304"/>
    </row>
    <row r="97" spans="1:9" s="181" customFormat="1" x14ac:dyDescent="0.2">
      <c r="A97" s="307"/>
      <c r="B97" s="308" t="s">
        <v>1629</v>
      </c>
      <c r="C97" s="309"/>
      <c r="D97" s="311"/>
      <c r="E97" s="311"/>
      <c r="F97" s="311"/>
      <c r="G97" s="311"/>
      <c r="H97" s="311"/>
      <c r="I97" s="304"/>
    </row>
    <row r="98" spans="1:9" s="181" customFormat="1" x14ac:dyDescent="0.2">
      <c r="A98" s="308"/>
      <c r="B98" s="312" t="s">
        <v>1631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172"/>
      <c r="C102" s="2173"/>
      <c r="D102" s="2173"/>
      <c r="E102" s="2173"/>
      <c r="F102" s="2173"/>
      <c r="G102" s="2173"/>
      <c r="H102" s="2173"/>
      <c r="I102" s="2174"/>
    </row>
    <row r="103" spans="1:9" s="181" customFormat="1" ht="11.25" customHeight="1" x14ac:dyDescent="0.2">
      <c r="A103" s="316"/>
      <c r="B103" s="2175"/>
      <c r="C103" s="2176"/>
      <c r="D103" s="2176"/>
      <c r="E103" s="2176"/>
      <c r="F103" s="2176"/>
      <c r="G103" s="2176"/>
      <c r="H103" s="2176"/>
      <c r="I103" s="2177"/>
    </row>
    <row r="104" spans="1:9" s="181" customFormat="1" ht="11.25" customHeight="1" x14ac:dyDescent="0.2">
      <c r="A104" s="316"/>
      <c r="B104" s="2175"/>
      <c r="C104" s="2176"/>
      <c r="D104" s="2176"/>
      <c r="E104" s="2176"/>
      <c r="F104" s="2176"/>
      <c r="G104" s="2176"/>
      <c r="H104" s="2176"/>
      <c r="I104" s="2177"/>
    </row>
    <row r="105" spans="1:9" s="181" customFormat="1" x14ac:dyDescent="0.2">
      <c r="A105" s="316"/>
      <c r="B105" s="2175"/>
      <c r="C105" s="2176"/>
      <c r="D105" s="2176"/>
      <c r="E105" s="2176"/>
      <c r="F105" s="2176"/>
      <c r="G105" s="2176"/>
      <c r="H105" s="2176"/>
      <c r="I105" s="2177"/>
    </row>
    <row r="106" spans="1:9" s="181" customFormat="1" ht="11.25" customHeight="1" x14ac:dyDescent="0.2">
      <c r="A106" s="316"/>
      <c r="B106" s="2175"/>
      <c r="C106" s="2176"/>
      <c r="D106" s="2176"/>
      <c r="E106" s="2176"/>
      <c r="F106" s="2176"/>
      <c r="G106" s="2176"/>
      <c r="H106" s="2176"/>
      <c r="I106" s="2177"/>
    </row>
    <row r="107" spans="1:9" s="181" customFormat="1" ht="11.25" customHeight="1" x14ac:dyDescent="0.2">
      <c r="A107" s="316"/>
      <c r="B107" s="2175"/>
      <c r="C107" s="2176"/>
      <c r="D107" s="2176"/>
      <c r="E107" s="2176"/>
      <c r="F107" s="2176"/>
      <c r="G107" s="2176"/>
      <c r="H107" s="2176"/>
      <c r="I107" s="2177"/>
    </row>
    <row r="108" spans="1:9" s="181" customFormat="1" ht="11.25" customHeight="1" x14ac:dyDescent="0.2">
      <c r="A108" s="316"/>
      <c r="B108" s="2175"/>
      <c r="C108" s="2176"/>
      <c r="D108" s="2176"/>
      <c r="E108" s="2176"/>
      <c r="F108" s="2176"/>
      <c r="G108" s="2176"/>
      <c r="H108" s="2176"/>
      <c r="I108" s="2177"/>
    </row>
    <row r="109" spans="1:9" s="181" customFormat="1" ht="11.25" customHeight="1" x14ac:dyDescent="0.2">
      <c r="A109" s="316"/>
      <c r="B109" s="2175"/>
      <c r="C109" s="2176"/>
      <c r="D109" s="2176"/>
      <c r="E109" s="2176"/>
      <c r="F109" s="2176"/>
      <c r="G109" s="2176"/>
      <c r="H109" s="2176"/>
      <c r="I109" s="2177"/>
    </row>
    <row r="110" spans="1:9" s="181" customFormat="1" ht="11.25" customHeight="1" x14ac:dyDescent="0.2">
      <c r="A110" s="316"/>
      <c r="B110" s="2175"/>
      <c r="C110" s="2176"/>
      <c r="D110" s="2176"/>
      <c r="E110" s="2176"/>
      <c r="F110" s="2176"/>
      <c r="G110" s="2176"/>
      <c r="H110" s="2176"/>
      <c r="I110" s="2177"/>
    </row>
    <row r="111" spans="1:9" s="181" customFormat="1" ht="11.25" customHeight="1" x14ac:dyDescent="0.2">
      <c r="A111" s="316"/>
      <c r="B111" s="2175"/>
      <c r="C111" s="2176"/>
      <c r="D111" s="2176"/>
      <c r="E111" s="2176"/>
      <c r="F111" s="2176"/>
      <c r="G111" s="2176"/>
      <c r="H111" s="2176"/>
      <c r="I111" s="2177"/>
    </row>
    <row r="112" spans="1:9" s="181" customFormat="1" ht="11.25" customHeight="1" x14ac:dyDescent="0.2">
      <c r="A112" s="316"/>
      <c r="B112" s="2178"/>
      <c r="C112" s="2179"/>
      <c r="D112" s="2179"/>
      <c r="E112" s="2179"/>
      <c r="F112" s="2179"/>
      <c r="G112" s="2179"/>
      <c r="H112" s="2179"/>
      <c r="I112" s="21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81" t="s">
        <v>2038</v>
      </c>
      <c r="D114" s="2181"/>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82" t="s">
        <v>1317</v>
      </c>
      <c r="D117" s="2183"/>
      <c r="E117" s="2184"/>
      <c r="F117" s="2184"/>
      <c r="G117" s="2184"/>
      <c r="H117" s="2184"/>
      <c r="I117" s="304"/>
    </row>
    <row r="118" spans="1:9" s="181" customFormat="1" ht="24" customHeight="1" x14ac:dyDescent="0.2">
      <c r="A118" s="316"/>
      <c r="B118" s="316"/>
      <c r="C118" s="316"/>
      <c r="D118" s="323"/>
      <c r="E118" s="322"/>
      <c r="F118" s="324"/>
      <c r="G118" s="1793"/>
      <c r="H118" s="322"/>
      <c r="I118" s="304"/>
    </row>
    <row r="119" spans="1:9" s="181" customFormat="1" ht="11.25" customHeight="1" x14ac:dyDescent="0.2">
      <c r="A119" s="325"/>
      <c r="B119" s="325"/>
      <c r="C119" s="326"/>
      <c r="D119" s="327" t="s">
        <v>360</v>
      </c>
      <c r="E119" s="310"/>
      <c r="F119" s="1792" t="s">
        <v>1880</v>
      </c>
      <c r="G119" s="328"/>
      <c r="H119" s="328"/>
      <c r="I119" s="304"/>
    </row>
    <row r="120" spans="1:9" x14ac:dyDescent="0.2">
      <c r="A120" s="329"/>
      <c r="B120" s="180"/>
      <c r="C120" s="330"/>
      <c r="D120" s="256"/>
      <c r="E120" s="256"/>
      <c r="F120" s="256"/>
      <c r="G120" s="256"/>
      <c r="H120" s="256"/>
      <c r="I120" s="304"/>
    </row>
    <row r="121" spans="1:9" x14ac:dyDescent="0.2">
      <c r="A121" s="329"/>
      <c r="B121" s="1441" t="s">
        <v>1588</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9"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B1:N152"/>
  <sheetViews>
    <sheetView showGridLines="0" zoomScaleNormal="100" workbookViewId="0">
      <selection activeCell="D24" sqref="C24:D24"/>
    </sheetView>
  </sheetViews>
  <sheetFormatPr defaultColWidth="33.5703125" defaultRowHeight="12.75" x14ac:dyDescent="0.2"/>
  <cols>
    <col min="1" max="1" width="0.140625" style="317" customWidth="1"/>
    <col min="2" max="2" width="32.85546875" style="317" customWidth="1"/>
    <col min="3" max="3" width="8.7109375" style="1326" customWidth="1"/>
    <col min="4" max="4" width="12.7109375" style="1327" customWidth="1"/>
    <col min="5" max="6" width="11.7109375" style="317" customWidth="1"/>
    <col min="7" max="7" width="11.7109375" style="1227" customWidth="1"/>
    <col min="8" max="8" width="13.7109375" style="1227" bestFit="1" customWidth="1"/>
    <col min="9" max="9" width="11.7109375" style="1227" customWidth="1"/>
    <col min="10" max="10" width="13.7109375" style="1227" customWidth="1"/>
    <col min="11" max="12" width="11.7109375" style="1227" customWidth="1"/>
    <col min="13" max="13" width="11.7109375" style="317" customWidth="1"/>
    <col min="14" max="14" width="2.7109375" style="317" customWidth="1"/>
    <col min="15" max="16384" width="33.5703125" style="317"/>
  </cols>
  <sheetData>
    <row r="1" spans="2:14" ht="11.85" customHeight="1" x14ac:dyDescent="0.2">
      <c r="B1" s="2529" t="str">
        <f>'Single Audit Cover'!A7</f>
        <v>Hawthorn CCSD 73</v>
      </c>
      <c r="C1" s="2550"/>
      <c r="D1" s="2550"/>
      <c r="E1" s="2550"/>
      <c r="F1" s="2550"/>
      <c r="G1" s="2550"/>
      <c r="H1" s="2550"/>
      <c r="I1" s="2550"/>
      <c r="J1" s="2550"/>
      <c r="K1" s="2550"/>
      <c r="L1" s="2550"/>
      <c r="M1" s="2550"/>
    </row>
    <row r="2" spans="2:14" ht="15" x14ac:dyDescent="0.2">
      <c r="B2" s="2551">
        <f>'Single Audit Cover'!E7</f>
        <v>34049073004</v>
      </c>
      <c r="C2" s="2551"/>
      <c r="D2" s="2551"/>
      <c r="E2" s="2551"/>
      <c r="F2" s="2551"/>
      <c r="G2" s="2551"/>
      <c r="H2" s="2551"/>
      <c r="I2" s="2551"/>
      <c r="J2" s="2551"/>
      <c r="K2" s="2551"/>
      <c r="L2" s="2551"/>
      <c r="M2" s="2551"/>
      <c r="N2" s="1271"/>
    </row>
    <row r="3" spans="2:14" ht="15" x14ac:dyDescent="0.2">
      <c r="B3" s="2552" t="s">
        <v>1218</v>
      </c>
      <c r="C3" s="2552"/>
      <c r="D3" s="2552"/>
      <c r="E3" s="2552"/>
      <c r="F3" s="2552"/>
      <c r="G3" s="2552"/>
      <c r="H3" s="2552"/>
      <c r="I3" s="2552"/>
      <c r="J3" s="2552"/>
      <c r="K3" s="2552"/>
      <c r="L3" s="2552"/>
      <c r="M3" s="2552"/>
      <c r="N3" s="1271"/>
    </row>
    <row r="4" spans="2:14" ht="15" x14ac:dyDescent="0.2">
      <c r="B4" s="2553" t="str">
        <f>'Single Audit Cover'!A4</f>
        <v>Year Ending June 30, 2019</v>
      </c>
      <c r="C4" s="2553"/>
      <c r="D4" s="2553"/>
      <c r="E4" s="2553"/>
      <c r="F4" s="2553"/>
      <c r="G4" s="2553"/>
      <c r="H4" s="2553"/>
      <c r="I4" s="2553"/>
      <c r="J4" s="2553"/>
      <c r="K4" s="2553"/>
      <c r="L4" s="2553"/>
      <c r="M4" s="2553"/>
      <c r="N4" s="1271"/>
    </row>
    <row r="6" spans="2:14" x14ac:dyDescent="0.2">
      <c r="B6" s="1272"/>
      <c r="C6" s="1273"/>
      <c r="D6" s="1274" t="s">
        <v>1264</v>
      </c>
      <c r="E6" s="1275" t="s">
        <v>526</v>
      </c>
      <c r="F6" s="1276"/>
      <c r="G6" s="1277" t="s">
        <v>1718</v>
      </c>
      <c r="H6" s="1275"/>
      <c r="I6" s="1275"/>
      <c r="J6" s="1275"/>
      <c r="K6" s="1278"/>
      <c r="L6" s="1279"/>
      <c r="M6" s="1280"/>
    </row>
    <row r="7" spans="2:14" x14ac:dyDescent="0.2">
      <c r="B7" s="1281" t="s">
        <v>1568</v>
      </c>
      <c r="C7" s="1282"/>
      <c r="D7" s="1283"/>
      <c r="E7" s="1284"/>
      <c r="F7" s="1285"/>
      <c r="G7" s="1284"/>
      <c r="H7" s="1286" t="s">
        <v>1261</v>
      </c>
      <c r="I7" s="1284"/>
      <c r="J7" s="1287" t="s">
        <v>1261</v>
      </c>
      <c r="K7" s="1288"/>
      <c r="L7" s="1289" t="s">
        <v>1259</v>
      </c>
      <c r="M7" s="1290"/>
    </row>
    <row r="8" spans="2:14" x14ac:dyDescent="0.2">
      <c r="B8" s="1618"/>
      <c r="C8" s="1282" t="s">
        <v>1263</v>
      </c>
      <c r="D8" s="1283" t="s">
        <v>1262</v>
      </c>
      <c r="E8" s="1291" t="s">
        <v>1261</v>
      </c>
      <c r="F8" s="1292" t="s">
        <v>1261</v>
      </c>
      <c r="G8" s="1293" t="s">
        <v>1261</v>
      </c>
      <c r="H8" s="1286" t="s">
        <v>1813</v>
      </c>
      <c r="I8" s="1288" t="s">
        <v>1261</v>
      </c>
      <c r="J8" s="1287" t="s">
        <v>1964</v>
      </c>
      <c r="K8" s="1288" t="s">
        <v>1260</v>
      </c>
      <c r="L8" s="1289" t="s">
        <v>1256</v>
      </c>
      <c r="M8" s="1290" t="s">
        <v>30</v>
      </c>
    </row>
    <row r="9" spans="2:14" ht="14.25" x14ac:dyDescent="0.2">
      <c r="B9" s="1294" t="s">
        <v>1258</v>
      </c>
      <c r="C9" s="1282" t="s">
        <v>1719</v>
      </c>
      <c r="D9" s="1283" t="s">
        <v>1720</v>
      </c>
      <c r="E9" s="1291" t="s">
        <v>1813</v>
      </c>
      <c r="F9" s="1292" t="s">
        <v>1964</v>
      </c>
      <c r="G9" s="1293" t="s">
        <v>1813</v>
      </c>
      <c r="H9" s="1286" t="s">
        <v>1569</v>
      </c>
      <c r="I9" s="1288" t="s">
        <v>1964</v>
      </c>
      <c r="J9" s="1287" t="s">
        <v>1569</v>
      </c>
      <c r="K9" s="1288" t="s">
        <v>1257</v>
      </c>
      <c r="L9" s="1295" t="s">
        <v>1570</v>
      </c>
      <c r="M9" s="1290"/>
    </row>
    <row r="10" spans="2:14" ht="11.85" customHeight="1" x14ac:dyDescent="0.2">
      <c r="B10" s="1294" t="s">
        <v>1255</v>
      </c>
      <c r="C10" s="1296" t="s">
        <v>1254</v>
      </c>
      <c r="D10" s="1297" t="s">
        <v>1253</v>
      </c>
      <c r="E10" s="1298" t="s">
        <v>1252</v>
      </c>
      <c r="F10" s="1299" t="s">
        <v>1251</v>
      </c>
      <c r="G10" s="1300" t="s">
        <v>1250</v>
      </c>
      <c r="H10" s="1301" t="s">
        <v>1265</v>
      </c>
      <c r="I10" s="1302" t="s">
        <v>1249</v>
      </c>
      <c r="J10" s="1303" t="s">
        <v>1265</v>
      </c>
      <c r="K10" s="1304" t="s">
        <v>1248</v>
      </c>
      <c r="L10" s="1304" t="s">
        <v>1247</v>
      </c>
      <c r="M10" s="1305" t="s">
        <v>1246</v>
      </c>
    </row>
    <row r="11" spans="2:14" ht="20.100000000000001" customHeight="1" x14ac:dyDescent="0.2">
      <c r="B11" s="1306" t="s">
        <v>2059</v>
      </c>
      <c r="C11" s="1307"/>
      <c r="D11" s="1308"/>
      <c r="E11" s="1309"/>
      <c r="F11" s="1309"/>
      <c r="G11" s="1309"/>
      <c r="H11" s="1309"/>
      <c r="I11" s="1309"/>
      <c r="J11" s="1309"/>
      <c r="K11" s="1309"/>
      <c r="L11" s="1309">
        <f>+G11+I11+K11</f>
        <v>0</v>
      </c>
      <c r="M11" s="1309"/>
    </row>
    <row r="12" spans="2:14" ht="20.100000000000001" customHeight="1" x14ac:dyDescent="0.2">
      <c r="B12" s="1306" t="s">
        <v>2048</v>
      </c>
      <c r="C12" s="1310"/>
      <c r="D12" s="1311"/>
      <c r="E12" s="1312"/>
      <c r="F12" s="1312"/>
      <c r="G12" s="1312"/>
      <c r="H12" s="1312"/>
      <c r="I12" s="1312"/>
      <c r="J12" s="1312"/>
      <c r="K12" s="1312"/>
      <c r="L12" s="1309">
        <f t="shared" ref="L12:L27" si="0">+G12+I12+K12</f>
        <v>0</v>
      </c>
      <c r="M12" s="1312"/>
    </row>
    <row r="13" spans="2:14" ht="20.100000000000001" customHeight="1" x14ac:dyDescent="0.2">
      <c r="B13" s="1306" t="s">
        <v>2078</v>
      </c>
      <c r="C13" s="1310">
        <v>84.364999999999995</v>
      </c>
      <c r="D13" s="1311" t="s">
        <v>2079</v>
      </c>
      <c r="E13" s="1312"/>
      <c r="F13" s="1312">
        <v>27745</v>
      </c>
      <c r="G13" s="1312">
        <v>27745</v>
      </c>
      <c r="H13" s="1312"/>
      <c r="I13" s="1312"/>
      <c r="J13" s="1312"/>
      <c r="K13" s="1312"/>
      <c r="L13" s="1309">
        <f t="shared" si="0"/>
        <v>27745</v>
      </c>
      <c r="M13" s="1312">
        <v>29217</v>
      </c>
    </row>
    <row r="14" spans="2:14" ht="20.100000000000001" customHeight="1" x14ac:dyDescent="0.2">
      <c r="B14" s="1306" t="s">
        <v>2078</v>
      </c>
      <c r="C14" s="1310">
        <v>84.364999999999995</v>
      </c>
      <c r="D14" s="1311" t="s">
        <v>2080</v>
      </c>
      <c r="E14" s="1312"/>
      <c r="F14" s="1312">
        <v>0</v>
      </c>
      <c r="G14" s="1312"/>
      <c r="H14" s="1312"/>
      <c r="I14" s="1312">
        <v>1354</v>
      </c>
      <c r="J14" s="1312"/>
      <c r="K14" s="1312"/>
      <c r="L14" s="1309">
        <f t="shared" si="0"/>
        <v>1354</v>
      </c>
      <c r="M14" s="1312">
        <v>1472</v>
      </c>
    </row>
    <row r="15" spans="2:14" ht="20.100000000000001" customHeight="1" x14ac:dyDescent="0.2">
      <c r="B15" s="1306" t="s">
        <v>2081</v>
      </c>
      <c r="C15" s="1310">
        <v>84.364999999999995</v>
      </c>
      <c r="D15" s="1311" t="s">
        <v>2082</v>
      </c>
      <c r="E15" s="1312">
        <v>18714</v>
      </c>
      <c r="F15" s="1312">
        <v>37078</v>
      </c>
      <c r="G15" s="1312">
        <v>42564</v>
      </c>
      <c r="H15" s="1312"/>
      <c r="I15" s="1312">
        <v>13228</v>
      </c>
      <c r="J15" s="1312"/>
      <c r="K15" s="1312"/>
      <c r="L15" s="1309">
        <f t="shared" si="0"/>
        <v>55792</v>
      </c>
      <c r="M15" s="1312">
        <v>138616</v>
      </c>
    </row>
    <row r="16" spans="2:14" ht="20.100000000000001" customHeight="1" x14ac:dyDescent="0.2">
      <c r="B16" s="1306" t="s">
        <v>2081</v>
      </c>
      <c r="C16" s="1310">
        <v>84.364999999999995</v>
      </c>
      <c r="D16" s="1311" t="s">
        <v>2083</v>
      </c>
      <c r="E16" s="1312"/>
      <c r="F16" s="1312">
        <v>25238</v>
      </c>
      <c r="G16" s="1312"/>
      <c r="H16" s="1312"/>
      <c r="I16" s="1312">
        <v>69319</v>
      </c>
      <c r="J16" s="1312"/>
      <c r="K16" s="1312"/>
      <c r="L16" s="1309">
        <f t="shared" si="0"/>
        <v>69319</v>
      </c>
      <c r="M16" s="1312">
        <v>189124</v>
      </c>
    </row>
    <row r="17" spans="2:14" ht="20.100000000000001" customHeight="1" x14ac:dyDescent="0.2">
      <c r="B17" s="1306" t="s">
        <v>2084</v>
      </c>
      <c r="C17" s="1310">
        <v>84.367000000000004</v>
      </c>
      <c r="D17" s="1311" t="s">
        <v>2085</v>
      </c>
      <c r="E17" s="1312">
        <v>52641</v>
      </c>
      <c r="F17" s="1312">
        <v>36644</v>
      </c>
      <c r="G17" s="1312">
        <v>89285</v>
      </c>
      <c r="H17" s="1312"/>
      <c r="I17" s="1312"/>
      <c r="J17" s="1312"/>
      <c r="K17" s="1312"/>
      <c r="L17" s="1309">
        <f t="shared" si="0"/>
        <v>89285</v>
      </c>
      <c r="M17" s="1312">
        <v>142702</v>
      </c>
    </row>
    <row r="18" spans="2:14" ht="20.100000000000001" customHeight="1" x14ac:dyDescent="0.2">
      <c r="B18" s="1306" t="s">
        <v>2094</v>
      </c>
      <c r="C18" s="1310">
        <v>84.367000000000004</v>
      </c>
      <c r="D18" s="1311" t="s">
        <v>2093</v>
      </c>
      <c r="E18" s="1312"/>
      <c r="F18" s="1312">
        <v>17636</v>
      </c>
      <c r="G18" s="1312"/>
      <c r="H18" s="1312"/>
      <c r="I18" s="1312">
        <v>66461</v>
      </c>
      <c r="J18" s="1312"/>
      <c r="K18" s="1312"/>
      <c r="L18" s="1309">
        <f t="shared" si="0"/>
        <v>66461</v>
      </c>
      <c r="M18" s="1312">
        <v>124915</v>
      </c>
    </row>
    <row r="19" spans="2:14" ht="20.100000000000001" customHeight="1" x14ac:dyDescent="0.2">
      <c r="B19" s="1306" t="s">
        <v>2086</v>
      </c>
      <c r="C19" s="1310"/>
      <c r="D19" s="1311"/>
      <c r="E19" s="1312">
        <f>+SUM(' SEFA (2)'!E21:E27)+SUM(' SEFA (3)'!E13:E18)</f>
        <v>702010</v>
      </c>
      <c r="F19" s="1312">
        <f>+SUM(' SEFA (2)'!F21:F27)+SUM(' SEFA (3)'!F13:F18)</f>
        <v>604487</v>
      </c>
      <c r="G19" s="1312">
        <f>+SUM(' SEFA (2)'!G21:G27)+SUM(' SEFA (3)'!G13:G18)</f>
        <v>956968</v>
      </c>
      <c r="H19" s="1312"/>
      <c r="I19" s="1312">
        <f>+SUM(' SEFA (2)'!I21:I27)+SUM(' SEFA (3)'!I13:I18)</f>
        <v>1144262</v>
      </c>
      <c r="J19" s="1312"/>
      <c r="K19" s="1312"/>
      <c r="L19" s="1309">
        <f t="shared" si="0"/>
        <v>2101230</v>
      </c>
      <c r="M19" s="1312"/>
    </row>
    <row r="20" spans="2:14" ht="20.100000000000001" customHeight="1" x14ac:dyDescent="0.2">
      <c r="B20" s="1306"/>
      <c r="C20" s="1310"/>
      <c r="D20" s="1311"/>
      <c r="E20" s="1312"/>
      <c r="F20" s="1312"/>
      <c r="G20" s="1312"/>
      <c r="H20" s="1312"/>
      <c r="I20" s="1312"/>
      <c r="J20" s="1312"/>
      <c r="K20" s="1312"/>
      <c r="L20" s="1309">
        <f t="shared" si="0"/>
        <v>0</v>
      </c>
      <c r="M20" s="1312"/>
    </row>
    <row r="21" spans="2:14" ht="20.100000000000001" customHeight="1" x14ac:dyDescent="0.2">
      <c r="B21" s="1306" t="s">
        <v>2087</v>
      </c>
      <c r="C21" s="1310"/>
      <c r="D21" s="1311"/>
      <c r="E21" s="1312"/>
      <c r="F21" s="1312"/>
      <c r="G21" s="1312"/>
      <c r="H21" s="1312"/>
      <c r="I21" s="1312"/>
      <c r="J21" s="1312"/>
      <c r="K21" s="1312"/>
      <c r="L21" s="1309">
        <f t="shared" si="0"/>
        <v>0</v>
      </c>
      <c r="M21" s="1312"/>
    </row>
    <row r="22" spans="2:14" ht="20.100000000000001" customHeight="1" x14ac:dyDescent="0.2">
      <c r="B22" s="1306" t="s">
        <v>2090</v>
      </c>
      <c r="C22" s="1310"/>
      <c r="D22" s="1311"/>
      <c r="E22" s="1312"/>
      <c r="F22" s="1312"/>
      <c r="G22" s="1312"/>
      <c r="H22" s="1312"/>
      <c r="I22" s="1312"/>
      <c r="J22" s="1312"/>
      <c r="K22" s="1312"/>
      <c r="L22" s="1309">
        <f t="shared" si="0"/>
        <v>0</v>
      </c>
      <c r="M22" s="1312"/>
    </row>
    <row r="23" spans="2:14" ht="20.100000000000001" customHeight="1" x14ac:dyDescent="0.2">
      <c r="B23" s="1306" t="s">
        <v>2088</v>
      </c>
      <c r="C23" s="1310"/>
      <c r="D23" s="1311"/>
      <c r="E23" s="1312"/>
      <c r="F23" s="1312"/>
      <c r="G23" s="1312"/>
      <c r="H23" s="1312"/>
      <c r="I23" s="1312"/>
      <c r="J23" s="1312"/>
      <c r="K23" s="1312"/>
      <c r="L23" s="1309">
        <f t="shared" si="0"/>
        <v>0</v>
      </c>
      <c r="M23" s="1312"/>
    </row>
    <row r="24" spans="2:14" ht="20.100000000000001" customHeight="1" x14ac:dyDescent="0.2">
      <c r="B24" s="1306" t="s">
        <v>2089</v>
      </c>
      <c r="C24" s="1310">
        <v>93.778000000000006</v>
      </c>
      <c r="D24" s="1311" t="s">
        <v>2216</v>
      </c>
      <c r="E24" s="1312">
        <v>0</v>
      </c>
      <c r="F24" s="1312">
        <v>92968</v>
      </c>
      <c r="G24" s="1312">
        <v>0</v>
      </c>
      <c r="H24" s="1312"/>
      <c r="I24" s="1312">
        <v>92968</v>
      </c>
      <c r="J24" s="1312"/>
      <c r="K24" s="1312"/>
      <c r="L24" s="1309">
        <f t="shared" si="0"/>
        <v>92968</v>
      </c>
      <c r="M24" s="1312" t="s">
        <v>2053</v>
      </c>
    </row>
    <row r="25" spans="2:14" ht="20.100000000000001" customHeight="1" x14ac:dyDescent="0.2">
      <c r="B25" s="1306" t="s">
        <v>2091</v>
      </c>
      <c r="C25" s="1310"/>
      <c r="D25" s="1311"/>
      <c r="E25" s="1312">
        <f>+E24</f>
        <v>0</v>
      </c>
      <c r="F25" s="1312">
        <f>+F24</f>
        <v>92968</v>
      </c>
      <c r="G25" s="1312">
        <f>+G24</f>
        <v>0</v>
      </c>
      <c r="H25" s="1312"/>
      <c r="I25" s="1312">
        <f>+I24</f>
        <v>92968</v>
      </c>
      <c r="J25" s="1312"/>
      <c r="K25" s="1312"/>
      <c r="L25" s="1309">
        <f t="shared" si="0"/>
        <v>92968</v>
      </c>
      <c r="M25" s="1312"/>
    </row>
    <row r="26" spans="2:14" ht="20.100000000000001" customHeight="1" x14ac:dyDescent="0.2">
      <c r="B26" s="1306"/>
      <c r="C26" s="1310"/>
      <c r="D26" s="1311"/>
      <c r="E26" s="1312"/>
      <c r="F26" s="1312"/>
      <c r="G26" s="1312"/>
      <c r="H26" s="1312"/>
      <c r="I26" s="1312"/>
      <c r="J26" s="1312"/>
      <c r="K26" s="1312"/>
      <c r="L26" s="1309">
        <f t="shared" si="0"/>
        <v>0</v>
      </c>
      <c r="M26" s="1312"/>
    </row>
    <row r="27" spans="2:14" ht="20.100000000000001" customHeight="1" x14ac:dyDescent="0.2">
      <c r="B27" s="1306" t="s">
        <v>2092</v>
      </c>
      <c r="C27" s="1310"/>
      <c r="D27" s="1311"/>
      <c r="E27" s="1312">
        <f>+' SEFA'!E24+' SEFA (3)'!E19+' SEFA (3)'!E24</f>
        <v>1197754</v>
      </c>
      <c r="F27" s="1312">
        <f>+' SEFA'!F24+' SEFA (3)'!F19+' SEFA (3)'!F24</f>
        <v>1327224</v>
      </c>
      <c r="G27" s="1312">
        <f>+' SEFA'!G24+' SEFA (3)'!G19+' SEFA (3)'!G24</f>
        <v>1452712</v>
      </c>
      <c r="H27" s="1312"/>
      <c r="I27" s="1312">
        <f>+' SEFA'!I24+' SEFA (3)'!I19+' SEFA (3)'!I24</f>
        <v>1866999</v>
      </c>
      <c r="J27" s="1312"/>
      <c r="K27" s="1312"/>
      <c r="L27" s="1309">
        <f t="shared" si="0"/>
        <v>3319711</v>
      </c>
      <c r="M27" s="1312"/>
      <c r="N27" s="1313"/>
    </row>
    <row r="28" spans="2:14" ht="12.75" customHeight="1" x14ac:dyDescent="0.2">
      <c r="B28" s="1314"/>
      <c r="C28" s="1315"/>
      <c r="D28" s="1316"/>
      <c r="E28" s="1317"/>
      <c r="F28" s="1317"/>
      <c r="G28" s="1317"/>
      <c r="H28" s="1317"/>
      <c r="I28" s="1317"/>
      <c r="J28" s="1317"/>
      <c r="K28" s="1317"/>
      <c r="L28" s="1317"/>
      <c r="M28" s="1317"/>
      <c r="N28" s="1313"/>
    </row>
    <row r="29" spans="2:14" x14ac:dyDescent="0.2">
      <c r="B29" s="1226"/>
      <c r="C29" s="1318"/>
      <c r="D29" s="1319"/>
      <c r="E29" s="1226"/>
      <c r="F29" s="1226"/>
      <c r="G29" s="1219"/>
      <c r="H29" s="1219"/>
      <c r="I29" s="1219"/>
      <c r="J29" s="1219"/>
      <c r="K29" s="1219"/>
      <c r="L29" s="1219"/>
      <c r="M29" s="1226"/>
      <c r="N29" s="1313"/>
    </row>
    <row r="30" spans="2:14" ht="13.5" customHeight="1" x14ac:dyDescent="0.2">
      <c r="B30" s="1251" t="s">
        <v>1721</v>
      </c>
      <c r="C30" s="1318"/>
      <c r="D30" s="1319"/>
      <c r="E30" s="1226"/>
      <c r="F30" s="1226"/>
      <c r="G30" s="1219"/>
      <c r="H30" s="1219"/>
      <c r="I30" s="1219"/>
      <c r="J30" s="1219"/>
      <c r="K30" s="1219"/>
      <c r="L30" s="1219"/>
      <c r="M30" s="1226"/>
      <c r="N30" s="1313"/>
    </row>
    <row r="31" spans="2:14" ht="8.25" customHeight="1" x14ac:dyDescent="0.2">
      <c r="B31" s="1251"/>
      <c r="C31" s="1318"/>
      <c r="D31" s="1319"/>
      <c r="E31" s="1226"/>
      <c r="F31" s="1226"/>
      <c r="G31" s="1219"/>
      <c r="H31" s="1219"/>
      <c r="I31" s="1219"/>
      <c r="J31" s="1219"/>
      <c r="K31" s="1219"/>
      <c r="L31" s="1219"/>
      <c r="M31" s="1226"/>
      <c r="N31" s="1313"/>
    </row>
    <row r="32" spans="2:14" x14ac:dyDescent="0.2">
      <c r="B32" s="1320" t="s">
        <v>1814</v>
      </c>
      <c r="C32" s="1321"/>
      <c r="D32" s="1322"/>
      <c r="E32" s="1323"/>
      <c r="F32" s="1323"/>
      <c r="G32" s="1323"/>
      <c r="H32" s="1323"/>
      <c r="I32" s="317"/>
      <c r="J32" s="317"/>
    </row>
    <row r="33" spans="2:13" x14ac:dyDescent="0.2">
      <c r="B33" s="1246"/>
      <c r="C33" s="1324"/>
      <c r="D33" s="1325"/>
      <c r="E33" s="1247"/>
      <c r="F33" s="1247"/>
      <c r="G33" s="317"/>
      <c r="H33" s="317"/>
      <c r="I33" s="317"/>
      <c r="J33" s="317"/>
    </row>
    <row r="34" spans="2:13" ht="13.5" customHeight="1" x14ac:dyDescent="0.2">
      <c r="B34" s="1245" t="s">
        <v>1245</v>
      </c>
      <c r="G34" s="317"/>
      <c r="H34" s="317"/>
      <c r="I34" s="317"/>
      <c r="J34" s="317"/>
    </row>
    <row r="35" spans="2:13" ht="13.5" customHeight="1" x14ac:dyDescent="0.2">
      <c r="B35" s="1328"/>
      <c r="C35" s="1329"/>
      <c r="D35" s="1330"/>
      <c r="E35" s="1266"/>
      <c r="F35" s="1266"/>
      <c r="G35" s="1266"/>
      <c r="H35" s="1266"/>
      <c r="I35" s="1266"/>
      <c r="J35" s="1266"/>
      <c r="K35" s="1331"/>
      <c r="L35" s="1331"/>
      <c r="M35" s="1266"/>
    </row>
    <row r="36" spans="2:13" ht="9.6" customHeight="1" x14ac:dyDescent="0.2">
      <c r="B36" s="1332"/>
      <c r="G36" s="317"/>
      <c r="H36" s="317"/>
      <c r="I36" s="317"/>
      <c r="J36" s="317"/>
    </row>
    <row r="37" spans="2:13" ht="11.25" customHeight="1" x14ac:dyDescent="0.2">
      <c r="B37" s="1333" t="s">
        <v>1722</v>
      </c>
      <c r="C37" s="1334"/>
      <c r="D37" s="1334"/>
      <c r="E37" s="1334"/>
      <c r="F37" s="1334"/>
      <c r="G37" s="1334"/>
      <c r="H37" s="1334"/>
      <c r="I37" s="1335"/>
      <c r="J37" s="1335"/>
      <c r="K37" s="1335"/>
      <c r="L37" s="1335"/>
      <c r="M37" s="1335"/>
    </row>
    <row r="38" spans="2:13" ht="11.25" customHeight="1" x14ac:dyDescent="0.2">
      <c r="B38" s="1336" t="s">
        <v>1571</v>
      </c>
      <c r="C38" s="1335"/>
      <c r="D38" s="1335"/>
      <c r="E38" s="1335"/>
      <c r="F38" s="1335"/>
      <c r="G38" s="1335"/>
      <c r="H38" s="1335"/>
      <c r="I38" s="1335"/>
      <c r="J38" s="1335"/>
      <c r="K38" s="1335"/>
      <c r="L38" s="1335"/>
      <c r="M38" s="1335"/>
    </row>
    <row r="39" spans="2:13" ht="3.95" customHeight="1" x14ac:dyDescent="0.2">
      <c r="B39" s="1336"/>
      <c r="C39" s="1335"/>
      <c r="D39" s="1335"/>
      <c r="E39" s="1335"/>
      <c r="F39" s="1335"/>
      <c r="G39" s="1335"/>
      <c r="H39" s="1335"/>
      <c r="I39" s="1335"/>
      <c r="J39" s="1335"/>
      <c r="K39" s="1335"/>
      <c r="L39" s="1335"/>
      <c r="M39" s="1335"/>
    </row>
    <row r="40" spans="2:13" ht="11.25" customHeight="1" x14ac:dyDescent="0.2">
      <c r="B40" s="1333" t="s">
        <v>1723</v>
      </c>
      <c r="C40" s="1335"/>
      <c r="D40" s="1335"/>
      <c r="E40" s="1335"/>
      <c r="F40" s="1335"/>
      <c r="G40" s="1335"/>
      <c r="H40" s="1335"/>
      <c r="I40" s="1335"/>
      <c r="J40" s="1335"/>
      <c r="K40" s="1335"/>
      <c r="L40" s="1335"/>
      <c r="M40" s="1335"/>
    </row>
    <row r="41" spans="2:13" ht="11.25" customHeight="1" x14ac:dyDescent="0.2">
      <c r="B41" s="1269" t="s">
        <v>1572</v>
      </c>
      <c r="C41" s="1337"/>
      <c r="D41" s="1338"/>
      <c r="E41" s="1269"/>
      <c r="F41" s="1269"/>
      <c r="G41" s="1269"/>
      <c r="H41" s="1269"/>
      <c r="I41" s="1269"/>
      <c r="J41" s="1269"/>
      <c r="K41" s="1339"/>
      <c r="L41" s="1339"/>
      <c r="M41" s="1269"/>
    </row>
    <row r="42" spans="2:13" ht="3.95" customHeight="1" x14ac:dyDescent="0.2">
      <c r="B42" s="1269"/>
      <c r="C42" s="1337"/>
      <c r="D42" s="1338"/>
      <c r="E42" s="1269"/>
      <c r="F42" s="1269"/>
      <c r="G42" s="1269"/>
      <c r="H42" s="1269"/>
      <c r="I42" s="1269"/>
      <c r="J42" s="1269"/>
      <c r="K42" s="1339"/>
      <c r="L42" s="1339"/>
      <c r="M42" s="1269"/>
    </row>
    <row r="43" spans="2:13" ht="11.25" customHeight="1" x14ac:dyDescent="0.2">
      <c r="B43" s="1340" t="s">
        <v>1724</v>
      </c>
      <c r="C43" s="1337"/>
      <c r="D43" s="1338"/>
      <c r="E43" s="1269"/>
      <c r="F43" s="1269"/>
      <c r="G43" s="1269"/>
      <c r="H43" s="1269"/>
      <c r="I43" s="1269"/>
      <c r="J43" s="1269"/>
      <c r="K43" s="1339"/>
      <c r="L43" s="1339"/>
      <c r="M43" s="1269"/>
    </row>
    <row r="44" spans="2:13" ht="3.95" customHeight="1" x14ac:dyDescent="0.2">
      <c r="B44" s="1340"/>
      <c r="C44" s="1337"/>
      <c r="D44" s="1338"/>
      <c r="E44" s="1269"/>
      <c r="F44" s="1269"/>
      <c r="G44" s="1269"/>
      <c r="H44" s="1269"/>
      <c r="I44" s="1269"/>
      <c r="J44" s="1269"/>
      <c r="K44" s="1339"/>
      <c r="L44" s="1339"/>
      <c r="M44" s="1269"/>
    </row>
    <row r="45" spans="2:13" ht="11.25" customHeight="1" x14ac:dyDescent="0.2">
      <c r="B45" s="1341" t="s">
        <v>1725</v>
      </c>
      <c r="C45" s="1337"/>
      <c r="D45" s="1338"/>
      <c r="E45" s="1269"/>
      <c r="F45" s="1269"/>
      <c r="G45" s="1269"/>
      <c r="H45" s="1269"/>
      <c r="I45" s="1269"/>
      <c r="J45" s="1269"/>
      <c r="K45" s="1339"/>
      <c r="L45" s="1339"/>
      <c r="M45" s="1269"/>
    </row>
    <row r="46" spans="2:13" ht="11.25" customHeight="1" x14ac:dyDescent="0.2">
      <c r="B46" s="1269" t="s">
        <v>1573</v>
      </c>
      <c r="G46" s="317"/>
      <c r="H46" s="317"/>
      <c r="I46" s="317"/>
      <c r="J46" s="317"/>
    </row>
    <row r="47" spans="2:13" ht="11.1" customHeight="1" x14ac:dyDescent="0.2">
      <c r="B47" s="1269"/>
      <c r="G47" s="317"/>
      <c r="H47" s="317"/>
      <c r="I47" s="317"/>
      <c r="J47" s="317"/>
    </row>
    <row r="48" spans="2:13" ht="11.1" customHeight="1" x14ac:dyDescent="0.2">
      <c r="B48" s="1269"/>
      <c r="G48" s="317"/>
      <c r="H48" s="317"/>
      <c r="I48" s="317"/>
      <c r="J48" s="317"/>
    </row>
    <row r="49" spans="7:13" ht="13.5" customHeight="1" x14ac:dyDescent="0.2">
      <c r="M49" s="1342"/>
    </row>
    <row r="50" spans="7:13" ht="13.5" customHeight="1" x14ac:dyDescent="0.2">
      <c r="M50" s="1342"/>
    </row>
    <row r="51" spans="7:13" ht="13.5" customHeight="1" x14ac:dyDescent="0.2">
      <c r="M51" s="134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33"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showGridLines="0" topLeftCell="A28" zoomScale="120" zoomScaleNormal="120" workbookViewId="0">
      <selection activeCell="C35" sqref="C35"/>
    </sheetView>
  </sheetViews>
  <sheetFormatPr defaultColWidth="8" defaultRowHeight="12.75" x14ac:dyDescent="0.2"/>
  <cols>
    <col min="1" max="1" width="1.42578125" style="317" customWidth="1"/>
    <col min="2" max="2" width="53.28515625" style="317" customWidth="1"/>
    <col min="3" max="3" width="14" style="1227" customWidth="1"/>
    <col min="4" max="4" width="16.7109375" style="1227" customWidth="1"/>
    <col min="5" max="5" width="7.5703125" style="317" customWidth="1"/>
    <col min="6" max="6" width="2.7109375" style="317" customWidth="1"/>
    <col min="7" max="7" width="3.28515625" style="317" customWidth="1"/>
    <col min="8" max="16384" width="8" style="317"/>
  </cols>
  <sheetData>
    <row r="1" spans="1:7" ht="13.5" customHeight="1" x14ac:dyDescent="0.2">
      <c r="A1" s="2563" t="str">
        <f>'Single Audit Cover'!A7</f>
        <v>Hawthorn CCSD 73</v>
      </c>
      <c r="B1" s="2563"/>
      <c r="C1" s="2563"/>
      <c r="D1" s="2563"/>
      <c r="E1" s="2563"/>
      <c r="F1" s="2563"/>
    </row>
    <row r="2" spans="1:7" ht="13.5" customHeight="1" x14ac:dyDescent="0.2">
      <c r="A2" s="2551">
        <f>'Single Audit Cover'!E7</f>
        <v>34049073004</v>
      </c>
      <c r="B2" s="2551"/>
      <c r="C2" s="2551"/>
      <c r="D2" s="2551"/>
      <c r="E2" s="2551"/>
      <c r="F2" s="2551"/>
      <c r="G2" s="1244"/>
    </row>
    <row r="3" spans="1:7" ht="15.75" customHeight="1" x14ac:dyDescent="0.2">
      <c r="A3" s="2564" t="s">
        <v>1270</v>
      </c>
      <c r="B3" s="2564"/>
      <c r="C3" s="2564"/>
      <c r="D3" s="2564"/>
      <c r="E3" s="2564"/>
      <c r="F3" s="2564"/>
    </row>
    <row r="4" spans="1:7" ht="13.5" customHeight="1" x14ac:dyDescent="0.2">
      <c r="A4" s="2565" t="str">
        <f>'Single Audit Cover'!A4</f>
        <v>Year Ending June 30, 2019</v>
      </c>
      <c r="B4" s="2565"/>
      <c r="C4" s="2565"/>
      <c r="D4" s="2565"/>
      <c r="E4" s="2565"/>
      <c r="F4" s="2565"/>
    </row>
    <row r="5" spans="1:7" ht="8.25" customHeight="1" x14ac:dyDescent="0.2">
      <c r="C5" s="317"/>
      <c r="D5" s="317"/>
    </row>
    <row r="6" spans="1:7" ht="13.5" customHeight="1" x14ac:dyDescent="0.2">
      <c r="A6" s="1245" t="s">
        <v>1715</v>
      </c>
      <c r="C6" s="317"/>
      <c r="D6" s="317"/>
    </row>
    <row r="7" spans="1:7" ht="60.95" customHeight="1" x14ac:dyDescent="0.2">
      <c r="A7" s="2562" t="s">
        <v>2187</v>
      </c>
      <c r="B7" s="2562"/>
      <c r="C7" s="2562"/>
      <c r="D7" s="2562"/>
      <c r="E7" s="2562"/>
      <c r="F7" s="2562"/>
    </row>
    <row r="8" spans="1:7" ht="12" customHeight="1" x14ac:dyDescent="0.2">
      <c r="A8" s="1245"/>
      <c r="B8" s="1251"/>
      <c r="C8" s="1251"/>
      <c r="D8" s="1251"/>
    </row>
    <row r="9" spans="1:7" ht="15" customHeight="1" x14ac:dyDescent="0.2">
      <c r="A9" s="1246" t="s">
        <v>1716</v>
      </c>
      <c r="B9" s="1249"/>
      <c r="C9" s="1249"/>
      <c r="D9" s="1249"/>
      <c r="E9" s="1247"/>
      <c r="F9" s="1247"/>
      <c r="G9" s="1247"/>
    </row>
    <row r="10" spans="1:7" ht="15" customHeight="1" x14ac:dyDescent="0.2">
      <c r="A10" s="1248" t="s">
        <v>1534</v>
      </c>
      <c r="B10" s="1249"/>
      <c r="C10" s="1250"/>
      <c r="D10" s="1249" t="s">
        <v>1535</v>
      </c>
      <c r="E10" s="1250" t="s">
        <v>2101</v>
      </c>
      <c r="F10" s="1249" t="s">
        <v>99</v>
      </c>
      <c r="G10" s="1247"/>
    </row>
    <row r="11" spans="1:7" ht="12" customHeight="1" x14ac:dyDescent="0.2">
      <c r="A11" s="1248"/>
      <c r="B11" s="1249"/>
      <c r="C11" s="1855"/>
      <c r="D11" s="1249"/>
      <c r="E11" s="1855"/>
      <c r="F11" s="1249"/>
      <c r="G11" s="1247"/>
    </row>
    <row r="12" spans="1:7" x14ac:dyDescent="0.2">
      <c r="A12" s="1245" t="s">
        <v>1574</v>
      </c>
      <c r="C12" s="1229"/>
      <c r="D12" s="1229"/>
    </row>
    <row r="13" spans="1:7" ht="15" customHeight="1" x14ac:dyDescent="0.2">
      <c r="A13" s="2562" t="s">
        <v>2188</v>
      </c>
      <c r="B13" s="2562"/>
      <c r="C13" s="2562"/>
      <c r="D13" s="2562"/>
      <c r="E13" s="2562"/>
      <c r="F13" s="2562"/>
    </row>
    <row r="14" spans="1:7" ht="9.75" customHeight="1" x14ac:dyDescent="0.2">
      <c r="C14" s="1229"/>
      <c r="D14" s="1229"/>
    </row>
    <row r="15" spans="1:7" ht="13.5" customHeight="1" x14ac:dyDescent="0.2">
      <c r="C15" s="1799" t="s">
        <v>1269</v>
      </c>
      <c r="D15" s="2560" t="s">
        <v>1268</v>
      </c>
      <c r="E15" s="2560"/>
      <c r="F15" s="2560"/>
    </row>
    <row r="16" spans="1:7" ht="13.5" customHeight="1" x14ac:dyDescent="0.2">
      <c r="A16" s="1251"/>
      <c r="B16" s="1245" t="s">
        <v>1267</v>
      </c>
      <c r="C16" s="1799" t="s">
        <v>1266</v>
      </c>
      <c r="D16" s="2561" t="s">
        <v>1575</v>
      </c>
      <c r="E16" s="2561"/>
      <c r="F16" s="2561"/>
    </row>
    <row r="17" spans="1:6" ht="20.45" customHeight="1" x14ac:dyDescent="0.2">
      <c r="A17" s="1252"/>
      <c r="B17" s="1253" t="s">
        <v>2186</v>
      </c>
      <c r="C17" s="1254"/>
      <c r="D17" s="2555"/>
      <c r="E17" s="2555"/>
      <c r="F17" s="2555"/>
    </row>
    <row r="18" spans="1:6" ht="20.65" customHeight="1" x14ac:dyDescent="0.2">
      <c r="A18" s="1252"/>
      <c r="B18" s="1253"/>
      <c r="C18" s="1254"/>
      <c r="D18" s="2555"/>
      <c r="E18" s="2555"/>
      <c r="F18" s="2555"/>
    </row>
    <row r="19" spans="1:6" ht="20.65" customHeight="1" x14ac:dyDescent="0.2">
      <c r="A19" s="1252"/>
      <c r="B19" s="1253"/>
      <c r="C19" s="1254"/>
      <c r="D19" s="2555"/>
      <c r="E19" s="2555"/>
      <c r="F19" s="2555"/>
    </row>
    <row r="20" spans="1:6" ht="20.65" customHeight="1" x14ac:dyDescent="0.2">
      <c r="A20" s="1252"/>
      <c r="B20" s="1253"/>
      <c r="C20" s="1254"/>
      <c r="D20" s="2555"/>
      <c r="E20" s="2555"/>
      <c r="F20" s="2555"/>
    </row>
    <row r="21" spans="1:6" ht="20.65" customHeight="1" x14ac:dyDescent="0.2">
      <c r="A21" s="1252"/>
      <c r="B21" s="1253"/>
      <c r="C21" s="1254"/>
      <c r="D21" s="2555"/>
      <c r="E21" s="2555"/>
      <c r="F21" s="2555"/>
    </row>
    <row r="22" spans="1:6" ht="20.65" customHeight="1" x14ac:dyDescent="0.2">
      <c r="A22" s="1252"/>
      <c r="B22" s="1253"/>
      <c r="C22" s="1254"/>
      <c r="D22" s="2555"/>
      <c r="E22" s="2555"/>
      <c r="F22" s="2555"/>
    </row>
    <row r="23" spans="1:6" ht="20.65" customHeight="1" x14ac:dyDescent="0.2">
      <c r="A23" s="1252"/>
      <c r="B23" s="1253"/>
      <c r="C23" s="1254"/>
      <c r="D23" s="2555"/>
      <c r="E23" s="2555"/>
      <c r="F23" s="2555"/>
    </row>
    <row r="24" spans="1:6" ht="20.65" customHeight="1" x14ac:dyDescent="0.2">
      <c r="A24" s="1252"/>
      <c r="B24" s="1253"/>
      <c r="C24" s="1254"/>
      <c r="D24" s="2555"/>
      <c r="E24" s="2555"/>
      <c r="F24" s="2555"/>
    </row>
    <row r="25" spans="1:6" ht="20.65" customHeight="1" x14ac:dyDescent="0.2">
      <c r="A25" s="1252"/>
      <c r="B25" s="1253"/>
      <c r="C25" s="1254"/>
      <c r="D25" s="2555"/>
      <c r="E25" s="2555"/>
      <c r="F25" s="2555"/>
    </row>
    <row r="26" spans="1:6" ht="20.65" customHeight="1" x14ac:dyDescent="0.2">
      <c r="A26" s="1252"/>
      <c r="B26" s="1253"/>
      <c r="C26" s="1254"/>
      <c r="D26" s="2555"/>
      <c r="E26" s="2555"/>
      <c r="F26" s="2555"/>
    </row>
    <row r="27" spans="1:6" ht="20.65" customHeight="1" x14ac:dyDescent="0.2">
      <c r="A27" s="1252"/>
      <c r="B27" s="1253"/>
      <c r="C27" s="1254"/>
      <c r="D27" s="2555"/>
      <c r="E27" s="2555"/>
      <c r="F27" s="2555"/>
    </row>
    <row r="28" spans="1:6" ht="20.65" customHeight="1" x14ac:dyDescent="0.2">
      <c r="A28" s="1252"/>
      <c r="B28" s="1253"/>
      <c r="C28" s="1254"/>
      <c r="D28" s="2555"/>
      <c r="E28" s="2555"/>
      <c r="F28" s="2555"/>
    </row>
    <row r="29" spans="1:6" ht="20.65" customHeight="1" x14ac:dyDescent="0.2">
      <c r="A29" s="1252"/>
      <c r="B29" s="1253"/>
      <c r="C29" s="1254"/>
      <c r="D29" s="2555"/>
      <c r="E29" s="2555"/>
      <c r="F29" s="2555"/>
    </row>
    <row r="30" spans="1:6" ht="12" customHeight="1" x14ac:dyDescent="0.2">
      <c r="A30" s="328"/>
      <c r="B30" s="328"/>
      <c r="C30" s="1421"/>
      <c r="D30" s="1856"/>
      <c r="E30" s="1255"/>
    </row>
    <row r="31" spans="1:6" ht="12" customHeight="1" x14ac:dyDescent="0.2">
      <c r="A31" s="1256" t="s">
        <v>1536</v>
      </c>
      <c r="B31" s="328"/>
      <c r="C31" s="1421"/>
      <c r="D31" s="1856"/>
      <c r="E31" s="1255"/>
    </row>
    <row r="32" spans="1:6" ht="30" customHeight="1" x14ac:dyDescent="0.2">
      <c r="A32" s="2556" t="s">
        <v>2189</v>
      </c>
      <c r="B32" s="2556"/>
      <c r="C32" s="2556"/>
      <c r="D32" s="2556"/>
      <c r="E32" s="2556"/>
      <c r="F32" s="2556"/>
    </row>
    <row r="33" spans="1:6" ht="13.5" customHeight="1" x14ac:dyDescent="0.2">
      <c r="A33" s="328" t="s">
        <v>1421</v>
      </c>
      <c r="B33" s="328"/>
      <c r="C33" s="1257">
        <v>66175</v>
      </c>
      <c r="D33" s="1856"/>
      <c r="E33" s="1255"/>
    </row>
    <row r="34" spans="1:6" ht="13.5" customHeight="1" x14ac:dyDescent="0.2">
      <c r="A34" s="328" t="s">
        <v>1812</v>
      </c>
      <c r="B34" s="328"/>
      <c r="C34" s="1258">
        <v>28316</v>
      </c>
      <c r="D34" s="1856" t="s">
        <v>1576</v>
      </c>
      <c r="E34" s="2557">
        <f>+C33+C34</f>
        <v>94491</v>
      </c>
      <c r="F34" s="2558"/>
    </row>
    <row r="35" spans="1:6" ht="12" customHeight="1" x14ac:dyDescent="0.2">
      <c r="A35" s="328"/>
      <c r="B35" s="328"/>
      <c r="C35" s="1857"/>
      <c r="D35" s="1856"/>
      <c r="E35" s="1259"/>
      <c r="F35" s="1260"/>
    </row>
    <row r="36" spans="1:6" ht="13.5" customHeight="1" x14ac:dyDescent="0.2">
      <c r="A36" s="1256" t="s">
        <v>1537</v>
      </c>
      <c r="B36" s="328"/>
      <c r="C36" s="1421"/>
      <c r="D36" s="1856"/>
      <c r="E36" s="1255"/>
    </row>
    <row r="37" spans="1:6" ht="14.25" customHeight="1" x14ac:dyDescent="0.2">
      <c r="A37" s="328" t="s">
        <v>1471</v>
      </c>
      <c r="B37" s="328"/>
      <c r="C37" s="1858"/>
      <c r="D37" s="1856"/>
      <c r="E37" s="1255"/>
    </row>
    <row r="38" spans="1:6" ht="14.25" customHeight="1" x14ac:dyDescent="0.2">
      <c r="A38" s="328"/>
      <c r="B38" s="328" t="s">
        <v>1422</v>
      </c>
      <c r="C38" s="1261" t="s">
        <v>99</v>
      </c>
      <c r="D38" s="1856"/>
      <c r="E38" s="1255"/>
    </row>
    <row r="39" spans="1:6" ht="14.25" customHeight="1" x14ac:dyDescent="0.2">
      <c r="A39" s="328"/>
      <c r="B39" s="328" t="s">
        <v>1423</v>
      </c>
      <c r="C39" s="1261" t="s">
        <v>99</v>
      </c>
      <c r="D39" s="1856"/>
      <c r="E39" s="1255"/>
    </row>
    <row r="40" spans="1:6" ht="14.25" customHeight="1" x14ac:dyDescent="0.2">
      <c r="A40" s="328"/>
      <c r="B40" s="328" t="s">
        <v>1424</v>
      </c>
      <c r="C40" s="1261" t="s">
        <v>99</v>
      </c>
      <c r="D40" s="1856"/>
      <c r="E40" s="1255"/>
    </row>
    <row r="41" spans="1:6" ht="14.25" customHeight="1" x14ac:dyDescent="0.2">
      <c r="A41" s="328"/>
      <c r="B41" s="328" t="s">
        <v>1425</v>
      </c>
      <c r="C41" s="1261" t="s">
        <v>99</v>
      </c>
      <c r="D41" s="1856"/>
      <c r="E41" s="1255"/>
    </row>
    <row r="42" spans="1:6" ht="14.25" customHeight="1" x14ac:dyDescent="0.2">
      <c r="A42" s="328" t="s">
        <v>1426</v>
      </c>
      <c r="B42" s="328"/>
      <c r="C42" s="1854" t="s">
        <v>99</v>
      </c>
      <c r="D42" s="1856"/>
      <c r="E42" s="1255"/>
    </row>
    <row r="43" spans="1:6" ht="14.25" customHeight="1" x14ac:dyDescent="0.2">
      <c r="A43" s="328" t="s">
        <v>1427</v>
      </c>
      <c r="B43" s="328"/>
      <c r="C43" s="1262" t="s">
        <v>99</v>
      </c>
      <c r="D43" s="1856"/>
      <c r="E43" s="1255"/>
    </row>
    <row r="44" spans="1:6" ht="14.25" customHeight="1" x14ac:dyDescent="0.2">
      <c r="A44" s="328"/>
      <c r="B44" s="328"/>
      <c r="C44" s="1858" t="s">
        <v>1428</v>
      </c>
      <c r="D44" s="1856"/>
      <c r="E44" s="1255"/>
    </row>
    <row r="45" spans="1:6" ht="13.5" customHeight="1" x14ac:dyDescent="0.2">
      <c r="B45" s="322"/>
      <c r="C45" s="1263"/>
      <c r="D45" s="1263"/>
    </row>
    <row r="46" spans="1:6" x14ac:dyDescent="0.2">
      <c r="A46" s="1264" t="s">
        <v>1717</v>
      </c>
      <c r="C46" s="317"/>
      <c r="D46" s="317"/>
    </row>
    <row r="47" spans="1:6" s="322" customFormat="1" ht="11.25" customHeight="1" x14ac:dyDescent="0.2">
      <c r="A47" s="1265"/>
      <c r="B47" s="1266"/>
      <c r="C47" s="1266"/>
      <c r="D47" s="1266"/>
      <c r="E47" s="1266"/>
      <c r="F47" s="1266"/>
    </row>
    <row r="48" spans="1:6" s="322" customFormat="1" ht="6" customHeight="1" x14ac:dyDescent="0.2">
      <c r="A48" s="1267"/>
    </row>
    <row r="49" spans="1:5" s="1269" customFormat="1" ht="23.25" customHeight="1" x14ac:dyDescent="0.2">
      <c r="A49" s="1268">
        <v>5</v>
      </c>
      <c r="B49" s="2559" t="s">
        <v>1577</v>
      </c>
      <c r="C49" s="2559"/>
      <c r="D49" s="2559"/>
      <c r="E49" s="1368"/>
    </row>
    <row r="50" spans="1:5" s="1269" customFormat="1" ht="3.75" customHeight="1" x14ac:dyDescent="0.2">
      <c r="A50" s="1268"/>
      <c r="B50" s="1798"/>
      <c r="C50" s="1798"/>
      <c r="D50" s="1798"/>
      <c r="E50" s="1368"/>
    </row>
    <row r="51" spans="1:5" s="1269" customFormat="1" ht="20.25" customHeight="1" x14ac:dyDescent="0.2">
      <c r="A51" s="1270">
        <v>6</v>
      </c>
      <c r="B51" s="2554" t="s">
        <v>1538</v>
      </c>
      <c r="C51" s="2554"/>
      <c r="D51" s="2554"/>
    </row>
    <row r="52" spans="1:5" ht="14.25" customHeight="1" x14ac:dyDescent="0.2">
      <c r="A52" s="1270"/>
      <c r="B52" s="2554"/>
      <c r="C52" s="2554"/>
      <c r="D52" s="2554"/>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J63"/>
  <sheetViews>
    <sheetView showGridLines="0" topLeftCell="A31" zoomScale="110" zoomScaleNormal="110" workbookViewId="0">
      <selection activeCell="G34" sqref="G34"/>
    </sheetView>
  </sheetViews>
  <sheetFormatPr defaultColWidth="9.140625" defaultRowHeight="12.75" x14ac:dyDescent="0.2"/>
  <cols>
    <col min="1" max="1" width="1.42578125" style="1269" customWidth="1"/>
    <col min="2" max="2" width="24.42578125" style="1326" customWidth="1"/>
    <col min="3" max="3" width="29.5703125" style="317" customWidth="1"/>
    <col min="4" max="4" width="9.28515625" style="317" customWidth="1"/>
    <col min="5" max="5" width="5.28515625" style="122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77" t="str">
        <f>'Single Audit Cover'!A7</f>
        <v>Hawthorn CCSD 73</v>
      </c>
      <c r="C1" s="2578"/>
      <c r="D1" s="2578"/>
      <c r="E1" s="2578"/>
      <c r="F1" s="2578"/>
      <c r="G1" s="2578"/>
      <c r="H1" s="2578"/>
      <c r="I1" s="2578"/>
      <c r="J1" s="1378"/>
    </row>
    <row r="2" spans="2:10" s="317" customFormat="1" ht="12.75" customHeight="1" x14ac:dyDescent="0.2">
      <c r="B2" s="2579">
        <f>'Single Audit Cover'!E7</f>
        <v>34049073004</v>
      </c>
      <c r="C2" s="2580"/>
      <c r="D2" s="2580"/>
      <c r="E2" s="2580"/>
      <c r="F2" s="2580"/>
      <c r="G2" s="2580"/>
      <c r="H2" s="2580"/>
      <c r="I2" s="2580"/>
      <c r="J2" s="1378"/>
    </row>
    <row r="3" spans="2:10" s="317" customFormat="1" ht="12.75" customHeight="1" x14ac:dyDescent="0.2">
      <c r="B3" s="2581" t="s">
        <v>1284</v>
      </c>
      <c r="C3" s="2582"/>
      <c r="D3" s="2582"/>
      <c r="E3" s="2582"/>
      <c r="F3" s="2582"/>
      <c r="G3" s="2582"/>
      <c r="H3" s="2582"/>
      <c r="I3" s="2582"/>
      <c r="J3" s="1379"/>
    </row>
    <row r="4" spans="2:10" s="317" customFormat="1" ht="12.75" customHeight="1" x14ac:dyDescent="0.2">
      <c r="B4" s="2581" t="str">
        <f>'Single Audit Cover'!A4</f>
        <v>Year Ending June 30, 2019</v>
      </c>
      <c r="C4" s="2582"/>
      <c r="D4" s="2582"/>
      <c r="E4" s="2582"/>
      <c r="F4" s="2582"/>
      <c r="G4" s="2582"/>
      <c r="H4" s="2582"/>
      <c r="I4" s="2582"/>
    </row>
    <row r="5" spans="2:10" s="317" customFormat="1" ht="6.2" customHeight="1" x14ac:dyDescent="0.2">
      <c r="B5" s="1380" t="s">
        <v>1168</v>
      </c>
      <c r="C5" s="1263"/>
      <c r="D5" s="1263"/>
      <c r="E5" s="1352"/>
      <c r="F5" s="322"/>
      <c r="G5" s="322"/>
      <c r="H5" s="322"/>
      <c r="I5" s="322"/>
    </row>
    <row r="6" spans="2:10" s="317" customFormat="1" ht="6.2" customHeight="1" x14ac:dyDescent="0.2">
      <c r="B6" s="1381"/>
      <c r="C6" s="1348"/>
      <c r="D6" s="1348"/>
      <c r="E6" s="1349"/>
      <c r="F6" s="1348"/>
      <c r="G6" s="1348"/>
      <c r="H6" s="1348"/>
      <c r="I6" s="1348"/>
    </row>
    <row r="7" spans="2:10" s="317" customFormat="1" ht="13.5" customHeight="1" x14ac:dyDescent="0.2">
      <c r="B7" s="2581" t="s">
        <v>1283</v>
      </c>
      <c r="C7" s="2582"/>
      <c r="D7" s="2582"/>
      <c r="E7" s="2582"/>
      <c r="F7" s="2582"/>
      <c r="G7" s="2582"/>
      <c r="H7" s="2582"/>
      <c r="I7" s="2582"/>
    </row>
    <row r="8" spans="2:10" s="317" customFormat="1" ht="6.2" customHeight="1" x14ac:dyDescent="0.2">
      <c r="B8" s="1382" t="s">
        <v>1168</v>
      </c>
      <c r="C8" s="1383"/>
      <c r="D8" s="1383"/>
      <c r="E8" s="1384"/>
      <c r="F8" s="1383"/>
      <c r="G8" s="1383"/>
      <c r="H8" s="1383"/>
      <c r="I8" s="1383"/>
    </row>
    <row r="9" spans="2:10" s="317" customFormat="1" ht="9" customHeight="1" x14ac:dyDescent="0.2">
      <c r="B9" s="1385"/>
      <c r="C9" s="322"/>
      <c r="D9" s="322"/>
      <c r="E9" s="1352"/>
      <c r="F9" s="322"/>
      <c r="G9" s="322"/>
      <c r="H9" s="322"/>
      <c r="I9" s="322"/>
    </row>
    <row r="10" spans="2:10" s="317" customFormat="1" ht="12.75" customHeight="1" x14ac:dyDescent="0.2">
      <c r="B10" s="1386" t="s">
        <v>1282</v>
      </c>
      <c r="C10" s="1387"/>
      <c r="D10" s="1387"/>
      <c r="E10" s="1227"/>
    </row>
    <row r="11" spans="2:10" s="317" customFormat="1" ht="13.5" customHeight="1" x14ac:dyDescent="0.2">
      <c r="B11" s="1318" t="s">
        <v>1281</v>
      </c>
      <c r="C11" s="2583" t="s">
        <v>2190</v>
      </c>
      <c r="D11" s="2583"/>
      <c r="E11" s="1388"/>
      <c r="F11" s="1388"/>
      <c r="G11" s="1388"/>
    </row>
    <row r="12" spans="2:10" s="317" customFormat="1" ht="11.45" customHeight="1" x14ac:dyDescent="0.2">
      <c r="B12" s="1326"/>
      <c r="C12" s="1389" t="s">
        <v>1429</v>
      </c>
      <c r="D12" s="1390"/>
      <c r="E12" s="1227"/>
    </row>
    <row r="13" spans="2:10" s="317" customFormat="1" ht="12.75" customHeight="1" x14ac:dyDescent="0.2">
      <c r="B13" s="1391"/>
      <c r="C13" s="1356"/>
      <c r="D13" s="1356"/>
      <c r="E13" s="1227"/>
    </row>
    <row r="14" spans="2:10" s="317" customFormat="1" ht="12.75" customHeight="1" x14ac:dyDescent="0.2">
      <c r="B14" s="1337" t="s">
        <v>1280</v>
      </c>
      <c r="C14" s="1251"/>
      <c r="E14" s="1227"/>
    </row>
    <row r="15" spans="2:10" s="317" customFormat="1" ht="13.5" customHeight="1" x14ac:dyDescent="0.2">
      <c r="B15" s="1392" t="s">
        <v>1277</v>
      </c>
      <c r="C15" s="1393"/>
      <c r="D15" s="1367"/>
      <c r="E15" s="1394" t="s">
        <v>2101</v>
      </c>
      <c r="F15" s="1269" t="s">
        <v>884</v>
      </c>
      <c r="G15" s="1394"/>
      <c r="H15" s="1269" t="s">
        <v>1275</v>
      </c>
      <c r="I15" s="1269"/>
    </row>
    <row r="16" spans="2:10" s="317" customFormat="1" ht="8.4499999999999993" customHeight="1" x14ac:dyDescent="0.2">
      <c r="B16" s="1337"/>
      <c r="C16" s="1251"/>
      <c r="E16" s="1352"/>
      <c r="F16" s="1269"/>
      <c r="G16" s="322"/>
      <c r="H16" s="1269"/>
      <c r="I16" s="1269"/>
    </row>
    <row r="17" spans="2:9" s="317" customFormat="1" ht="13.5" customHeight="1" x14ac:dyDescent="0.2">
      <c r="B17" s="1392" t="s">
        <v>1276</v>
      </c>
      <c r="C17" s="1393"/>
      <c r="D17" s="1367"/>
      <c r="E17" s="1395"/>
      <c r="F17" s="1226"/>
      <c r="G17" s="1395"/>
      <c r="H17" s="1269"/>
      <c r="I17" s="1269"/>
    </row>
    <row r="18" spans="2:9" s="317" customFormat="1" ht="12.75" customHeight="1" x14ac:dyDescent="0.2">
      <c r="B18" s="1392" t="s">
        <v>1430</v>
      </c>
      <c r="C18" s="1393"/>
      <c r="D18" s="1367"/>
      <c r="E18" s="1394"/>
      <c r="F18" s="1269" t="s">
        <v>884</v>
      </c>
      <c r="G18" s="1394" t="s">
        <v>2101</v>
      </c>
      <c r="H18" s="1269" t="s">
        <v>1275</v>
      </c>
      <c r="I18" s="1269"/>
    </row>
    <row r="19" spans="2:9" s="317" customFormat="1" ht="8.4499999999999993" customHeight="1" x14ac:dyDescent="0.2">
      <c r="B19" s="1337"/>
      <c r="C19" s="1251"/>
      <c r="E19" s="1352"/>
      <c r="F19" s="1269"/>
      <c r="G19" s="322"/>
      <c r="H19" s="1269"/>
      <c r="I19" s="1269"/>
    </row>
    <row r="20" spans="2:9" s="317" customFormat="1" ht="13.5" customHeight="1" x14ac:dyDescent="0.2">
      <c r="B20" s="1392" t="s">
        <v>1578</v>
      </c>
      <c r="C20" s="1393"/>
      <c r="D20" s="1367"/>
      <c r="E20" s="1394"/>
      <c r="F20" s="1269" t="s">
        <v>884</v>
      </c>
      <c r="G20" s="1394" t="s">
        <v>2101</v>
      </c>
      <c r="H20" s="1269" t="s">
        <v>99</v>
      </c>
      <c r="I20" s="1269"/>
    </row>
    <row r="21" spans="2:9" s="317" customFormat="1" ht="12.75" customHeight="1" x14ac:dyDescent="0.2">
      <c r="B21" s="1337"/>
      <c r="C21" s="1251"/>
      <c r="E21" s="1352"/>
      <c r="F21" s="1269"/>
      <c r="G21" s="322"/>
      <c r="H21" s="1269"/>
      <c r="I21" s="1269"/>
    </row>
    <row r="22" spans="2:9" s="317" customFormat="1" ht="12.75" customHeight="1" x14ac:dyDescent="0.2">
      <c r="B22" s="1386" t="s">
        <v>1279</v>
      </c>
      <c r="C22" s="1396"/>
      <c r="D22" s="1387"/>
      <c r="E22" s="1352"/>
      <c r="F22" s="1269"/>
      <c r="G22" s="322"/>
      <c r="H22" s="1269"/>
      <c r="I22" s="1269"/>
    </row>
    <row r="23" spans="2:9" s="317" customFormat="1" ht="12.75" customHeight="1" x14ac:dyDescent="0.2">
      <c r="B23" s="1337" t="s">
        <v>1278</v>
      </c>
      <c r="C23" s="1251"/>
      <c r="E23" s="1352"/>
      <c r="F23" s="1269"/>
      <c r="G23" s="322"/>
      <c r="H23" s="1269"/>
      <c r="I23" s="1269"/>
    </row>
    <row r="24" spans="2:9" s="317" customFormat="1" ht="13.5" customHeight="1" x14ac:dyDescent="0.2">
      <c r="B24" s="1392" t="s">
        <v>1277</v>
      </c>
      <c r="C24" s="1393"/>
      <c r="D24" s="1367"/>
      <c r="E24" s="1394"/>
      <c r="F24" s="1269" t="s">
        <v>884</v>
      </c>
      <c r="G24" s="1394" t="s">
        <v>2101</v>
      </c>
      <c r="H24" s="1269" t="s">
        <v>1275</v>
      </c>
      <c r="I24" s="1269"/>
    </row>
    <row r="25" spans="2:9" s="317" customFormat="1" ht="8.4499999999999993" customHeight="1" x14ac:dyDescent="0.2">
      <c r="B25" s="1337"/>
      <c r="C25" s="1251"/>
      <c r="E25" s="1352"/>
      <c r="F25" s="1269"/>
      <c r="G25" s="322"/>
      <c r="H25" s="1269"/>
      <c r="I25" s="1269"/>
    </row>
    <row r="26" spans="2:9" s="317" customFormat="1" ht="13.5" customHeight="1" x14ac:dyDescent="0.2">
      <c r="B26" s="1392" t="s">
        <v>1276</v>
      </c>
      <c r="C26" s="1393"/>
      <c r="D26" s="1367"/>
      <c r="E26" s="1395"/>
      <c r="F26" s="1226"/>
      <c r="G26" s="1395"/>
      <c r="H26" s="1269"/>
      <c r="I26" s="1269"/>
    </row>
    <row r="27" spans="2:9" s="317" customFormat="1" ht="12.75" customHeight="1" x14ac:dyDescent="0.2">
      <c r="B27" s="1392" t="s">
        <v>1430</v>
      </c>
      <c r="C27" s="1393"/>
      <c r="D27" s="1367"/>
      <c r="E27" s="1394"/>
      <c r="F27" s="1269" t="s">
        <v>884</v>
      </c>
      <c r="G27" s="1394" t="s">
        <v>2101</v>
      </c>
      <c r="H27" s="1269" t="s">
        <v>1275</v>
      </c>
      <c r="I27" s="1269"/>
    </row>
    <row r="28" spans="2:9" s="317" customFormat="1" ht="12.75" customHeight="1" x14ac:dyDescent="0.2">
      <c r="B28" s="1337"/>
      <c r="C28" s="1251"/>
      <c r="E28" s="1227"/>
    </row>
    <row r="29" spans="2:9" s="317" customFormat="1" ht="12.75" customHeight="1" x14ac:dyDescent="0.2">
      <c r="B29" s="1337" t="s">
        <v>1274</v>
      </c>
      <c r="C29" s="1251"/>
      <c r="D29" s="2584" t="s">
        <v>2215</v>
      </c>
      <c r="E29" s="2584"/>
      <c r="F29" s="2584"/>
      <c r="G29" s="2584"/>
      <c r="H29" s="2584"/>
      <c r="I29" s="2584"/>
    </row>
    <row r="30" spans="2:9" s="317" customFormat="1" x14ac:dyDescent="0.2">
      <c r="B30" s="1337"/>
      <c r="C30" s="322"/>
      <c r="D30" s="1389" t="s">
        <v>1732</v>
      </c>
      <c r="E30" s="1390"/>
      <c r="F30" s="1390"/>
      <c r="G30" s="1390"/>
      <c r="H30" s="1390"/>
      <c r="I30" s="1390"/>
    </row>
    <row r="31" spans="2:9" s="317" customFormat="1" ht="9.9499999999999993" customHeight="1" x14ac:dyDescent="0.2">
      <c r="B31" s="1337"/>
      <c r="E31" s="1227"/>
    </row>
    <row r="32" spans="2:9" s="317" customFormat="1" x14ac:dyDescent="0.2">
      <c r="B32" s="1337" t="s">
        <v>1273</v>
      </c>
      <c r="C32" s="1251"/>
      <c r="E32" s="1227"/>
    </row>
    <row r="33" spans="2:9" ht="13.5" customHeight="1" x14ac:dyDescent="0.2">
      <c r="B33" s="1337" t="s">
        <v>1539</v>
      </c>
      <c r="C33" s="1251"/>
      <c r="E33" s="1394"/>
      <c r="F33" s="1269" t="s">
        <v>884</v>
      </c>
      <c r="G33" s="1394" t="s">
        <v>2101</v>
      </c>
      <c r="H33" s="1269" t="s">
        <v>99</v>
      </c>
    </row>
    <row r="35" spans="2:9" x14ac:dyDescent="0.2">
      <c r="B35" s="1397" t="s">
        <v>1733</v>
      </c>
      <c r="C35" s="1398"/>
      <c r="D35" s="1236"/>
    </row>
    <row r="36" spans="2:9" ht="6" customHeight="1" x14ac:dyDescent="0.2">
      <c r="B36" s="1397"/>
      <c r="C36" s="1398"/>
      <c r="D36" s="1236"/>
    </row>
    <row r="37" spans="2:9" ht="17.25" customHeight="1" x14ac:dyDescent="0.2">
      <c r="B37" s="1399" t="s">
        <v>1734</v>
      </c>
      <c r="C37" s="2585" t="s">
        <v>1735</v>
      </c>
      <c r="D37" s="2586"/>
      <c r="E37" s="2586"/>
      <c r="F37" s="2587"/>
      <c r="G37" s="2585" t="s">
        <v>1579</v>
      </c>
      <c r="H37" s="2586"/>
      <c r="I37" s="2587"/>
    </row>
    <row r="38" spans="2:9" ht="16.5" customHeight="1" x14ac:dyDescent="0.2">
      <c r="B38" s="1400" t="s">
        <v>2219</v>
      </c>
      <c r="C38" s="2573" t="s">
        <v>2191</v>
      </c>
      <c r="D38" s="2574"/>
      <c r="E38" s="2574"/>
      <c r="F38" s="2575"/>
      <c r="G38" s="2588">
        <v>629769</v>
      </c>
      <c r="H38" s="2589"/>
      <c r="I38" s="2590"/>
    </row>
    <row r="39" spans="2:9" ht="16.5" customHeight="1" x14ac:dyDescent="0.2">
      <c r="B39" s="1400">
        <v>84.01</v>
      </c>
      <c r="C39" s="2573" t="s">
        <v>2192</v>
      </c>
      <c r="D39" s="2574"/>
      <c r="E39" s="2574"/>
      <c r="F39" s="2575"/>
      <c r="G39" s="2576">
        <v>255927</v>
      </c>
      <c r="H39" s="2576"/>
      <c r="I39" s="2576"/>
    </row>
    <row r="40" spans="2:9" ht="16.5" customHeight="1" x14ac:dyDescent="0.2">
      <c r="B40" s="1400"/>
      <c r="C40" s="2573"/>
      <c r="D40" s="2574"/>
      <c r="E40" s="2574"/>
      <c r="F40" s="2575"/>
      <c r="G40" s="2576"/>
      <c r="H40" s="2576"/>
      <c r="I40" s="2576"/>
    </row>
    <row r="41" spans="2:9" ht="16.5" customHeight="1" x14ac:dyDescent="0.2">
      <c r="B41" s="1400"/>
      <c r="C41" s="2573"/>
      <c r="D41" s="2574"/>
      <c r="E41" s="2574"/>
      <c r="F41" s="2575"/>
      <c r="G41" s="2576"/>
      <c r="H41" s="2576"/>
      <c r="I41" s="2576"/>
    </row>
    <row r="42" spans="2:9" ht="16.5" customHeight="1" x14ac:dyDescent="0.2">
      <c r="B42" s="1400"/>
      <c r="C42" s="2573"/>
      <c r="D42" s="2574"/>
      <c r="E42" s="2574"/>
      <c r="F42" s="2575"/>
      <c r="G42" s="2576"/>
      <c r="H42" s="2576"/>
      <c r="I42" s="2576"/>
    </row>
    <row r="43" spans="2:9" ht="16.5" customHeight="1" x14ac:dyDescent="0.2">
      <c r="B43" s="1400"/>
      <c r="C43" s="2566" t="s">
        <v>1580</v>
      </c>
      <c r="D43" s="2567"/>
      <c r="E43" s="2567"/>
      <c r="F43" s="2568"/>
      <c r="G43" s="2569">
        <f>SUM(G38:I42)</f>
        <v>885696</v>
      </c>
      <c r="H43" s="2569"/>
      <c r="I43" s="2569"/>
    </row>
    <row r="44" spans="2:9" ht="12.75" customHeight="1" x14ac:dyDescent="0.2"/>
    <row r="45" spans="2:9" ht="12.75" customHeight="1" x14ac:dyDescent="0.2">
      <c r="B45" s="1391" t="s">
        <v>1815</v>
      </c>
      <c r="D45" s="2570">
        <v>1866999</v>
      </c>
      <c r="E45" s="2571"/>
    </row>
    <row r="46" spans="2:9" ht="5.25" customHeight="1" x14ac:dyDescent="0.2">
      <c r="B46" s="1401"/>
      <c r="D46" s="1402"/>
      <c r="E46" s="1403"/>
    </row>
    <row r="47" spans="2:9" ht="12.75" customHeight="1" x14ac:dyDescent="0.2">
      <c r="B47" s="1269" t="s">
        <v>1581</v>
      </c>
      <c r="C47" s="1269"/>
      <c r="D47" s="1404">
        <f>+G43/D45</f>
        <v>0.47439554065106621</v>
      </c>
      <c r="E47" s="1405"/>
      <c r="F47" s="1406"/>
      <c r="I47" s="1407"/>
    </row>
    <row r="48" spans="2:9" ht="9.9499999999999993" customHeight="1" x14ac:dyDescent="0.2"/>
    <row r="49" spans="1:9" x14ac:dyDescent="0.2">
      <c r="B49" s="1337" t="s">
        <v>1272</v>
      </c>
      <c r="C49" s="1251"/>
      <c r="D49" s="1251"/>
      <c r="E49" s="2572">
        <v>750000</v>
      </c>
      <c r="F49" s="2572"/>
      <c r="G49" s="2572"/>
      <c r="H49" s="322"/>
    </row>
    <row r="51" spans="1:9" ht="13.5" customHeight="1" x14ac:dyDescent="0.2">
      <c r="B51" s="1337" t="s">
        <v>1271</v>
      </c>
      <c r="C51" s="1251"/>
      <c r="E51" s="1394"/>
      <c r="F51" s="1269" t="s">
        <v>884</v>
      </c>
      <c r="G51" s="1394" t="s">
        <v>2101</v>
      </c>
      <c r="H51" s="1269" t="s">
        <v>99</v>
      </c>
    </row>
    <row r="52" spans="1:9" x14ac:dyDescent="0.2">
      <c r="B52" s="1329"/>
      <c r="C52" s="1266"/>
      <c r="D52" s="1408"/>
      <c r="E52" s="1409"/>
      <c r="F52" s="1410"/>
      <c r="G52" s="1410"/>
      <c r="H52" s="1410"/>
      <c r="I52" s="1410"/>
    </row>
    <row r="53" spans="1:9" ht="6" customHeight="1" x14ac:dyDescent="0.2">
      <c r="B53" s="1385"/>
      <c r="C53" s="322"/>
      <c r="D53" s="1411"/>
      <c r="E53" s="1412"/>
      <c r="F53" s="1413"/>
      <c r="G53" s="1413"/>
      <c r="H53" s="1413"/>
      <c r="I53" s="1413"/>
    </row>
    <row r="54" spans="1:9" s="1417" customFormat="1" ht="14.25" x14ac:dyDescent="0.2">
      <c r="A54" s="1414"/>
      <c r="B54" s="1415" t="s">
        <v>1736</v>
      </c>
      <c r="C54" s="1416"/>
      <c r="D54" s="1416"/>
    </row>
    <row r="55" spans="1:9" s="1417" customFormat="1" ht="12.75" customHeight="1" x14ac:dyDescent="0.2">
      <c r="A55" s="1414"/>
      <c r="B55" s="1418" t="s">
        <v>1582</v>
      </c>
      <c r="C55" s="1414"/>
      <c r="D55" s="1414"/>
    </row>
    <row r="56" spans="1:9" s="1417" customFormat="1" ht="12.75" customHeight="1" x14ac:dyDescent="0.2">
      <c r="A56" s="1414"/>
      <c r="B56" s="1418" t="s">
        <v>1583</v>
      </c>
      <c r="C56" s="1414"/>
      <c r="D56" s="1414"/>
    </row>
    <row r="57" spans="1:9" s="1417" customFormat="1" ht="3.95" customHeight="1" x14ac:dyDescent="0.2">
      <c r="A57" s="1414"/>
      <c r="B57" s="1418"/>
      <c r="C57" s="1414"/>
      <c r="D57" s="1414"/>
    </row>
    <row r="58" spans="1:9" s="1417" customFormat="1" ht="13.5" customHeight="1" x14ac:dyDescent="0.2">
      <c r="A58" s="1414"/>
      <c r="B58" s="1419" t="s">
        <v>1737</v>
      </c>
      <c r="C58" s="1420"/>
      <c r="D58" s="1420"/>
    </row>
    <row r="59" spans="1:9" s="1417" customFormat="1" ht="3.95" customHeight="1" x14ac:dyDescent="0.2">
      <c r="A59" s="1414"/>
      <c r="B59" s="1419"/>
      <c r="C59" s="1420"/>
      <c r="D59" s="1420"/>
    </row>
    <row r="60" spans="1:9" s="1417" customFormat="1" ht="13.5" customHeight="1" x14ac:dyDescent="0.2">
      <c r="A60" s="1414"/>
      <c r="B60" s="1419" t="s">
        <v>1738</v>
      </c>
      <c r="C60" s="1420"/>
      <c r="D60" s="1420"/>
    </row>
    <row r="61" spans="1:9" s="1417" customFormat="1" ht="3.95" customHeight="1" x14ac:dyDescent="0.2">
      <c r="A61" s="1414"/>
      <c r="B61" s="1419"/>
      <c r="C61" s="1420"/>
      <c r="D61" s="1420"/>
    </row>
    <row r="62" spans="1:9" s="1417" customFormat="1" ht="12.75" customHeight="1" x14ac:dyDescent="0.2">
      <c r="A62" s="1414"/>
      <c r="B62" s="1419" t="s">
        <v>1739</v>
      </c>
      <c r="C62" s="1420"/>
      <c r="D62" s="1420"/>
    </row>
    <row r="63" spans="1:9" s="1417" customFormat="1" ht="13.5" customHeight="1" x14ac:dyDescent="0.2">
      <c r="A63" s="1414"/>
      <c r="B63" s="1418" t="s">
        <v>1584</v>
      </c>
      <c r="C63" s="1414"/>
      <c r="D63" s="1414"/>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topLeftCell="A7" zoomScale="110" zoomScaleNormal="110" workbookViewId="0">
      <selection activeCell="B20" sqref="B20:K2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7" customWidth="1"/>
    <col min="8" max="8" width="10.5703125" style="317" customWidth="1"/>
    <col min="9" max="9" width="3.42578125" style="122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77" t="str">
        <f>'Single Audit Cover'!A7</f>
        <v>Hawthorn CCSD 73</v>
      </c>
      <c r="C1" s="2577"/>
      <c r="D1" s="2577"/>
      <c r="E1" s="2577"/>
      <c r="F1" s="2577"/>
      <c r="G1" s="2577"/>
      <c r="H1" s="2577"/>
      <c r="I1" s="2577"/>
      <c r="J1" s="2577"/>
      <c r="K1" s="2577"/>
      <c r="L1" s="1343"/>
      <c r="M1" s="1343"/>
    </row>
    <row r="2" spans="1:13" ht="12" customHeight="1" x14ac:dyDescent="0.2">
      <c r="B2" s="2579">
        <f>'Single Audit Cover'!E7</f>
        <v>34049073004</v>
      </c>
      <c r="C2" s="2579"/>
      <c r="D2" s="2579"/>
      <c r="E2" s="2579"/>
      <c r="F2" s="2579"/>
      <c r="G2" s="2579"/>
      <c r="H2" s="2579"/>
      <c r="I2" s="2579"/>
      <c r="J2" s="2579"/>
      <c r="K2" s="2579"/>
      <c r="L2" s="1344"/>
      <c r="M2" s="1345"/>
    </row>
    <row r="3" spans="1:13" ht="10.35" customHeight="1" x14ac:dyDescent="0.2">
      <c r="B3" s="2593" t="s">
        <v>1284</v>
      </c>
      <c r="C3" s="2593"/>
      <c r="D3" s="2593"/>
      <c r="E3" s="2593"/>
      <c r="F3" s="2593"/>
      <c r="G3" s="2593"/>
      <c r="H3" s="2593"/>
      <c r="I3" s="2593"/>
      <c r="J3" s="2593"/>
      <c r="K3" s="2593"/>
      <c r="L3" s="1346"/>
      <c r="M3" s="1346"/>
    </row>
    <row r="4" spans="1:13" ht="14.25" customHeight="1" x14ac:dyDescent="0.2">
      <c r="B4" s="2594" t="str">
        <f>'Single Audit Cover'!A4</f>
        <v>Year Ending June 30, 2019</v>
      </c>
      <c r="C4" s="2594"/>
      <c r="D4" s="2594"/>
      <c r="E4" s="2594"/>
      <c r="F4" s="2594"/>
      <c r="G4" s="2594"/>
      <c r="H4" s="2594"/>
      <c r="I4" s="2594"/>
      <c r="J4" s="2594"/>
      <c r="K4" s="2594"/>
      <c r="L4" s="313"/>
      <c r="M4" s="313"/>
    </row>
    <row r="5" spans="1:13" ht="7.5" customHeight="1" x14ac:dyDescent="0.2">
      <c r="B5" s="1229" t="s">
        <v>1168</v>
      </c>
      <c r="C5" s="1229"/>
    </row>
    <row r="6" spans="1:13" ht="7.5" customHeight="1" x14ac:dyDescent="0.2">
      <c r="B6" s="1347"/>
      <c r="C6" s="1347"/>
      <c r="D6" s="1348"/>
      <c r="E6" s="1348"/>
      <c r="F6" s="1348"/>
      <c r="G6" s="1349"/>
      <c r="H6" s="1348"/>
      <c r="I6" s="1349"/>
      <c r="J6" s="1348"/>
      <c r="K6" s="1348"/>
      <c r="L6" s="1350"/>
    </row>
    <row r="7" spans="1:13" ht="12.75" customHeight="1" x14ac:dyDescent="0.2">
      <c r="A7" s="1251"/>
      <c r="B7" s="2594" t="s">
        <v>1295</v>
      </c>
      <c r="C7" s="2594"/>
      <c r="D7" s="2595"/>
      <c r="E7" s="2595"/>
      <c r="F7" s="2595"/>
      <c r="G7" s="2595"/>
      <c r="H7" s="2595"/>
      <c r="I7" s="2595"/>
      <c r="J7" s="2595"/>
      <c r="K7" s="2595"/>
      <c r="L7" s="1351"/>
    </row>
    <row r="8" spans="1:13" ht="7.5" customHeight="1" x14ac:dyDescent="0.2">
      <c r="B8" s="322"/>
      <c r="C8" s="322"/>
      <c r="D8" s="322"/>
      <c r="E8" s="322"/>
      <c r="F8" s="322"/>
      <c r="G8" s="1352"/>
      <c r="H8" s="322"/>
      <c r="I8" s="1352"/>
      <c r="J8" s="322"/>
      <c r="K8" s="322"/>
      <c r="L8" s="1350"/>
    </row>
    <row r="9" spans="1:13" ht="9.6" customHeight="1" x14ac:dyDescent="0.2">
      <c r="B9" s="1348"/>
      <c r="C9" s="1348"/>
      <c r="D9" s="1348"/>
      <c r="E9" s="1348"/>
      <c r="F9" s="1348"/>
      <c r="G9" s="1349"/>
      <c r="H9" s="1348"/>
      <c r="I9" s="1349"/>
      <c r="J9" s="1348"/>
      <c r="K9" s="1348"/>
      <c r="L9" s="1350"/>
    </row>
    <row r="10" spans="1:13" ht="16.5" customHeight="1" x14ac:dyDescent="0.2">
      <c r="B10" s="1353" t="s">
        <v>1726</v>
      </c>
      <c r="C10" s="1354" t="s">
        <v>1965</v>
      </c>
      <c r="D10" s="1355">
        <v>1</v>
      </c>
      <c r="E10" s="322"/>
      <c r="F10" s="1356" t="s">
        <v>1294</v>
      </c>
      <c r="G10" s="1357"/>
      <c r="H10" s="1358" t="s">
        <v>1293</v>
      </c>
      <c r="I10" s="1357" t="s">
        <v>2101</v>
      </c>
      <c r="J10" s="1359" t="s">
        <v>1292</v>
      </c>
      <c r="K10" s="322"/>
      <c r="L10" s="1350"/>
    </row>
    <row r="11" spans="1:13" ht="13.5" customHeight="1" x14ac:dyDescent="0.2">
      <c r="B11" s="322"/>
      <c r="C11" s="322"/>
      <c r="D11" s="322"/>
      <c r="E11" s="322"/>
      <c r="F11" s="322"/>
      <c r="G11" s="1352"/>
      <c r="H11" s="322"/>
      <c r="I11" s="1360" t="s">
        <v>1291</v>
      </c>
      <c r="J11" s="322"/>
      <c r="K11" s="1361">
        <v>2010</v>
      </c>
      <c r="L11" s="1350"/>
    </row>
    <row r="12" spans="1:13" ht="13.5" customHeight="1" x14ac:dyDescent="0.2">
      <c r="B12" s="1263"/>
      <c r="C12" s="1263"/>
      <c r="D12" s="322"/>
      <c r="E12" s="322"/>
      <c r="F12" s="322"/>
      <c r="G12" s="1352"/>
      <c r="H12" s="322"/>
      <c r="I12" s="1352"/>
      <c r="J12" s="322"/>
      <c r="L12" s="1350"/>
    </row>
    <row r="13" spans="1:13" s="1251" customFormat="1" ht="13.5" customHeight="1" x14ac:dyDescent="0.2">
      <c r="B13" s="1362" t="s">
        <v>1290</v>
      </c>
      <c r="C13" s="1362"/>
      <c r="D13" s="1363"/>
      <c r="E13" s="1363"/>
      <c r="F13" s="1363"/>
      <c r="G13" s="1364"/>
      <c r="H13" s="1363"/>
      <c r="I13" s="1364"/>
      <c r="J13" s="1363"/>
      <c r="K13" s="1363"/>
      <c r="L13" s="1365"/>
    </row>
    <row r="14" spans="1:13" ht="45.75" customHeight="1" x14ac:dyDescent="0.2">
      <c r="B14" s="2592" t="s">
        <v>2193</v>
      </c>
      <c r="C14" s="2592"/>
      <c r="D14" s="2592"/>
      <c r="E14" s="2592"/>
      <c r="F14" s="2592"/>
      <c r="G14" s="2592"/>
      <c r="H14" s="2592"/>
      <c r="I14" s="2592"/>
      <c r="J14" s="2592"/>
      <c r="K14" s="2592"/>
      <c r="L14" s="1366"/>
    </row>
    <row r="15" spans="1:13" ht="4.5" customHeight="1" x14ac:dyDescent="0.2">
      <c r="B15" s="1367"/>
      <c r="C15" s="1367"/>
      <c r="D15" s="1368"/>
      <c r="E15" s="1368"/>
      <c r="F15" s="1368"/>
      <c r="H15" s="1368"/>
      <c r="J15" s="1368"/>
      <c r="K15" s="1368"/>
      <c r="L15" s="1366"/>
    </row>
    <row r="16" spans="1:13" s="1251" customFormat="1" ht="13.5" customHeight="1" x14ac:dyDescent="0.2">
      <c r="B16" s="1362" t="s">
        <v>1289</v>
      </c>
      <c r="C16" s="1362"/>
      <c r="D16" s="1363"/>
      <c r="E16" s="1363"/>
      <c r="F16" s="1363"/>
      <c r="G16" s="1364"/>
      <c r="H16" s="1363"/>
      <c r="I16" s="1364"/>
      <c r="J16" s="1363"/>
      <c r="K16" s="1363"/>
      <c r="L16" s="1365"/>
    </row>
    <row r="17" spans="2:12" ht="45.75" customHeight="1" x14ac:dyDescent="0.2">
      <c r="B17" s="2592" t="s">
        <v>2194</v>
      </c>
      <c r="C17" s="2592"/>
      <c r="D17" s="2592"/>
      <c r="E17" s="2592"/>
      <c r="F17" s="2592"/>
      <c r="G17" s="2592"/>
      <c r="H17" s="2592"/>
      <c r="I17" s="2592"/>
      <c r="J17" s="2592"/>
      <c r="K17" s="2592"/>
      <c r="L17" s="1350"/>
    </row>
    <row r="18" spans="2:12" ht="4.5" customHeight="1" x14ac:dyDescent="0.2">
      <c r="B18" s="1367"/>
      <c r="C18" s="1367"/>
      <c r="L18" s="1350"/>
    </row>
    <row r="19" spans="2:12" s="1251" customFormat="1" ht="13.5" customHeight="1" x14ac:dyDescent="0.2">
      <c r="B19" s="1362" t="s">
        <v>1727</v>
      </c>
      <c r="C19" s="1362"/>
      <c r="D19" s="1363"/>
      <c r="E19" s="1363"/>
      <c r="F19" s="1363"/>
      <c r="G19" s="1364"/>
      <c r="H19" s="1363"/>
      <c r="I19" s="1364"/>
      <c r="J19" s="1363"/>
      <c r="K19" s="1363"/>
      <c r="L19" s="1365"/>
    </row>
    <row r="20" spans="2:12" ht="45.75" customHeight="1" x14ac:dyDescent="0.2">
      <c r="B20" s="2596" t="s">
        <v>2195</v>
      </c>
      <c r="C20" s="2596"/>
      <c r="D20" s="2592"/>
      <c r="E20" s="2592"/>
      <c r="F20" s="2592"/>
      <c r="G20" s="2592"/>
      <c r="H20" s="2592"/>
      <c r="I20" s="2592"/>
      <c r="J20" s="2592"/>
      <c r="K20" s="2592"/>
      <c r="L20" s="1350"/>
    </row>
    <row r="21" spans="2:12" ht="4.5" customHeight="1" x14ac:dyDescent="0.2">
      <c r="B21" s="1369"/>
      <c r="C21" s="1369"/>
      <c r="L21" s="1350"/>
    </row>
    <row r="22" spans="2:12" ht="13.5" customHeight="1" x14ac:dyDescent="0.2">
      <c r="B22" s="1362" t="s">
        <v>1288</v>
      </c>
      <c r="C22" s="1362"/>
      <c r="D22" s="1348"/>
      <c r="E22" s="1348"/>
      <c r="F22" s="1348"/>
      <c r="G22" s="1349"/>
      <c r="H22" s="1348"/>
      <c r="I22" s="1349"/>
      <c r="J22" s="1348"/>
      <c r="K22" s="1348"/>
      <c r="L22" s="1350"/>
    </row>
    <row r="23" spans="2:12" ht="45" customHeight="1" x14ac:dyDescent="0.2">
      <c r="B23" s="2592" t="s">
        <v>2196</v>
      </c>
      <c r="C23" s="2592"/>
      <c r="D23" s="2592"/>
      <c r="E23" s="2592"/>
      <c r="F23" s="2592"/>
      <c r="G23" s="2592"/>
      <c r="H23" s="2592"/>
      <c r="I23" s="2592"/>
      <c r="J23" s="2592"/>
      <c r="K23" s="2592"/>
      <c r="L23" s="1350"/>
    </row>
    <row r="24" spans="2:12" ht="4.5" customHeight="1" x14ac:dyDescent="0.2">
      <c r="B24" s="1367"/>
      <c r="C24" s="1367"/>
      <c r="L24" s="1350"/>
    </row>
    <row r="25" spans="2:12" ht="13.5" customHeight="1" x14ac:dyDescent="0.2">
      <c r="B25" s="1362" t="s">
        <v>1287</v>
      </c>
      <c r="C25" s="1362"/>
      <c r="D25" s="1348"/>
      <c r="E25" s="1348"/>
      <c r="F25" s="1348"/>
      <c r="G25" s="1349"/>
      <c r="H25" s="1348"/>
      <c r="I25" s="1349"/>
      <c r="J25" s="1348"/>
      <c r="K25" s="1348"/>
      <c r="L25" s="1350"/>
    </row>
    <row r="26" spans="2:12" ht="45.75" customHeight="1" x14ac:dyDescent="0.2">
      <c r="B26" s="2592" t="s">
        <v>2197</v>
      </c>
      <c r="C26" s="2592"/>
      <c r="D26" s="2592"/>
      <c r="E26" s="2592"/>
      <c r="F26" s="2592"/>
      <c r="G26" s="2592"/>
      <c r="H26" s="2592"/>
      <c r="I26" s="2592"/>
      <c r="J26" s="2592"/>
      <c r="K26" s="2592"/>
      <c r="L26" s="1350"/>
    </row>
    <row r="27" spans="2:12" ht="4.5" customHeight="1" x14ac:dyDescent="0.2">
      <c r="B27" s="1367"/>
      <c r="C27" s="1367"/>
      <c r="L27" s="1350"/>
    </row>
    <row r="28" spans="2:12" ht="13.5" customHeight="1" x14ac:dyDescent="0.2">
      <c r="B28" s="1370" t="s">
        <v>1286</v>
      </c>
      <c r="C28" s="1370"/>
      <c r="D28" s="1348"/>
      <c r="E28" s="1348"/>
      <c r="F28" s="1348"/>
      <c r="G28" s="1349"/>
      <c r="H28" s="1348"/>
      <c r="I28" s="1349"/>
      <c r="J28" s="1348"/>
      <c r="K28" s="1348"/>
      <c r="L28" s="1350"/>
    </row>
    <row r="29" spans="2:12" ht="45.75" customHeight="1" x14ac:dyDescent="0.2">
      <c r="B29" s="2591" t="s">
        <v>2198</v>
      </c>
      <c r="C29" s="2591"/>
      <c r="D29" s="2592"/>
      <c r="E29" s="2592"/>
      <c r="F29" s="2592"/>
      <c r="G29" s="2592"/>
      <c r="H29" s="2592"/>
      <c r="I29" s="2592"/>
      <c r="J29" s="2592"/>
      <c r="K29" s="2592"/>
      <c r="L29" s="1350"/>
    </row>
    <row r="30" spans="2:12" ht="4.5" customHeight="1" x14ac:dyDescent="0.2">
      <c r="B30" s="1371"/>
      <c r="C30" s="1371"/>
      <c r="D30" s="322"/>
      <c r="E30" s="322"/>
      <c r="F30" s="322"/>
      <c r="G30" s="1352"/>
      <c r="H30" s="322"/>
      <c r="I30" s="1352"/>
      <c r="J30" s="322"/>
      <c r="K30" s="322"/>
      <c r="L30" s="1350"/>
    </row>
    <row r="31" spans="2:12" s="322" customFormat="1" ht="13.5" customHeight="1" x14ac:dyDescent="0.2">
      <c r="B31" s="1372" t="s">
        <v>1728</v>
      </c>
      <c r="C31" s="1372"/>
      <c r="D31" s="1347"/>
      <c r="E31" s="1348"/>
      <c r="F31" s="1348"/>
      <c r="G31" s="1349"/>
      <c r="H31" s="1348"/>
      <c r="I31" s="1349"/>
      <c r="J31" s="1348"/>
      <c r="K31" s="1348"/>
      <c r="L31" s="1350"/>
    </row>
    <row r="32" spans="2:12" s="322" customFormat="1" ht="44.25" customHeight="1" x14ac:dyDescent="0.2">
      <c r="B32" s="2591" t="s">
        <v>2199</v>
      </c>
      <c r="C32" s="2591"/>
      <c r="D32" s="2592"/>
      <c r="E32" s="2592"/>
      <c r="F32" s="2592"/>
      <c r="G32" s="2592"/>
      <c r="H32" s="2592"/>
      <c r="I32" s="2592"/>
      <c r="J32" s="2592"/>
      <c r="K32" s="2592"/>
      <c r="L32" s="1350"/>
    </row>
    <row r="33" spans="1:13" s="322" customFormat="1" ht="4.5" customHeight="1" x14ac:dyDescent="0.2">
      <c r="B33" s="1371"/>
      <c r="C33" s="1371"/>
      <c r="G33" s="1352"/>
      <c r="I33" s="1352"/>
      <c r="L33" s="1350"/>
    </row>
    <row r="34" spans="1:13" s="322" customFormat="1" x14ac:dyDescent="0.2">
      <c r="A34" s="1266"/>
      <c r="B34" s="1373"/>
      <c r="C34" s="1373"/>
      <c r="D34" s="1373"/>
      <c r="E34" s="1373"/>
      <c r="F34" s="1373"/>
      <c r="G34" s="1374"/>
      <c r="H34" s="1373"/>
      <c r="I34" s="1374"/>
      <c r="J34" s="1373"/>
      <c r="K34" s="1373"/>
      <c r="L34" s="1350"/>
    </row>
    <row r="35" spans="1:13" ht="11.85" customHeight="1" x14ac:dyDescent="0.2">
      <c r="B35" s="1375" t="s">
        <v>1729</v>
      </c>
      <c r="C35" s="1375"/>
      <c r="D35" s="322"/>
      <c r="E35" s="322"/>
      <c r="F35" s="322"/>
      <c r="L35" s="1350"/>
    </row>
    <row r="36" spans="1:13" ht="9.6" customHeight="1" x14ac:dyDescent="0.2">
      <c r="B36" s="1269" t="s">
        <v>1816</v>
      </c>
      <c r="C36" s="1269"/>
      <c r="L36" s="1350"/>
    </row>
    <row r="37" spans="1:13" ht="9.6" customHeight="1" x14ac:dyDescent="0.2">
      <c r="B37" s="1269" t="s">
        <v>1817</v>
      </c>
      <c r="C37" s="1269"/>
    </row>
    <row r="38" spans="1:13" ht="11.85" customHeight="1" x14ac:dyDescent="0.2">
      <c r="B38" s="1376" t="s">
        <v>1730</v>
      </c>
      <c r="C38" s="1376"/>
    </row>
    <row r="39" spans="1:13" ht="9.6" customHeight="1" x14ac:dyDescent="0.2">
      <c r="B39" s="1269" t="s">
        <v>1285</v>
      </c>
      <c r="C39" s="1269"/>
      <c r="M39" s="1377"/>
    </row>
    <row r="40" spans="1:13" ht="12.6" customHeight="1" x14ac:dyDescent="0.2">
      <c r="B40" s="1376" t="s">
        <v>1731</v>
      </c>
      <c r="C40" s="1376"/>
      <c r="M40" s="1377"/>
    </row>
    <row r="41" spans="1:13" ht="9.6" customHeight="1" x14ac:dyDescent="0.2">
      <c r="B41" s="1269"/>
      <c r="C41" s="1269"/>
      <c r="M41" s="1377"/>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741B8-F7F9-4E41-8A1E-6FF834CAD089}">
  <sheetPr>
    <tabColor rgb="FF92D050"/>
    <pageSetUpPr fitToPage="1"/>
  </sheetPr>
  <dimension ref="A1:M48"/>
  <sheetViews>
    <sheetView showGridLines="0" zoomScale="110" zoomScaleNormal="110" workbookViewId="0">
      <selection activeCell="B46" sqref="B46"/>
    </sheetView>
  </sheetViews>
  <sheetFormatPr defaultColWidth="9.140625" defaultRowHeight="12.75" x14ac:dyDescent="0.2"/>
  <cols>
    <col min="1" max="1" width="1.5703125" style="1998" customWidth="1"/>
    <col min="2" max="2" width="21.42578125" style="1998" customWidth="1"/>
    <col min="3" max="3" width="6.140625" style="1998" customWidth="1"/>
    <col min="4" max="4" width="4.42578125" style="1998" customWidth="1"/>
    <col min="5" max="5" width="3.5703125" style="1998" customWidth="1"/>
    <col min="6" max="6" width="20.140625" style="1998" customWidth="1"/>
    <col min="7" max="7" width="3.5703125" style="2057" customWidth="1"/>
    <col min="8" max="8" width="10.5703125" style="1998" customWidth="1"/>
    <col min="9" max="9" width="3.42578125" style="2057" customWidth="1"/>
    <col min="10" max="10" width="15.42578125" style="1998" customWidth="1"/>
    <col min="11" max="11" width="8.5703125" style="1998" customWidth="1"/>
    <col min="12" max="12" width="1.42578125" style="1998" customWidth="1"/>
    <col min="13" max="13" width="3.42578125" style="1998" customWidth="1"/>
    <col min="14" max="16384" width="9.140625" style="1998"/>
  </cols>
  <sheetData>
    <row r="1" spans="1:13" ht="12.75" customHeight="1" x14ac:dyDescent="0.2">
      <c r="B1" s="2604" t="s">
        <v>2104</v>
      </c>
      <c r="C1" s="2604"/>
      <c r="D1" s="2604"/>
      <c r="E1" s="2604"/>
      <c r="F1" s="2604"/>
      <c r="G1" s="2604"/>
      <c r="H1" s="2604"/>
      <c r="I1" s="2604"/>
      <c r="J1" s="2604"/>
      <c r="K1" s="2604"/>
      <c r="L1" s="1999"/>
      <c r="M1" s="1999"/>
    </row>
    <row r="2" spans="1:13" x14ac:dyDescent="0.2">
      <c r="B2" s="2605" t="s">
        <v>2102</v>
      </c>
      <c r="C2" s="2605"/>
      <c r="D2" s="2605"/>
      <c r="E2" s="2605"/>
      <c r="F2" s="2605"/>
      <c r="G2" s="2605"/>
      <c r="H2" s="2605"/>
      <c r="I2" s="2605"/>
      <c r="J2" s="2605"/>
      <c r="K2" s="2605"/>
      <c r="L2" s="2000"/>
      <c r="M2" s="2001"/>
    </row>
    <row r="3" spans="1:13" ht="12.75" customHeight="1" x14ac:dyDescent="0.2">
      <c r="B3" s="2606" t="s">
        <v>1284</v>
      </c>
      <c r="C3" s="2606"/>
      <c r="D3" s="2606"/>
      <c r="E3" s="2606"/>
      <c r="F3" s="2606"/>
      <c r="G3" s="2606"/>
      <c r="H3" s="2606"/>
      <c r="I3" s="2606"/>
      <c r="J3" s="2606"/>
      <c r="K3" s="2606"/>
      <c r="L3" s="2002"/>
      <c r="M3" s="2002"/>
    </row>
    <row r="4" spans="1:13" ht="15" customHeight="1" x14ac:dyDescent="0.2">
      <c r="B4" s="2606" t="s">
        <v>1963</v>
      </c>
      <c r="C4" s="2606"/>
      <c r="D4" s="2606"/>
      <c r="E4" s="2606"/>
      <c r="F4" s="2606"/>
      <c r="G4" s="2606"/>
      <c r="H4" s="2606"/>
      <c r="I4" s="2606"/>
      <c r="J4" s="2606"/>
      <c r="K4" s="2606"/>
      <c r="L4" s="2003"/>
      <c r="M4" s="2003"/>
    </row>
    <row r="5" spans="1:13" ht="7.5" customHeight="1" x14ac:dyDescent="0.2">
      <c r="B5" s="2004" t="s">
        <v>1168</v>
      </c>
      <c r="C5" s="2004"/>
      <c r="D5" s="1"/>
      <c r="E5" s="1"/>
      <c r="F5" s="1"/>
      <c r="G5" s="1"/>
      <c r="H5" s="1"/>
      <c r="I5" s="1"/>
      <c r="J5" s="1"/>
      <c r="K5" s="1"/>
    </row>
    <row r="6" spans="1:13" ht="32.25" customHeight="1" x14ac:dyDescent="0.2">
      <c r="B6" s="2607" t="s">
        <v>2221</v>
      </c>
      <c r="C6" s="2607"/>
      <c r="D6" s="2607"/>
      <c r="E6" s="2607"/>
      <c r="F6" s="2607"/>
      <c r="G6" s="2607"/>
      <c r="H6" s="2607"/>
      <c r="I6" s="2607"/>
      <c r="J6" s="2607"/>
      <c r="K6" s="2607"/>
      <c r="L6" s="2005"/>
    </row>
    <row r="7" spans="1:13" ht="12.75" customHeight="1" x14ac:dyDescent="0.2">
      <c r="A7" s="2006"/>
      <c r="B7" s="2007"/>
      <c r="C7" s="2007"/>
      <c r="D7" s="2007"/>
      <c r="E7" s="2007"/>
      <c r="F7" s="2007"/>
      <c r="G7" s="2008"/>
      <c r="H7" s="2007"/>
      <c r="I7" s="2008"/>
      <c r="J7" s="2007"/>
      <c r="K7" s="2007"/>
      <c r="L7" s="2009"/>
    </row>
    <row r="8" spans="1:13" x14ac:dyDescent="0.2">
      <c r="B8" s="2010" t="s">
        <v>2222</v>
      </c>
      <c r="C8" s="2011" t="s">
        <v>1965</v>
      </c>
      <c r="D8" s="2012" t="s">
        <v>2053</v>
      </c>
      <c r="E8" s="2013"/>
      <c r="F8" s="2014" t="s">
        <v>1294</v>
      </c>
      <c r="G8" s="2015"/>
      <c r="H8" s="2016" t="s">
        <v>2223</v>
      </c>
      <c r="I8" s="2015"/>
      <c r="J8" s="2017" t="s">
        <v>2224</v>
      </c>
      <c r="K8" s="1"/>
      <c r="L8" s="2005"/>
    </row>
    <row r="9" spans="1:13" ht="12.75" customHeight="1" x14ac:dyDescent="0.2">
      <c r="B9" s="1"/>
      <c r="C9" s="1"/>
      <c r="D9" s="2013"/>
      <c r="E9" s="2013"/>
      <c r="F9" s="2013"/>
      <c r="G9" s="2018"/>
      <c r="H9" s="2013"/>
      <c r="I9" s="2019" t="s">
        <v>1291</v>
      </c>
      <c r="J9" s="2013"/>
      <c r="K9" s="2020"/>
      <c r="L9" s="2005"/>
    </row>
    <row r="10" spans="1:13" ht="3.75" customHeight="1" x14ac:dyDescent="0.2">
      <c r="B10" s="2021"/>
      <c r="C10" s="2021"/>
      <c r="D10" s="2022"/>
      <c r="E10" s="2022"/>
      <c r="F10" s="2022"/>
      <c r="G10" s="2023"/>
      <c r="H10" s="2022"/>
      <c r="I10" s="2023"/>
      <c r="J10" s="2022"/>
      <c r="K10" s="2022"/>
      <c r="L10" s="2005"/>
    </row>
    <row r="11" spans="1:13" x14ac:dyDescent="0.2">
      <c r="B11" s="2013"/>
      <c r="C11" s="2013"/>
      <c r="D11" s="2024"/>
      <c r="E11" s="2013"/>
      <c r="F11" s="2013"/>
      <c r="G11" s="2018"/>
      <c r="H11" s="2013"/>
      <c r="I11" s="2018"/>
      <c r="J11" s="2013"/>
      <c r="K11" s="2025"/>
      <c r="L11" s="2005"/>
    </row>
    <row r="12" spans="1:13" x14ac:dyDescent="0.2">
      <c r="B12" s="2014" t="s">
        <v>2225</v>
      </c>
      <c r="C12" s="2014"/>
      <c r="D12" s="2024"/>
      <c r="E12" s="2013"/>
      <c r="F12" s="2603"/>
      <c r="G12" s="2603"/>
      <c r="H12" s="2603"/>
      <c r="I12" s="2603"/>
      <c r="J12" s="2603"/>
      <c r="K12" s="2603"/>
      <c r="L12" s="2005"/>
    </row>
    <row r="13" spans="1:13" s="2006" customFormat="1" x14ac:dyDescent="0.2">
      <c r="B13" s="2026"/>
      <c r="C13" s="2026"/>
      <c r="D13" s="2024"/>
      <c r="E13" s="2013"/>
      <c r="F13" s="2013"/>
      <c r="G13" s="2018"/>
      <c r="H13" s="2013"/>
      <c r="I13" s="2018"/>
      <c r="J13" s="2013"/>
      <c r="K13" s="2025"/>
      <c r="L13" s="2027"/>
    </row>
    <row r="14" spans="1:13" x14ac:dyDescent="0.2">
      <c r="B14" s="2010" t="s">
        <v>2226</v>
      </c>
      <c r="C14" s="2010"/>
      <c r="D14" s="2598"/>
      <c r="E14" s="2598"/>
      <c r="F14" s="2598"/>
      <c r="G14" s="1"/>
      <c r="H14" s="2028" t="s">
        <v>2227</v>
      </c>
      <c r="I14" s="2599"/>
      <c r="J14" s="2600"/>
      <c r="K14" s="2600"/>
      <c r="L14" s="2029"/>
    </row>
    <row r="15" spans="1:13" x14ac:dyDescent="0.2">
      <c r="B15" s="2010"/>
      <c r="C15" s="2010"/>
      <c r="D15" s="2030"/>
      <c r="E15" s="2004"/>
      <c r="F15" s="2004"/>
      <c r="G15" s="2031"/>
      <c r="H15" s="2004"/>
      <c r="I15" s="2032"/>
      <c r="J15" s="2033"/>
      <c r="K15" s="2034"/>
      <c r="L15" s="2029"/>
    </row>
    <row r="16" spans="1:13" s="2006" customFormat="1" x14ac:dyDescent="0.2">
      <c r="B16" s="2010" t="s">
        <v>2228</v>
      </c>
      <c r="C16" s="2010"/>
      <c r="D16" s="2600"/>
      <c r="E16" s="2600"/>
      <c r="F16" s="2600"/>
      <c r="G16" s="2600"/>
      <c r="H16" s="2600"/>
      <c r="I16" s="2600"/>
      <c r="J16" s="2600"/>
      <c r="K16" s="2600"/>
      <c r="L16" s="2027"/>
    </row>
    <row r="17" spans="2:12" x14ac:dyDescent="0.2">
      <c r="B17" s="2010" t="s">
        <v>2229</v>
      </c>
      <c r="C17" s="2010"/>
      <c r="D17" s="2601"/>
      <c r="E17" s="2601"/>
      <c r="F17" s="2601"/>
      <c r="G17" s="2601"/>
      <c r="H17" s="2601"/>
      <c r="I17" s="2601"/>
      <c r="J17" s="2601"/>
      <c r="K17" s="2601"/>
      <c r="L17" s="2005"/>
    </row>
    <row r="18" spans="2:12" ht="4.5" customHeight="1" x14ac:dyDescent="0.2">
      <c r="B18" s="2022"/>
      <c r="C18" s="2022"/>
      <c r="D18" s="2022"/>
      <c r="E18" s="2022"/>
      <c r="F18" s="2022"/>
      <c r="G18" s="2023"/>
      <c r="H18" s="2022"/>
      <c r="I18" s="2023"/>
      <c r="J18" s="2022"/>
      <c r="K18" s="2022"/>
      <c r="L18" s="2005"/>
    </row>
    <row r="19" spans="2:12" s="2006" customFormat="1" ht="13.5" customHeight="1" x14ac:dyDescent="0.2">
      <c r="B19" s="2035" t="s">
        <v>2230</v>
      </c>
      <c r="C19" s="2035"/>
      <c r="D19" s="2036"/>
      <c r="E19" s="2036"/>
      <c r="F19" s="2036"/>
      <c r="G19" s="2037"/>
      <c r="H19" s="2036"/>
      <c r="I19" s="2037"/>
      <c r="J19" s="2013"/>
      <c r="K19" s="2013"/>
      <c r="L19" s="2027"/>
    </row>
    <row r="20" spans="2:12" ht="45.75" customHeight="1" x14ac:dyDescent="0.2">
      <c r="B20" s="2602"/>
      <c r="C20" s="2602"/>
      <c r="D20" s="2602"/>
      <c r="E20" s="2602"/>
      <c r="F20" s="2602"/>
      <c r="G20" s="2602"/>
      <c r="H20" s="2602"/>
      <c r="I20" s="2602"/>
      <c r="J20" s="2602"/>
      <c r="K20" s="2602"/>
      <c r="L20" s="2005"/>
    </row>
    <row r="21" spans="2:12" ht="4.5" customHeight="1" x14ac:dyDescent="0.2">
      <c r="B21" s="2038"/>
      <c r="C21" s="2038"/>
      <c r="D21" s="2039"/>
      <c r="E21" s="2039"/>
      <c r="F21" s="2039"/>
      <c r="G21" s="2023"/>
      <c r="H21" s="2039"/>
      <c r="I21" s="2023"/>
      <c r="J21" s="2039"/>
      <c r="K21" s="2039"/>
      <c r="L21" s="2005"/>
    </row>
    <row r="22" spans="2:12" ht="13.5" customHeight="1" x14ac:dyDescent="0.2">
      <c r="B22" s="2035" t="s">
        <v>2231</v>
      </c>
      <c r="C22" s="2035"/>
      <c r="D22" s="2013"/>
      <c r="E22" s="2013"/>
      <c r="F22" s="2013"/>
      <c r="G22" s="2018"/>
      <c r="H22" s="2013"/>
      <c r="I22" s="2018"/>
      <c r="J22" s="2013"/>
      <c r="K22" s="2013"/>
      <c r="L22" s="2005"/>
    </row>
    <row r="23" spans="2:12" ht="45" customHeight="1" x14ac:dyDescent="0.2">
      <c r="B23" s="2602"/>
      <c r="C23" s="2602"/>
      <c r="D23" s="2602"/>
      <c r="E23" s="2602"/>
      <c r="F23" s="2602"/>
      <c r="G23" s="2602"/>
      <c r="H23" s="2602"/>
      <c r="I23" s="2602"/>
      <c r="J23" s="2602"/>
      <c r="K23" s="2602"/>
      <c r="L23" s="2005"/>
    </row>
    <row r="24" spans="2:12" ht="4.5" customHeight="1" x14ac:dyDescent="0.2">
      <c r="B24" s="2038"/>
      <c r="C24" s="2038"/>
      <c r="D24" s="2022"/>
      <c r="E24" s="2022"/>
      <c r="F24" s="2022"/>
      <c r="G24" s="2023"/>
      <c r="H24" s="2022"/>
      <c r="I24" s="2023"/>
      <c r="J24" s="2022"/>
      <c r="K24" s="2022"/>
      <c r="L24" s="2005"/>
    </row>
    <row r="25" spans="2:12" ht="13.5" customHeight="1" x14ac:dyDescent="0.2">
      <c r="B25" s="2035" t="s">
        <v>2232</v>
      </c>
      <c r="C25" s="2035"/>
      <c r="D25" s="2013"/>
      <c r="E25" s="2013"/>
      <c r="F25" s="2013"/>
      <c r="G25" s="2018"/>
      <c r="H25" s="2013"/>
      <c r="I25" s="2018"/>
      <c r="J25" s="2013"/>
      <c r="K25" s="2013"/>
      <c r="L25" s="2005"/>
    </row>
    <row r="26" spans="2:12" ht="45.75" customHeight="1" x14ac:dyDescent="0.2">
      <c r="B26" s="2602"/>
      <c r="C26" s="2602"/>
      <c r="D26" s="2602"/>
      <c r="E26" s="2602"/>
      <c r="F26" s="2602"/>
      <c r="G26" s="2602"/>
      <c r="H26" s="2602"/>
      <c r="I26" s="2602"/>
      <c r="J26" s="2602"/>
      <c r="K26" s="2602"/>
      <c r="L26" s="2005"/>
    </row>
    <row r="27" spans="2:12" ht="4.5" customHeight="1" x14ac:dyDescent="0.2">
      <c r="B27" s="2040"/>
      <c r="C27" s="2040"/>
      <c r="D27" s="2040"/>
      <c r="E27" s="2022"/>
      <c r="F27" s="2022"/>
      <c r="G27" s="2023"/>
      <c r="H27" s="2022"/>
      <c r="I27" s="2023"/>
      <c r="J27" s="2022"/>
      <c r="K27" s="2022"/>
      <c r="L27" s="2005"/>
    </row>
    <row r="28" spans="2:12" ht="13.5" customHeight="1" x14ac:dyDescent="0.2">
      <c r="B28" s="2035" t="s">
        <v>2233</v>
      </c>
      <c r="C28" s="2035"/>
      <c r="D28" s="2013"/>
      <c r="E28" s="2013"/>
      <c r="F28" s="2013"/>
      <c r="G28" s="2018"/>
      <c r="H28" s="2013"/>
      <c r="I28" s="2018"/>
      <c r="J28" s="2013"/>
      <c r="K28" s="2013"/>
      <c r="L28" s="2005"/>
    </row>
    <row r="29" spans="2:12" ht="45.75" customHeight="1" x14ac:dyDescent="0.2">
      <c r="B29" s="2602"/>
      <c r="C29" s="2602"/>
      <c r="D29" s="2602"/>
      <c r="E29" s="2602"/>
      <c r="F29" s="2602"/>
      <c r="G29" s="2602"/>
      <c r="H29" s="2602"/>
      <c r="I29" s="2602"/>
      <c r="J29" s="2602"/>
      <c r="K29" s="2602"/>
      <c r="L29" s="2005"/>
    </row>
    <row r="30" spans="2:12" ht="4.5" customHeight="1" x14ac:dyDescent="0.2">
      <c r="B30" s="2038"/>
      <c r="C30" s="2038"/>
      <c r="D30" s="2022"/>
      <c r="E30" s="2022"/>
      <c r="F30" s="2022"/>
      <c r="G30" s="2023"/>
      <c r="H30" s="2022"/>
      <c r="I30" s="2023"/>
      <c r="J30" s="2022"/>
      <c r="K30" s="2022"/>
      <c r="L30" s="2005"/>
    </row>
    <row r="31" spans="2:12" s="2041" customFormat="1" ht="13.5" customHeight="1" x14ac:dyDescent="0.2">
      <c r="B31" s="2035" t="s">
        <v>2234</v>
      </c>
      <c r="C31" s="2035"/>
      <c r="D31" s="2013"/>
      <c r="E31" s="2013"/>
      <c r="F31" s="2013"/>
      <c r="G31" s="2018"/>
      <c r="H31" s="2013"/>
      <c r="I31" s="2018"/>
      <c r="J31" s="2013"/>
      <c r="K31" s="2013"/>
      <c r="L31" s="2005"/>
    </row>
    <row r="32" spans="2:12" s="2041" customFormat="1" ht="45.75" customHeight="1" x14ac:dyDescent="0.2">
      <c r="B32" s="2602"/>
      <c r="C32" s="2602"/>
      <c r="D32" s="2602"/>
      <c r="E32" s="2602"/>
      <c r="F32" s="2602"/>
      <c r="G32" s="2602"/>
      <c r="H32" s="2602"/>
      <c r="I32" s="2602"/>
      <c r="J32" s="2602"/>
      <c r="K32" s="2602"/>
      <c r="L32" s="2005"/>
    </row>
    <row r="33" spans="2:13" s="2041" customFormat="1" ht="4.5" customHeight="1" x14ac:dyDescent="0.2">
      <c r="B33" s="2038"/>
      <c r="C33" s="2038"/>
      <c r="D33" s="2022"/>
      <c r="E33" s="2022"/>
      <c r="F33" s="2022"/>
      <c r="G33" s="2023"/>
      <c r="H33" s="2022"/>
      <c r="I33" s="2023"/>
      <c r="J33" s="2022"/>
      <c r="K33" s="2022"/>
      <c r="L33" s="2005"/>
    </row>
    <row r="34" spans="2:13" s="2041" customFormat="1" ht="11.1" customHeight="1" x14ac:dyDescent="0.2">
      <c r="B34" s="2014" t="s">
        <v>2235</v>
      </c>
      <c r="C34" s="2014"/>
      <c r="D34" s="2013"/>
      <c r="E34" s="2013"/>
      <c r="F34" s="2013"/>
      <c r="G34" s="2018"/>
      <c r="H34" s="2013"/>
      <c r="I34" s="2018"/>
      <c r="J34" s="2013"/>
      <c r="K34" s="2013"/>
      <c r="L34" s="2005"/>
    </row>
    <row r="35" spans="2:13" s="2041" customFormat="1" ht="13.5" customHeight="1" x14ac:dyDescent="0.2">
      <c r="B35" s="2602"/>
      <c r="C35" s="2602"/>
      <c r="D35" s="2602"/>
      <c r="E35" s="2602"/>
      <c r="F35" s="2602"/>
      <c r="G35" s="2602"/>
      <c r="H35" s="2602"/>
      <c r="I35" s="2602"/>
      <c r="J35" s="2602"/>
      <c r="K35" s="2602"/>
      <c r="L35" s="2005"/>
    </row>
    <row r="36" spans="2:13" s="2041" customFormat="1" ht="13.5" customHeight="1" x14ac:dyDescent="0.2">
      <c r="B36" s="2038"/>
      <c r="C36" s="2038"/>
      <c r="D36" s="2022"/>
      <c r="E36" s="2022"/>
      <c r="F36" s="2022"/>
      <c r="G36" s="2023"/>
      <c r="H36" s="2022"/>
      <c r="I36" s="2023"/>
      <c r="J36" s="2022"/>
      <c r="K36" s="2022"/>
      <c r="L36" s="2005"/>
      <c r="M36" s="2042"/>
    </row>
    <row r="37" spans="2:13" s="2041" customFormat="1" ht="11.45" customHeight="1" x14ac:dyDescent="0.2">
      <c r="B37" s="2014" t="s">
        <v>2236</v>
      </c>
      <c r="C37" s="2014"/>
      <c r="D37" s="2013"/>
      <c r="E37" s="2013"/>
      <c r="F37" s="2013"/>
      <c r="G37" s="2018"/>
      <c r="H37" s="2013"/>
      <c r="I37" s="2018"/>
      <c r="J37" s="2013"/>
      <c r="K37" s="2013"/>
      <c r="L37" s="2005"/>
    </row>
    <row r="38" spans="2:13" s="2041" customFormat="1" ht="27.75" customHeight="1" x14ac:dyDescent="0.2">
      <c r="B38" s="2602"/>
      <c r="C38" s="2602"/>
      <c r="D38" s="2602"/>
      <c r="E38" s="2602"/>
      <c r="F38" s="2602"/>
      <c r="G38" s="2602"/>
      <c r="H38" s="2602"/>
      <c r="I38" s="2602"/>
      <c r="J38" s="2602"/>
      <c r="K38" s="2602"/>
      <c r="L38" s="2005"/>
    </row>
    <row r="39" spans="2:13" ht="11.85" customHeight="1" x14ac:dyDescent="0.2">
      <c r="B39" s="2043"/>
      <c r="C39" s="2043"/>
      <c r="D39" s="2044"/>
      <c r="E39" s="2044"/>
      <c r="F39" s="2044"/>
      <c r="G39" s="2045"/>
      <c r="H39" s="2044"/>
      <c r="I39" s="2045"/>
      <c r="J39" s="2044"/>
      <c r="K39" s="2044"/>
      <c r="L39" s="2005"/>
    </row>
    <row r="40" spans="2:13" ht="9.6" customHeight="1" x14ac:dyDescent="0.2">
      <c r="B40" s="2046" t="s">
        <v>2237</v>
      </c>
      <c r="C40" s="2046"/>
      <c r="D40" s="2047"/>
      <c r="E40" s="2048"/>
      <c r="F40" s="2048"/>
      <c r="G40" s="2049"/>
      <c r="H40" s="2048"/>
      <c r="I40" s="2049"/>
      <c r="J40" s="2048"/>
      <c r="K40" s="2048"/>
      <c r="L40" s="2005"/>
    </row>
    <row r="41" spans="2:13" x14ac:dyDescent="0.2">
      <c r="B41" s="2597"/>
      <c r="C41" s="2597"/>
      <c r="D41" s="2597"/>
      <c r="E41" s="2597"/>
      <c r="F41" s="2597"/>
      <c r="G41" s="2597"/>
      <c r="H41" s="2597"/>
      <c r="I41" s="2597"/>
      <c r="J41" s="2597"/>
      <c r="K41" s="2597"/>
    </row>
    <row r="42" spans="2:13" ht="21" customHeight="1" x14ac:dyDescent="0.2">
      <c r="B42" s="2043"/>
      <c r="C42" s="2043"/>
      <c r="D42" s="2044"/>
      <c r="E42" s="2044"/>
      <c r="F42" s="2044"/>
      <c r="G42" s="2045"/>
      <c r="H42" s="2044"/>
      <c r="I42" s="2045"/>
      <c r="J42" s="2044"/>
      <c r="K42" s="2044"/>
    </row>
    <row r="43" spans="2:13" ht="9.6" customHeight="1" x14ac:dyDescent="0.25">
      <c r="B43" s="2050"/>
      <c r="C43" s="2050"/>
      <c r="D43" s="2051"/>
      <c r="E43" s="2051"/>
      <c r="F43" s="2051"/>
      <c r="G43" s="2052"/>
      <c r="H43" s="2051"/>
      <c r="I43" s="2052"/>
      <c r="J43" s="2051"/>
      <c r="K43" s="2051"/>
      <c r="M43" s="2053"/>
    </row>
    <row r="44" spans="2:13" ht="12.6" customHeight="1" x14ac:dyDescent="0.2">
      <c r="B44" s="2054" t="s">
        <v>2238</v>
      </c>
      <c r="C44" s="2054"/>
      <c r="D44" s="2013"/>
      <c r="E44" s="2013"/>
      <c r="F44" s="2013"/>
      <c r="G44" s="1"/>
      <c r="H44" s="1"/>
      <c r="I44" s="1"/>
      <c r="J44" s="1"/>
      <c r="K44" s="1"/>
      <c r="M44" s="2053"/>
    </row>
    <row r="45" spans="2:13" ht="9.6" customHeight="1" x14ac:dyDescent="0.2">
      <c r="B45" s="2055" t="s">
        <v>2239</v>
      </c>
      <c r="C45" s="2055"/>
      <c r="D45" s="1"/>
      <c r="E45" s="1"/>
      <c r="F45" s="1"/>
      <c r="G45" s="2056"/>
      <c r="H45" s="1"/>
      <c r="I45" s="2056"/>
      <c r="J45" s="1"/>
      <c r="K45" s="1"/>
      <c r="M45" s="2053"/>
    </row>
    <row r="46" spans="2:13" x14ac:dyDescent="0.2">
      <c r="B46" s="2055" t="s">
        <v>2240</v>
      </c>
      <c r="C46" s="2055"/>
      <c r="D46" s="1"/>
      <c r="E46" s="1"/>
      <c r="F46" s="1"/>
      <c r="G46" s="2056"/>
      <c r="H46" s="1"/>
      <c r="I46" s="2056"/>
      <c r="J46" s="1"/>
      <c r="K46" s="1"/>
    </row>
    <row r="47" spans="2:13" x14ac:dyDescent="0.2">
      <c r="B47" s="2055" t="s">
        <v>2241</v>
      </c>
      <c r="C47" s="2055"/>
      <c r="D47" s="1"/>
      <c r="E47" s="1"/>
      <c r="F47" s="1"/>
      <c r="G47" s="2056"/>
      <c r="H47" s="1"/>
      <c r="I47" s="2056"/>
      <c r="J47" s="1"/>
      <c r="K47" s="1"/>
    </row>
    <row r="48" spans="2:13" x14ac:dyDescent="0.2">
      <c r="B48" s="2055" t="s">
        <v>2242</v>
      </c>
      <c r="C48" s="2055"/>
      <c r="D48" s="1"/>
      <c r="E48" s="1"/>
      <c r="F48" s="1"/>
      <c r="G48" s="2056"/>
      <c r="H48" s="1"/>
      <c r="I48" s="2056"/>
      <c r="J48" s="1"/>
      <c r="K48" s="1"/>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rintOptions horizontalCentered="1"/>
  <pageMargins left="0.5" right="0.5" top="0.5" bottom="0.5" header="0.5" footer="0.3"/>
  <pageSetup scale="96" firstPageNumber="87" orientation="portrait" useFirstPageNumber="1" r:id="rId1"/>
  <headerFooter scaleWithDoc="0" alignWithMargins="0">
    <oddFooter>&amp;L&amp;11Page &amp;P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showGridLines="0" zoomScale="110" zoomScaleNormal="110" workbookViewId="0">
      <selection activeCell="B8" sqref="B8:F1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1" customFormat="1" ht="12.75" customHeight="1" x14ac:dyDescent="0.2">
      <c r="B1" s="2577" t="str">
        <f>'Single Audit Cover'!A7</f>
        <v>Hawthorn CCSD 73</v>
      </c>
      <c r="C1" s="2577"/>
      <c r="D1" s="2577"/>
      <c r="E1" s="1422"/>
    </row>
    <row r="2" spans="2:5" s="1251" customFormat="1" ht="12.75" customHeight="1" x14ac:dyDescent="0.2">
      <c r="B2" s="2579">
        <f>'Single Audit Cover'!E7</f>
        <v>34049073004</v>
      </c>
      <c r="C2" s="2579"/>
      <c r="D2" s="2579"/>
      <c r="E2" s="1423"/>
    </row>
    <row r="3" spans="2:5" ht="12.75" customHeight="1" x14ac:dyDescent="0.2">
      <c r="B3" s="2593" t="s">
        <v>1740</v>
      </c>
      <c r="C3" s="2593"/>
      <c r="D3" s="2593"/>
      <c r="E3" s="1243"/>
    </row>
    <row r="4" spans="2:5" s="1251" customFormat="1" ht="12.75" customHeight="1" x14ac:dyDescent="0.2">
      <c r="B4" s="2608" t="str">
        <f>'Single Audit Cover'!A4</f>
        <v>Year Ending June 30, 2019</v>
      </c>
      <c r="C4" s="2608"/>
      <c r="D4" s="2608"/>
      <c r="E4" s="1424"/>
    </row>
    <row r="5" spans="2:5" s="1251" customFormat="1" ht="40.15" customHeight="1" x14ac:dyDescent="0.2">
      <c r="B5" s="1425" t="s">
        <v>1741</v>
      </c>
      <c r="C5" s="328"/>
      <c r="D5" s="328"/>
      <c r="E5" s="328"/>
    </row>
    <row r="6" spans="2:5" s="1251" customFormat="1" ht="13.5" customHeight="1" x14ac:dyDescent="0.2">
      <c r="B6" s="1426" t="s">
        <v>1302</v>
      </c>
      <c r="C6" s="1426" t="s">
        <v>1301</v>
      </c>
      <c r="D6" s="1426" t="s">
        <v>1742</v>
      </c>
    </row>
    <row r="7" spans="2:5" ht="13.5" customHeight="1" x14ac:dyDescent="0.2">
      <c r="B7" s="1427"/>
      <c r="C7" s="324"/>
      <c r="D7" s="324"/>
      <c r="E7" s="324"/>
    </row>
    <row r="8" spans="2:5" ht="13.5" customHeight="1" x14ac:dyDescent="0.2">
      <c r="B8" s="1427" t="s">
        <v>2100</v>
      </c>
      <c r="C8" s="1997" t="s">
        <v>2200</v>
      </c>
      <c r="D8" s="324"/>
      <c r="E8" s="324"/>
    </row>
    <row r="9" spans="2:5" ht="13.5" customHeight="1" x14ac:dyDescent="0.2">
      <c r="B9" s="1428"/>
      <c r="C9" s="1989" t="s">
        <v>2201</v>
      </c>
      <c r="D9" s="323"/>
      <c r="E9" s="323"/>
    </row>
    <row r="10" spans="2:5" ht="13.5" customHeight="1" x14ac:dyDescent="0.2">
      <c r="B10" s="1427"/>
      <c r="C10" s="323" t="s">
        <v>2202</v>
      </c>
      <c r="D10" s="323" t="s">
        <v>2203</v>
      </c>
      <c r="E10" s="323"/>
    </row>
    <row r="11" spans="2:5" ht="13.5" customHeight="1" x14ac:dyDescent="0.2">
      <c r="B11" s="1427"/>
      <c r="C11" s="323"/>
      <c r="D11" s="323"/>
      <c r="E11" s="323"/>
    </row>
    <row r="12" spans="2:5" ht="13.5" customHeight="1" x14ac:dyDescent="0.2">
      <c r="B12" s="1427" t="s">
        <v>2204</v>
      </c>
      <c r="C12" s="323" t="s">
        <v>2207</v>
      </c>
      <c r="D12" s="323"/>
      <c r="E12" s="323"/>
    </row>
    <row r="13" spans="2:5" ht="13.5" customHeight="1" x14ac:dyDescent="0.2">
      <c r="B13" s="1427"/>
      <c r="C13" s="323" t="s">
        <v>2205</v>
      </c>
      <c r="D13" s="323"/>
      <c r="E13" s="323"/>
    </row>
    <row r="14" spans="2:5" ht="13.5" customHeight="1" x14ac:dyDescent="0.2">
      <c r="B14" s="1427"/>
      <c r="C14" s="323" t="s">
        <v>2206</v>
      </c>
      <c r="D14" s="323" t="s">
        <v>2208</v>
      </c>
      <c r="E14" s="323"/>
    </row>
    <row r="15" spans="2:5" ht="13.5" customHeight="1" x14ac:dyDescent="0.2">
      <c r="B15" s="1427"/>
      <c r="C15" s="323"/>
      <c r="D15" s="323"/>
      <c r="E15" s="323"/>
    </row>
    <row r="16" spans="2:5" ht="13.5" customHeight="1" x14ac:dyDescent="0.2">
      <c r="B16" s="1427" t="s">
        <v>2209</v>
      </c>
      <c r="C16" s="323" t="s">
        <v>2212</v>
      </c>
      <c r="D16" s="323"/>
      <c r="E16" s="323"/>
    </row>
    <row r="17" spans="2:5" ht="13.5" customHeight="1" x14ac:dyDescent="0.2">
      <c r="B17" s="1427"/>
      <c r="C17" s="323" t="s">
        <v>2213</v>
      </c>
      <c r="D17" s="323"/>
      <c r="E17" s="323"/>
    </row>
    <row r="18" spans="2:5" ht="13.5" customHeight="1" x14ac:dyDescent="0.2">
      <c r="B18" s="1427"/>
      <c r="C18" s="323" t="s">
        <v>2210</v>
      </c>
      <c r="D18" s="323"/>
      <c r="E18" s="323"/>
    </row>
    <row r="19" spans="2:5" ht="13.5" customHeight="1" x14ac:dyDescent="0.2">
      <c r="B19" s="1427"/>
      <c r="C19" s="323" t="s">
        <v>2211</v>
      </c>
      <c r="D19" s="323" t="s">
        <v>2214</v>
      </c>
      <c r="E19" s="323"/>
    </row>
    <row r="20" spans="2:5" ht="13.5" customHeight="1" x14ac:dyDescent="0.2">
      <c r="B20" s="1427"/>
      <c r="C20" s="323"/>
      <c r="D20" s="323"/>
      <c r="E20" s="323"/>
    </row>
    <row r="21" spans="2:5" ht="13.5" customHeight="1" x14ac:dyDescent="0.2">
      <c r="B21" s="1427"/>
      <c r="C21" s="323"/>
      <c r="D21" s="323"/>
      <c r="E21" s="323"/>
    </row>
    <row r="22" spans="2:5" ht="13.5" customHeight="1" x14ac:dyDescent="0.2">
      <c r="B22" s="1427"/>
      <c r="C22" s="323"/>
      <c r="D22" s="323"/>
      <c r="E22" s="323"/>
    </row>
    <row r="23" spans="2:5" ht="13.5" customHeight="1" x14ac:dyDescent="0.2">
      <c r="B23" s="1427"/>
      <c r="C23" s="323"/>
      <c r="D23" s="323"/>
      <c r="E23" s="323"/>
    </row>
    <row r="24" spans="2:5" ht="13.5" customHeight="1" x14ac:dyDescent="0.2">
      <c r="B24" s="1427"/>
      <c r="C24" s="323"/>
      <c r="D24" s="323"/>
      <c r="E24" s="323"/>
    </row>
    <row r="25" spans="2:5" ht="13.5" customHeight="1" x14ac:dyDescent="0.2">
      <c r="B25" s="1427"/>
      <c r="C25" s="323"/>
      <c r="D25" s="323"/>
      <c r="E25" s="323"/>
    </row>
    <row r="26" spans="2:5" ht="13.5" customHeight="1" x14ac:dyDescent="0.2">
      <c r="B26" s="1427"/>
      <c r="C26" s="323"/>
      <c r="D26" s="323"/>
      <c r="E26" s="323"/>
    </row>
    <row r="27" spans="2:5" ht="13.5" customHeight="1" x14ac:dyDescent="0.2">
      <c r="B27" s="1427"/>
      <c r="C27" s="323"/>
      <c r="D27" s="323"/>
      <c r="E27" s="323"/>
    </row>
    <row r="28" spans="2:5" ht="13.5" customHeight="1" x14ac:dyDescent="0.2">
      <c r="B28" s="1427"/>
      <c r="C28" s="323"/>
      <c r="D28" s="323"/>
      <c r="E28" s="323"/>
    </row>
    <row r="29" spans="2:5" ht="13.5" customHeight="1" x14ac:dyDescent="0.2">
      <c r="B29" s="1427"/>
      <c r="C29" s="323"/>
      <c r="D29" s="323"/>
      <c r="E29" s="323"/>
    </row>
    <row r="30" spans="2:5" ht="13.5" customHeight="1" x14ac:dyDescent="0.2">
      <c r="B30" s="1427"/>
      <c r="C30" s="323"/>
      <c r="D30" s="323"/>
      <c r="E30" s="323"/>
    </row>
    <row r="31" spans="2:5" ht="13.5" customHeight="1" x14ac:dyDescent="0.2">
      <c r="B31" s="1427"/>
      <c r="C31" s="323"/>
      <c r="D31" s="323"/>
      <c r="E31" s="323"/>
    </row>
    <row r="32" spans="2:5" ht="13.5" customHeight="1" x14ac:dyDescent="0.2">
      <c r="B32" s="1429"/>
      <c r="C32" s="323"/>
      <c r="D32" s="323"/>
      <c r="E32" s="323"/>
    </row>
    <row r="33" spans="2:5" ht="13.5" customHeight="1" x14ac:dyDescent="0.2">
      <c r="B33" s="1430"/>
      <c r="C33" s="323"/>
      <c r="D33" s="323"/>
      <c r="E33" s="323"/>
    </row>
    <row r="34" spans="2:5" ht="13.5" customHeight="1" x14ac:dyDescent="0.2">
      <c r="B34" s="1431"/>
      <c r="C34" s="323"/>
      <c r="D34" s="323"/>
      <c r="E34" s="323"/>
    </row>
    <row r="35" spans="2:5" ht="13.5" customHeight="1" x14ac:dyDescent="0.2">
      <c r="B35" s="1430"/>
      <c r="C35" s="323"/>
      <c r="D35" s="323"/>
      <c r="E35" s="323"/>
    </row>
    <row r="36" spans="2:5" ht="13.5" customHeight="1" x14ac:dyDescent="0.2">
      <c r="B36" s="1431"/>
      <c r="C36" s="323"/>
      <c r="D36" s="323"/>
      <c r="E36" s="323"/>
    </row>
    <row r="37" spans="2:5" ht="13.5" customHeight="1" x14ac:dyDescent="0.2">
      <c r="B37" s="1431"/>
      <c r="C37" s="323"/>
      <c r="D37" s="323"/>
      <c r="E37" s="323"/>
    </row>
    <row r="38" spans="2:5" ht="13.5" customHeight="1" x14ac:dyDescent="0.2">
      <c r="B38" s="1430"/>
      <c r="C38" s="323"/>
      <c r="D38" s="323"/>
      <c r="E38" s="323"/>
    </row>
    <row r="39" spans="2:5" ht="13.5" customHeight="1" x14ac:dyDescent="0.2">
      <c r="B39" s="1431"/>
      <c r="C39" s="323"/>
      <c r="D39" s="323"/>
      <c r="E39" s="323"/>
    </row>
    <row r="40" spans="2:5" ht="13.5" customHeight="1" x14ac:dyDescent="0.2">
      <c r="B40" s="1430"/>
      <c r="C40" s="323"/>
      <c r="D40" s="323"/>
      <c r="E40" s="323"/>
    </row>
    <row r="41" spans="2:5" ht="13.5" customHeight="1" x14ac:dyDescent="0.2">
      <c r="B41" s="1432"/>
      <c r="C41" s="323"/>
      <c r="D41" s="323"/>
      <c r="E41" s="323"/>
    </row>
    <row r="42" spans="2:5" ht="13.5" customHeight="1" x14ac:dyDescent="0.2">
      <c r="B42" s="1433"/>
      <c r="C42" s="323"/>
      <c r="D42" s="323"/>
      <c r="E42" s="323"/>
    </row>
    <row r="43" spans="2:5" ht="12.75" customHeight="1" x14ac:dyDescent="0.2">
      <c r="B43" s="1434"/>
      <c r="C43" s="1435"/>
      <c r="D43" s="1435"/>
      <c r="E43" s="323"/>
    </row>
    <row r="44" spans="2:5" ht="12.2" customHeight="1" x14ac:dyDescent="0.2">
      <c r="B44" s="1226" t="s">
        <v>1300</v>
      </c>
      <c r="C44" s="322"/>
    </row>
    <row r="45" spans="2:5" ht="12.2" customHeight="1" x14ac:dyDescent="0.2">
      <c r="B45" s="1436" t="s">
        <v>1743</v>
      </c>
    </row>
    <row r="46" spans="2:5" ht="12.2" customHeight="1" x14ac:dyDescent="0.2">
      <c r="B46" s="1436" t="s">
        <v>1744</v>
      </c>
    </row>
    <row r="47" spans="2:5" ht="12.2" customHeight="1" x14ac:dyDescent="0.2">
      <c r="B47" s="1437" t="s">
        <v>1299</v>
      </c>
    </row>
    <row r="48" spans="2:5" ht="12.2" customHeight="1" x14ac:dyDescent="0.2">
      <c r="B48" s="1437" t="s">
        <v>1298</v>
      </c>
    </row>
    <row r="49" spans="2:5" ht="12.2" customHeight="1" x14ac:dyDescent="0.2">
      <c r="B49" s="1437" t="s">
        <v>1297</v>
      </c>
    </row>
    <row r="50" spans="2:5" ht="12.2" customHeight="1" x14ac:dyDescent="0.2">
      <c r="B50" s="1437" t="s">
        <v>1296</v>
      </c>
    </row>
    <row r="53" spans="2:5" ht="12.75" customHeight="1" x14ac:dyDescent="0.2"/>
    <row r="54" spans="2:5" ht="12.75" customHeight="1" x14ac:dyDescent="0.2">
      <c r="B54" s="123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75"/>
    </row>
    <row r="68" spans="2:2" x14ac:dyDescent="0.2">
      <c r="B68" s="1269"/>
    </row>
    <row r="69" spans="2:2" x14ac:dyDescent="0.2">
      <c r="B69" s="1269"/>
    </row>
    <row r="70" spans="2:2" x14ac:dyDescent="0.2">
      <c r="B70" s="1376"/>
    </row>
    <row r="71" spans="2:2" x14ac:dyDescent="0.2">
      <c r="B71" s="1376"/>
    </row>
    <row r="72" spans="2:2" x14ac:dyDescent="0.2">
      <c r="B72" s="1376"/>
    </row>
    <row r="73" spans="2:2" x14ac:dyDescent="0.2">
      <c r="B73" s="1269"/>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52" colorId="8" zoomScale="110" zoomScaleNormal="110" workbookViewId="0">
      <selection activeCell="H37" sqref="H3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201" t="s">
        <v>385</v>
      </c>
      <c r="B1" s="2201"/>
      <c r="C1" s="2201"/>
      <c r="D1" s="2201"/>
      <c r="E1" s="2201"/>
      <c r="F1" s="2201"/>
      <c r="G1" s="2201"/>
      <c r="H1" s="2201"/>
      <c r="I1" s="2201"/>
      <c r="J1" s="2201"/>
      <c r="K1" s="2201"/>
      <c r="L1" s="2201"/>
      <c r="M1" s="2201"/>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1635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1922</v>
      </c>
      <c r="E7" s="222"/>
      <c r="F7" s="351" t="s">
        <v>271</v>
      </c>
      <c r="G7" s="222"/>
      <c r="H7" s="222"/>
      <c r="I7" s="222"/>
      <c r="J7" s="352">
        <v>1357903467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2.7217000000000002E-2</v>
      </c>
      <c r="E10" s="356" t="s">
        <v>1004</v>
      </c>
      <c r="F10" s="355">
        <v>2.9380000000000001E-3</v>
      </c>
      <c r="G10" s="356" t="s">
        <v>1004</v>
      </c>
      <c r="H10" s="355">
        <v>1.8828E-3</v>
      </c>
      <c r="I10" s="356" t="s">
        <v>1005</v>
      </c>
      <c r="J10" s="1685">
        <f>ROUND(D10+F10+H10,5)</f>
        <v>3.2039999999999999E-2</v>
      </c>
      <c r="K10" s="222"/>
      <c r="L10" s="355">
        <v>3.4999999999999997E-5</v>
      </c>
      <c r="M10" s="222"/>
    </row>
    <row r="11" spans="1:14" ht="7.5" customHeight="1" x14ac:dyDescent="0.2">
      <c r="B11" s="222"/>
      <c r="C11" s="222"/>
      <c r="D11" s="2211" t="str">
        <f>IF(SUM(J10)&lt;=0.0999999,"","Enter the Tax Rates by moving the decimal two places to the left.")</f>
        <v/>
      </c>
      <c r="E11" s="2212"/>
      <c r="F11" s="2212"/>
      <c r="G11" s="2212"/>
      <c r="H11" s="2212"/>
      <c r="I11" s="2212"/>
      <c r="J11" s="22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1636</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686">
        <f>SUM('Acct Summary 7-8'!C8,'Acct Summary 7-8'!D8,'Acct Summary 7-8'!F8,'Acct Summary 7-8'!I8)</f>
        <v>50981361</v>
      </c>
      <c r="E16" s="356"/>
      <c r="F16" s="1686">
        <f>SUM('Acct Summary 7-8'!C17,'Acct Summary 7-8'!D17,'Acct Summary 7-8'!F17)</f>
        <v>49688539</v>
      </c>
      <c r="G16" s="356"/>
      <c r="H16" s="1686">
        <f>SUM(D16-F16)</f>
        <v>1292822</v>
      </c>
      <c r="I16" s="222"/>
      <c r="J16" s="1686">
        <f>SUM('Acct Summary 7-8'!C81,'Acct Summary 7-8'!D81,'Acct Summary 7-8'!F81,'Acct Summary 7-8'!I81)</f>
        <v>32850928</v>
      </c>
      <c r="K16" s="222"/>
      <c r="L16" s="222"/>
      <c r="M16" s="222"/>
    </row>
    <row r="17" spans="1:13" ht="12.2" customHeight="1" x14ac:dyDescent="0.2">
      <c r="A17" s="349"/>
      <c r="B17" s="260" t="s">
        <v>8</v>
      </c>
      <c r="C17" s="237" t="s">
        <v>1383</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1637</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686">
        <f>'Short-Term Long-Term Debt 24'!F4</f>
        <v>0</v>
      </c>
      <c r="E22" s="356" t="s">
        <v>1004</v>
      </c>
      <c r="F22" s="1686">
        <f>'Short-Term Long-Term Debt 24'!F15</f>
        <v>0</v>
      </c>
      <c r="G22" s="356" t="s">
        <v>1004</v>
      </c>
      <c r="H22" s="1686">
        <f>'Short-Term Long-Term Debt 24'!F21</f>
        <v>0</v>
      </c>
      <c r="I22" s="356" t="s">
        <v>1004</v>
      </c>
      <c r="J22" s="1686">
        <f>'Short-Term Long-Term Debt 24'!F23</f>
        <v>0</v>
      </c>
      <c r="K22" s="356" t="s">
        <v>1004</v>
      </c>
      <c r="L22" s="1686">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686">
        <f>'Short-Term Long-Term Debt 24'!F27</f>
        <v>0</v>
      </c>
      <c r="E24" s="356" t="s">
        <v>1005</v>
      </c>
      <c r="F24" s="1687">
        <f>SUM(D22,F22,H22,J22,L22, D24)</f>
        <v>0</v>
      </c>
      <c r="G24" s="222"/>
      <c r="H24" s="222"/>
      <c r="I24" s="222"/>
      <c r="J24" s="222"/>
      <c r="K24" s="222"/>
      <c r="L24" s="222"/>
      <c r="M24" s="222"/>
    </row>
    <row r="25" spans="1:13" ht="11.25" customHeight="1" x14ac:dyDescent="0.2">
      <c r="A25" s="349"/>
      <c r="B25" s="181" t="s">
        <v>9</v>
      </c>
      <c r="C25" s="237" t="s">
        <v>2037</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2109</v>
      </c>
      <c r="C31" s="367" t="s">
        <v>585</v>
      </c>
      <c r="D31" s="237" t="s">
        <v>1071</v>
      </c>
      <c r="E31" s="222"/>
      <c r="F31" s="222"/>
      <c r="G31" s="363"/>
      <c r="H31" s="1688">
        <f>IF(B31="X",(J7*0.069),IF(B32="X",(J7*0.138),"Enter x in a.or b."))</f>
        <v>93695339.223000005</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687">
        <f>'Assets-Liab 5-6'!N36</f>
        <v>50039864</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202"/>
      <c r="C54" s="2203"/>
      <c r="D54" s="2203"/>
      <c r="E54" s="2203"/>
      <c r="F54" s="2203"/>
      <c r="G54" s="2203"/>
      <c r="H54" s="2203"/>
      <c r="I54" s="2203"/>
      <c r="J54" s="2203"/>
      <c r="K54" s="2203"/>
      <c r="L54" s="2204"/>
      <c r="M54" s="380"/>
    </row>
    <row r="55" spans="1:13" ht="12.75" customHeight="1" x14ac:dyDescent="0.2">
      <c r="B55" s="2205"/>
      <c r="C55" s="2206"/>
      <c r="D55" s="2206"/>
      <c r="E55" s="2206"/>
      <c r="F55" s="2206"/>
      <c r="G55" s="2206"/>
      <c r="H55" s="2206"/>
      <c r="I55" s="2206"/>
      <c r="J55" s="2206"/>
      <c r="K55" s="2206"/>
      <c r="L55" s="2207"/>
      <c r="M55" s="380"/>
    </row>
    <row r="56" spans="1:13" ht="12.75" customHeight="1" x14ac:dyDescent="0.2">
      <c r="B56" s="2205"/>
      <c r="C56" s="2206"/>
      <c r="D56" s="2206"/>
      <c r="E56" s="2206"/>
      <c r="F56" s="2206"/>
      <c r="G56" s="2206"/>
      <c r="H56" s="2206"/>
      <c r="I56" s="2206"/>
      <c r="J56" s="2206"/>
      <c r="K56" s="2206"/>
      <c r="L56" s="2207"/>
      <c r="M56" s="222"/>
    </row>
    <row r="57" spans="1:13" ht="12.75" customHeight="1" x14ac:dyDescent="0.2">
      <c r="B57" s="2205"/>
      <c r="C57" s="2206"/>
      <c r="D57" s="2206"/>
      <c r="E57" s="2206"/>
      <c r="F57" s="2206"/>
      <c r="G57" s="2206"/>
      <c r="H57" s="2206"/>
      <c r="I57" s="2206"/>
      <c r="J57" s="2206"/>
      <c r="K57" s="2206"/>
      <c r="L57" s="2207"/>
      <c r="M57" s="222"/>
    </row>
    <row r="58" spans="1:13" x14ac:dyDescent="0.2">
      <c r="B58" s="2208"/>
      <c r="C58" s="2209"/>
      <c r="D58" s="2209"/>
      <c r="E58" s="2209"/>
      <c r="F58" s="2209"/>
      <c r="G58" s="2209"/>
      <c r="H58" s="2209"/>
      <c r="I58" s="2209"/>
      <c r="J58" s="2209"/>
      <c r="K58" s="2209"/>
      <c r="L58" s="22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213"/>
      <c r="D61" s="22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9"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topLeftCell="A4" zoomScale="110" zoomScaleNormal="110" workbookViewId="0">
      <selection activeCell="AF22" sqref="AF2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216"/>
      <c r="B1" s="2217"/>
      <c r="C1" s="2217"/>
      <c r="D1" s="384"/>
      <c r="E1" s="384"/>
      <c r="F1" s="384"/>
      <c r="G1" s="384"/>
      <c r="H1" s="384"/>
      <c r="I1" s="384"/>
      <c r="J1" s="384"/>
      <c r="K1" s="384"/>
      <c r="L1" s="384"/>
      <c r="M1" s="384"/>
      <c r="N1" s="384"/>
      <c r="O1" s="2216"/>
      <c r="P1" s="2217"/>
      <c r="Q1" s="2217"/>
    </row>
    <row r="2" spans="1:18" ht="15" x14ac:dyDescent="0.2">
      <c r="A2" s="2220" t="s">
        <v>555</v>
      </c>
      <c r="B2" s="2220"/>
      <c r="C2" s="2220"/>
      <c r="D2" s="2220"/>
      <c r="E2" s="2220"/>
      <c r="F2" s="2220"/>
      <c r="G2" s="2220"/>
      <c r="H2" s="2220"/>
      <c r="I2" s="2220"/>
      <c r="J2" s="2220"/>
      <c r="K2" s="2220"/>
      <c r="L2" s="2220"/>
      <c r="M2" s="2220"/>
      <c r="N2" s="2220"/>
      <c r="O2" s="2220"/>
      <c r="P2" s="2220"/>
      <c r="Q2" s="2220"/>
      <c r="R2" s="2220"/>
    </row>
    <row r="3" spans="1:18" ht="12.75" x14ac:dyDescent="0.2">
      <c r="A3" s="2221" t="s">
        <v>1400</v>
      </c>
      <c r="B3" s="2221"/>
      <c r="C3" s="2221"/>
      <c r="D3" s="2221"/>
      <c r="E3" s="2221"/>
      <c r="F3" s="2221"/>
      <c r="G3" s="2221"/>
      <c r="H3" s="2221"/>
      <c r="I3" s="2221"/>
      <c r="J3" s="2221"/>
      <c r="K3" s="2221"/>
      <c r="L3" s="2221"/>
      <c r="M3" s="2221"/>
      <c r="N3" s="2221"/>
      <c r="O3" s="2221"/>
      <c r="P3" s="2221"/>
      <c r="Q3" s="2221"/>
      <c r="R3" s="2221"/>
    </row>
    <row r="4" spans="1:18" x14ac:dyDescent="0.2">
      <c r="A4" s="2222" t="s">
        <v>1541</v>
      </c>
      <c r="B4" s="2222"/>
      <c r="C4" s="2222"/>
      <c r="D4" s="2222"/>
      <c r="E4" s="2222"/>
      <c r="F4" s="2222"/>
      <c r="G4" s="2222"/>
      <c r="H4" s="2222"/>
      <c r="I4" s="2222"/>
      <c r="J4" s="2222"/>
      <c r="K4" s="2222"/>
      <c r="L4" s="2222"/>
      <c r="M4" s="2222"/>
      <c r="N4" s="2222"/>
      <c r="O4" s="2222"/>
      <c r="P4" s="2222"/>
      <c r="Q4" s="2222"/>
      <c r="R4" s="22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Hawthorn CCSD 73</v>
      </c>
      <c r="E7" s="391"/>
      <c r="G7" s="252"/>
      <c r="H7" s="387"/>
      <c r="I7" s="387"/>
      <c r="J7" s="387"/>
      <c r="K7" s="387"/>
      <c r="L7" s="329"/>
      <c r="M7" s="329"/>
      <c r="N7" s="329"/>
      <c r="O7" s="329"/>
      <c r="P7" s="329"/>
    </row>
    <row r="8" spans="1:18" ht="12.75" x14ac:dyDescent="0.2">
      <c r="A8" s="329"/>
      <c r="B8" s="329"/>
      <c r="C8" s="389" t="s">
        <v>1124</v>
      </c>
      <c r="D8" s="392">
        <f>COVER!A13</f>
        <v>34049073004</v>
      </c>
      <c r="E8" s="393"/>
      <c r="G8" s="329"/>
      <c r="H8" s="329"/>
      <c r="I8" s="329"/>
      <c r="J8" s="329"/>
      <c r="K8" s="329"/>
      <c r="L8" s="329"/>
      <c r="M8" s="329"/>
      <c r="N8" s="329"/>
      <c r="O8" s="329"/>
      <c r="P8" s="329"/>
    </row>
    <row r="9" spans="1:18" ht="12.75" x14ac:dyDescent="0.2">
      <c r="A9" s="329"/>
      <c r="B9" s="329"/>
      <c r="C9" s="389" t="s">
        <v>712</v>
      </c>
      <c r="D9" s="394" t="str">
        <f>COVER!A15</f>
        <v>LAKE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1352</v>
      </c>
      <c r="D12" s="218"/>
      <c r="E12" s="218"/>
      <c r="F12" s="218" t="s">
        <v>1090</v>
      </c>
      <c r="G12" s="402"/>
      <c r="H12" s="403">
        <f>SUM('Acct Summary 7-8'!C81+'Acct Summary 7-8'!D81+'Acct Summary 7-8'!F81+'Acct Summary 7-8'!I81+IF('Acct Summary 7-8'!G81&lt;0,'Acct Summary 7-8'!G81,"0")+IF('Acct Summary 7-8'!J81&lt;0,'Acct Summary 7-8'!J81,"0"))</f>
        <v>32850928</v>
      </c>
      <c r="I12" s="404"/>
      <c r="J12" s="404"/>
      <c r="K12" s="405">
        <f>TRUNC((H12/H13*100000),5)/100000</f>
        <v>0.64750604859999994</v>
      </c>
      <c r="L12" s="406"/>
      <c r="M12" s="360" t="s">
        <v>1143</v>
      </c>
      <c r="N12" s="360"/>
      <c r="O12" s="407">
        <v>0.35</v>
      </c>
      <c r="P12" s="218"/>
      <c r="Q12" s="218"/>
    </row>
    <row r="13" spans="1:18" s="408" customFormat="1" ht="12.75" x14ac:dyDescent="0.2">
      <c r="A13" s="218"/>
      <c r="B13" s="401"/>
      <c r="C13" s="2218" t="s">
        <v>1311</v>
      </c>
      <c r="D13" s="2219"/>
      <c r="E13" s="218"/>
      <c r="F13" s="409" t="s">
        <v>792</v>
      </c>
      <c r="G13" s="402"/>
      <c r="H13" s="403">
        <f>SUM('Acct Summary 7-8'!C8+'Acct Summary 7-8'!D8+'Acct Summary 7-8'!F8+'Acct Summary 7-8'!I8)+H14</f>
        <v>50734550</v>
      </c>
      <c r="I13" s="404"/>
      <c r="J13" s="404"/>
      <c r="K13" s="410"/>
      <c r="L13" s="218"/>
      <c r="M13" s="360" t="s">
        <v>1144</v>
      </c>
      <c r="N13" s="360"/>
      <c r="O13" s="411">
        <f>(O11*O12)</f>
        <v>1.4</v>
      </c>
      <c r="P13" s="218"/>
      <c r="Q13" s="218"/>
      <c r="R13" s="412"/>
    </row>
    <row r="14" spans="1:18" s="408" customFormat="1" ht="12.75" x14ac:dyDescent="0.2">
      <c r="A14" s="218"/>
      <c r="B14" s="401"/>
      <c r="C14" s="240" t="s">
        <v>1384</v>
      </c>
      <c r="D14" s="413"/>
      <c r="E14" s="218"/>
      <c r="F14" s="409" t="s">
        <v>794</v>
      </c>
      <c r="G14" s="402"/>
      <c r="H14" s="403">
        <f>-SUM('Acct Summary 7-8'!C54:D56,'Acct Summary 7-8'!C58:D60,'Acct Summary 7-8'!C62:D64,'Acct Summary 7-8'!C66:D68,'Acct Summary 7-8'!C70:D72,'Acct Summary 7-8'!C74:D74)</f>
        <v>-246811</v>
      </c>
      <c r="I14" s="404"/>
      <c r="J14" s="404"/>
      <c r="K14" s="410"/>
      <c r="L14" s="218"/>
      <c r="M14" s="360"/>
      <c r="N14" s="360"/>
      <c r="O14" s="411"/>
      <c r="P14" s="218"/>
      <c r="Q14" s="218"/>
      <c r="R14" s="412"/>
    </row>
    <row r="15" spans="1:18" ht="11.45" customHeight="1" x14ac:dyDescent="0.2">
      <c r="A15" s="216"/>
      <c r="B15" s="396"/>
      <c r="C15" s="218" t="s">
        <v>1398</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49688539</v>
      </c>
      <c r="I17" s="404"/>
      <c r="J17" s="416"/>
      <c r="K17" s="405">
        <f>TRUNC((H17/H18*100000),5)/100000</f>
        <v>0.97938266919999994</v>
      </c>
      <c r="L17" s="406"/>
      <c r="M17" s="417" t="s">
        <v>1170</v>
      </c>
      <c r="O17" s="418" t="str">
        <f>IF(AND(O16="2", J20 &gt; 2),"1",IF(AND(O16 = "1", J20 &gt; 2),"2",IF(AND(O16="1", J20 &gt;1),"1","0")))</f>
        <v>0</v>
      </c>
      <c r="P17" s="218"/>
    </row>
    <row r="18" spans="1:18" s="408" customFormat="1" ht="11.25" x14ac:dyDescent="0.2">
      <c r="A18" s="218"/>
      <c r="B18" s="401"/>
      <c r="C18" s="2218" t="s">
        <v>1304</v>
      </c>
      <c r="D18" s="2219"/>
      <c r="E18" s="218"/>
      <c r="F18" s="419" t="s">
        <v>793</v>
      </c>
      <c r="G18" s="402"/>
      <c r="H18" s="403">
        <f>SUM('Acct Summary 7-8'!C8+'Acct Summary 7-8'!D8+'Acct Summary 7-8'!F8+'Acct Summary 7-8'!I8)+H19</f>
        <v>50734550</v>
      </c>
      <c r="I18" s="404"/>
      <c r="J18" s="404"/>
      <c r="K18" s="410"/>
      <c r="L18" s="218"/>
      <c r="M18" s="360" t="s">
        <v>1143</v>
      </c>
      <c r="N18" s="360"/>
      <c r="O18" s="410">
        <v>0.35</v>
      </c>
      <c r="P18" s="218"/>
    </row>
    <row r="19" spans="1:18" s="408" customFormat="1" ht="11.25" x14ac:dyDescent="0.2">
      <c r="A19" s="218"/>
      <c r="B19" s="401"/>
      <c r="C19" s="240" t="s">
        <v>1384</v>
      </c>
      <c r="D19" s="413"/>
      <c r="E19" s="218"/>
      <c r="F19" s="419" t="s">
        <v>794</v>
      </c>
      <c r="G19" s="402"/>
      <c r="H19" s="403">
        <f>-SUM('Acct Summary 7-8'!C54:D56,'Acct Summary 7-8'!C58:D60,'Acct Summary 7-8'!C62:D64,'Acct Summary 7-8'!C66:D68,'Acct Summary 7-8'!C70:D72,'Acct Summary 7-8'!C74:D74)</f>
        <v>-246811</v>
      </c>
      <c r="I19" s="404"/>
      <c r="J19" s="404"/>
      <c r="K19" s="410"/>
      <c r="L19" s="218"/>
      <c r="M19" s="360"/>
      <c r="N19" s="360"/>
      <c r="O19" s="410"/>
      <c r="P19" s="218"/>
    </row>
    <row r="20" spans="1:18" s="408" customFormat="1" ht="12.75" x14ac:dyDescent="0.2">
      <c r="A20" s="218"/>
      <c r="B20" s="401"/>
      <c r="C20" s="218" t="s">
        <v>1398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215" t="s">
        <v>1399</v>
      </c>
      <c r="D24" s="2215"/>
      <c r="E24" s="218"/>
      <c r="F24" s="218" t="s">
        <v>444</v>
      </c>
      <c r="G24" s="402"/>
      <c r="H24" s="403">
        <f>SUM('Assets-Liab 5-6'!C4+'Assets-Liab 5-6'!D4+'Assets-Liab 5-6'!F4+'Assets-Liab 5-6'!I4+'Assets-Liab 5-6'!C5+'Assets-Liab 5-6'!D5+'Assets-Liab 5-6'!F5+'Assets-Liab 5-6'!I5)</f>
        <v>32956004</v>
      </c>
      <c r="I24" s="422"/>
      <c r="J24" s="422"/>
      <c r="K24" s="423">
        <f>TRUNC(((H24/H25*100000)/100000),2)</f>
        <v>238.77</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138023.71943999999</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1905</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36981143.020280004</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2</v>
      </c>
      <c r="P31" s="216"/>
    </row>
    <row r="32" spans="1:18" s="408" customFormat="1" ht="11.25" x14ac:dyDescent="0.2">
      <c r="A32" s="218"/>
      <c r="B32" s="401"/>
      <c r="C32" s="218" t="s">
        <v>846</v>
      </c>
      <c r="D32" s="218"/>
      <c r="E32" s="218"/>
      <c r="F32" s="218"/>
      <c r="G32" s="402"/>
      <c r="H32" s="403">
        <f>'FP Info 3'!H37</f>
        <v>50039864</v>
      </c>
      <c r="I32" s="420"/>
      <c r="J32" s="420"/>
      <c r="K32" s="423">
        <f>TRUNC(100-((((H32/H33*100))*100)/100),2)</f>
        <v>46.59</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93695339.223000005</v>
      </c>
      <c r="I33" s="420"/>
      <c r="J33" s="420"/>
      <c r="K33" s="403"/>
      <c r="L33" s="218"/>
      <c r="M33" s="435" t="s">
        <v>1144</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1960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1493</v>
      </c>
      <c r="I40" s="408"/>
      <c r="J40" s="408"/>
      <c r="K40" s="410"/>
      <c r="L40" s="408"/>
      <c r="M40" s="408"/>
      <c r="N40" s="408"/>
      <c r="O40" s="218"/>
      <c r="P40" s="216"/>
      <c r="Q40" s="216"/>
    </row>
    <row r="41" spans="1:17" x14ac:dyDescent="0.2">
      <c r="G41" s="448"/>
      <c r="H41" s="218" t="s">
        <v>1494</v>
      </c>
      <c r="M41" s="216"/>
      <c r="O41" s="216"/>
      <c r="P41" s="216"/>
      <c r="Q41" s="216"/>
    </row>
    <row r="42" spans="1:17" x14ac:dyDescent="0.2">
      <c r="A42" s="385" t="s">
        <v>1495</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9"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Normal="100" workbookViewId="0">
      <pane ySplit="2" topLeftCell="A13" activePane="bottomLeft" state="frozen"/>
      <selection activeCell="AF22" sqref="AF22"/>
      <selection pane="bottomLeft" activeCell="L19" sqref="L19"/>
    </sheetView>
  </sheetViews>
  <sheetFormatPr defaultColWidth="9.140625" defaultRowHeight="12.75" x14ac:dyDescent="0.2"/>
  <cols>
    <col min="1" max="1" width="47.28515625" style="494" customWidth="1"/>
    <col min="2" max="2" width="4.5703125" style="495" customWidth="1"/>
    <col min="3" max="14" width="13.7109375" style="457" customWidth="1"/>
    <col min="15" max="16384" width="9.140625" style="457"/>
  </cols>
  <sheetData>
    <row r="1" spans="1:14" x14ac:dyDescent="0.2">
      <c r="A1" s="2223" t="s">
        <v>1481</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224"/>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225" t="s">
        <v>972</v>
      </c>
      <c r="B3" s="2226"/>
      <c r="C3" s="1512"/>
      <c r="D3" s="1513"/>
      <c r="E3" s="1513"/>
      <c r="F3" s="1513"/>
      <c r="G3" s="1513"/>
      <c r="H3" s="1513"/>
      <c r="I3" s="1513"/>
      <c r="J3" s="1513"/>
      <c r="K3" s="1513"/>
      <c r="L3" s="1513"/>
      <c r="M3" s="1514"/>
      <c r="N3" s="1515"/>
    </row>
    <row r="4" spans="1:14" ht="13.5" customHeight="1" x14ac:dyDescent="0.2">
      <c r="A4" s="463" t="s">
        <v>1638</v>
      </c>
      <c r="B4" s="464"/>
      <c r="C4" s="1889">
        <v>2516002</v>
      </c>
      <c r="D4" s="1890">
        <v>1533445</v>
      </c>
      <c r="E4" s="1890">
        <v>1619626</v>
      </c>
      <c r="F4" s="1890">
        <v>619708</v>
      </c>
      <c r="G4" s="1890">
        <v>837406</v>
      </c>
      <c r="H4" s="1890">
        <v>3379170</v>
      </c>
      <c r="I4" s="1890">
        <v>6088438</v>
      </c>
      <c r="J4" s="1891">
        <v>282053</v>
      </c>
      <c r="K4" s="1970"/>
      <c r="L4" s="1890">
        <v>291354</v>
      </c>
      <c r="M4" s="467"/>
      <c r="N4" s="468"/>
    </row>
    <row r="5" spans="1:14" x14ac:dyDescent="0.2">
      <c r="A5" s="463" t="s">
        <v>991</v>
      </c>
      <c r="B5" s="469">
        <v>120</v>
      </c>
      <c r="C5" s="1889">
        <v>5190217</v>
      </c>
      <c r="D5" s="1890">
        <v>3164574</v>
      </c>
      <c r="E5" s="1890">
        <v>3342427</v>
      </c>
      <c r="F5" s="1890">
        <v>1278893</v>
      </c>
      <c r="G5" s="1890">
        <v>1728156</v>
      </c>
      <c r="H5" s="1890">
        <v>6973602</v>
      </c>
      <c r="I5" s="1890">
        <v>12564727</v>
      </c>
      <c r="J5" s="1891">
        <v>582075</v>
      </c>
      <c r="K5" s="1892"/>
      <c r="L5" s="470">
        <v>0</v>
      </c>
      <c r="M5" s="467"/>
      <c r="N5" s="468"/>
    </row>
    <row r="6" spans="1:14" ht="13.5" customHeight="1" x14ac:dyDescent="0.2">
      <c r="A6" s="471" t="s">
        <v>416</v>
      </c>
      <c r="B6" s="469">
        <v>130</v>
      </c>
      <c r="C6" s="1889">
        <v>0</v>
      </c>
      <c r="D6" s="1890">
        <v>0</v>
      </c>
      <c r="E6" s="1890">
        <v>0</v>
      </c>
      <c r="F6" s="1890">
        <v>0</v>
      </c>
      <c r="G6" s="1892">
        <v>0</v>
      </c>
      <c r="H6" s="1892">
        <v>0</v>
      </c>
      <c r="I6" s="1890">
        <v>0</v>
      </c>
      <c r="J6" s="1893">
        <v>0</v>
      </c>
      <c r="K6" s="1892"/>
      <c r="L6" s="472"/>
      <c r="M6" s="467"/>
      <c r="N6" s="468"/>
    </row>
    <row r="7" spans="1:14" ht="13.5" customHeight="1" x14ac:dyDescent="0.2">
      <c r="A7" s="471" t="s">
        <v>417</v>
      </c>
      <c r="B7" s="469">
        <v>140</v>
      </c>
      <c r="C7" s="1894">
        <v>0</v>
      </c>
      <c r="D7" s="1891">
        <v>0</v>
      </c>
      <c r="E7" s="1894">
        <v>0</v>
      </c>
      <c r="F7" s="1891">
        <v>0</v>
      </c>
      <c r="G7" s="1891">
        <v>0</v>
      </c>
      <c r="H7" s="1891">
        <v>0</v>
      </c>
      <c r="I7" s="1891">
        <v>0</v>
      </c>
      <c r="J7" s="1891">
        <v>0</v>
      </c>
      <c r="K7" s="1891"/>
      <c r="L7" s="473"/>
      <c r="M7" s="467"/>
      <c r="N7" s="468"/>
    </row>
    <row r="8" spans="1:14" ht="13.5" customHeight="1" x14ac:dyDescent="0.2">
      <c r="A8" s="471" t="s">
        <v>268</v>
      </c>
      <c r="B8" s="469">
        <v>150</v>
      </c>
      <c r="C8" s="1894">
        <v>0</v>
      </c>
      <c r="D8" s="1891">
        <v>0</v>
      </c>
      <c r="E8" s="1894">
        <v>0</v>
      </c>
      <c r="F8" s="1891">
        <v>0</v>
      </c>
      <c r="G8" s="1895">
        <v>0</v>
      </c>
      <c r="H8" s="1891">
        <v>0</v>
      </c>
      <c r="I8" s="1893">
        <v>0</v>
      </c>
      <c r="J8" s="1893">
        <v>0</v>
      </c>
      <c r="K8" s="1896"/>
      <c r="L8" s="476"/>
      <c r="M8" s="467"/>
      <c r="N8" s="468"/>
    </row>
    <row r="9" spans="1:14" ht="13.5" customHeight="1" x14ac:dyDescent="0.2">
      <c r="A9" s="471" t="s">
        <v>269</v>
      </c>
      <c r="B9" s="469">
        <v>160</v>
      </c>
      <c r="C9" s="1894">
        <v>0</v>
      </c>
      <c r="D9" s="1891">
        <v>0</v>
      </c>
      <c r="E9" s="1894">
        <v>0</v>
      </c>
      <c r="F9" s="1891">
        <v>0</v>
      </c>
      <c r="G9" s="1891">
        <v>0</v>
      </c>
      <c r="H9" s="1895">
        <v>0</v>
      </c>
      <c r="I9" s="1891">
        <v>0</v>
      </c>
      <c r="J9" s="1891">
        <v>0</v>
      </c>
      <c r="K9" s="1891"/>
      <c r="L9" s="466">
        <v>0</v>
      </c>
      <c r="M9" s="467"/>
      <c r="N9" s="468"/>
    </row>
    <row r="10" spans="1:14" ht="13.5" customHeight="1" x14ac:dyDescent="0.2">
      <c r="A10" s="471" t="s">
        <v>990</v>
      </c>
      <c r="B10" s="469">
        <v>170</v>
      </c>
      <c r="C10" s="1889">
        <v>0</v>
      </c>
      <c r="D10" s="1890">
        <v>0</v>
      </c>
      <c r="E10" s="1891">
        <v>0</v>
      </c>
      <c r="F10" s="1890">
        <v>0</v>
      </c>
      <c r="G10" s="1895">
        <v>0</v>
      </c>
      <c r="H10" s="1897">
        <v>0</v>
      </c>
      <c r="I10" s="1891">
        <v>0</v>
      </c>
      <c r="J10" s="1891">
        <v>0</v>
      </c>
      <c r="K10" s="1897"/>
      <c r="L10" s="477">
        <v>0</v>
      </c>
      <c r="M10" s="468"/>
      <c r="N10" s="468"/>
    </row>
    <row r="11" spans="1:14" ht="13.5" customHeight="1" x14ac:dyDescent="0.2">
      <c r="A11" s="471" t="s">
        <v>270</v>
      </c>
      <c r="B11" s="469">
        <v>180</v>
      </c>
      <c r="C11" s="1894">
        <v>0</v>
      </c>
      <c r="D11" s="1891">
        <v>0</v>
      </c>
      <c r="E11" s="1891">
        <v>0</v>
      </c>
      <c r="F11" s="1891">
        <v>0</v>
      </c>
      <c r="G11" s="1891">
        <v>0</v>
      </c>
      <c r="H11" s="1891">
        <v>0</v>
      </c>
      <c r="I11" s="1895">
        <v>0</v>
      </c>
      <c r="J11" s="1895">
        <v>0</v>
      </c>
      <c r="K11" s="1891"/>
      <c r="L11" s="466">
        <v>0</v>
      </c>
      <c r="M11" s="468"/>
      <c r="N11" s="468"/>
    </row>
    <row r="12" spans="1:14" ht="13.5" customHeight="1" x14ac:dyDescent="0.2">
      <c r="A12" s="471" t="s">
        <v>418</v>
      </c>
      <c r="B12" s="469">
        <v>190</v>
      </c>
      <c r="C12" s="1889">
        <v>0</v>
      </c>
      <c r="D12" s="1890">
        <v>0</v>
      </c>
      <c r="E12" s="1890">
        <v>0</v>
      </c>
      <c r="F12" s="1890">
        <v>0</v>
      </c>
      <c r="G12" s="1890">
        <v>0</v>
      </c>
      <c r="H12" s="1890">
        <v>0</v>
      </c>
      <c r="I12" s="1890">
        <v>0</v>
      </c>
      <c r="J12" s="1891">
        <v>0</v>
      </c>
      <c r="K12" s="1890"/>
      <c r="L12" s="465">
        <v>0</v>
      </c>
      <c r="M12" s="468"/>
      <c r="N12" s="468"/>
    </row>
    <row r="13" spans="1:14" ht="13.5" customHeight="1" thickBot="1" x14ac:dyDescent="0.25">
      <c r="A13" s="1689" t="s">
        <v>643</v>
      </c>
      <c r="B13" s="1662"/>
      <c r="C13" s="1690">
        <f>SUM(C4:C12)</f>
        <v>7706219</v>
      </c>
      <c r="D13" s="1690">
        <f t="shared" ref="D13:L13" si="0">SUM(D4:D12)</f>
        <v>4698019</v>
      </c>
      <c r="E13" s="1690">
        <f t="shared" si="0"/>
        <v>4962053</v>
      </c>
      <c r="F13" s="1690">
        <f t="shared" si="0"/>
        <v>1898601</v>
      </c>
      <c r="G13" s="1690">
        <f t="shared" si="0"/>
        <v>2565562</v>
      </c>
      <c r="H13" s="1690">
        <f t="shared" si="0"/>
        <v>10352772</v>
      </c>
      <c r="I13" s="1690">
        <f t="shared" si="0"/>
        <v>18653165</v>
      </c>
      <c r="J13" s="1690">
        <f t="shared" si="0"/>
        <v>864128</v>
      </c>
      <c r="K13" s="1690">
        <f t="shared" si="0"/>
        <v>0</v>
      </c>
      <c r="L13" s="1690">
        <f t="shared" si="0"/>
        <v>291354</v>
      </c>
      <c r="M13" s="467"/>
      <c r="N13" s="468"/>
    </row>
    <row r="14" spans="1:14" ht="18" customHeight="1" thickTop="1" x14ac:dyDescent="0.2">
      <c r="A14" s="2227" t="s">
        <v>147</v>
      </c>
      <c r="B14" s="2228"/>
      <c r="C14" s="1516"/>
      <c r="D14" s="1517"/>
      <c r="E14" s="1517"/>
      <c r="F14" s="1517"/>
      <c r="G14" s="1517"/>
      <c r="H14" s="1517"/>
      <c r="I14" s="1517"/>
      <c r="J14" s="1517"/>
      <c r="K14" s="1517"/>
      <c r="L14" s="1517"/>
      <c r="M14" s="1518"/>
      <c r="N14" s="1519"/>
    </row>
    <row r="15" spans="1:14" s="481" customFormat="1" ht="12.75" customHeight="1" x14ac:dyDescent="0.2">
      <c r="A15" s="478" t="s">
        <v>1388</v>
      </c>
      <c r="B15" s="479">
        <v>210</v>
      </c>
      <c r="C15" s="473"/>
      <c r="D15" s="473"/>
      <c r="E15" s="473"/>
      <c r="F15" s="473"/>
      <c r="G15" s="473"/>
      <c r="H15" s="473"/>
      <c r="I15" s="473"/>
      <c r="J15" s="473"/>
      <c r="K15" s="473"/>
      <c r="L15" s="473"/>
      <c r="M15" s="474"/>
      <c r="N15" s="480"/>
    </row>
    <row r="16" spans="1:14" s="481" customFormat="1" ht="12.75" customHeight="1" x14ac:dyDescent="0.2">
      <c r="A16" s="478" t="s">
        <v>1389</v>
      </c>
      <c r="B16" s="479">
        <v>220</v>
      </c>
      <c r="C16" s="473"/>
      <c r="D16" s="473"/>
      <c r="E16" s="473"/>
      <c r="F16" s="473"/>
      <c r="G16" s="473"/>
      <c r="H16" s="473"/>
      <c r="I16" s="473"/>
      <c r="J16" s="473"/>
      <c r="K16" s="473"/>
      <c r="L16" s="473"/>
      <c r="M16" s="1891">
        <v>1480528</v>
      </c>
      <c r="N16" s="480"/>
    </row>
    <row r="17" spans="1:14" s="481" customFormat="1" ht="12.75" customHeight="1" x14ac:dyDescent="0.2">
      <c r="A17" s="478" t="s">
        <v>1390</v>
      </c>
      <c r="B17" s="479">
        <v>230</v>
      </c>
      <c r="C17" s="473"/>
      <c r="D17" s="473"/>
      <c r="E17" s="473"/>
      <c r="F17" s="473"/>
      <c r="G17" s="473"/>
      <c r="H17" s="473"/>
      <c r="I17" s="473"/>
      <c r="J17" s="473"/>
      <c r="K17" s="473"/>
      <c r="L17" s="473"/>
      <c r="M17" s="1891">
        <v>91090274</v>
      </c>
      <c r="N17" s="480"/>
    </row>
    <row r="18" spans="1:14" s="481" customFormat="1" ht="12.75" customHeight="1" x14ac:dyDescent="0.2">
      <c r="A18" s="478" t="s">
        <v>1391</v>
      </c>
      <c r="B18" s="479">
        <v>240</v>
      </c>
      <c r="C18" s="473"/>
      <c r="D18" s="473"/>
      <c r="E18" s="473"/>
      <c r="F18" s="473"/>
      <c r="G18" s="473"/>
      <c r="H18" s="473"/>
      <c r="I18" s="473"/>
      <c r="J18" s="473"/>
      <c r="K18" s="473"/>
      <c r="L18" s="473"/>
      <c r="M18" s="1891">
        <v>2014013</v>
      </c>
      <c r="N18" s="480"/>
    </row>
    <row r="19" spans="1:14" s="481" customFormat="1" ht="12.75" customHeight="1" x14ac:dyDescent="0.2">
      <c r="A19" s="478" t="s">
        <v>1392</v>
      </c>
      <c r="B19" s="479">
        <v>250</v>
      </c>
      <c r="C19" s="473"/>
      <c r="D19" s="473"/>
      <c r="E19" s="473"/>
      <c r="F19" s="473"/>
      <c r="G19" s="473"/>
      <c r="H19" s="473"/>
      <c r="I19" s="473"/>
      <c r="J19" s="473"/>
      <c r="K19" s="473"/>
      <c r="L19" s="473"/>
      <c r="M19" s="1891">
        <v>3426350</v>
      </c>
      <c r="N19" s="480"/>
    </row>
    <row r="20" spans="1:14" s="481" customFormat="1" ht="12.75" customHeight="1" x14ac:dyDescent="0.2">
      <c r="A20" s="478" t="s">
        <v>1393</v>
      </c>
      <c r="B20" s="479">
        <v>260</v>
      </c>
      <c r="C20" s="473"/>
      <c r="D20" s="473"/>
      <c r="E20" s="473"/>
      <c r="F20" s="473"/>
      <c r="G20" s="473"/>
      <c r="H20" s="473"/>
      <c r="I20" s="473"/>
      <c r="J20" s="473"/>
      <c r="K20" s="473"/>
      <c r="L20" s="473"/>
      <c r="M20" s="1891">
        <v>5595664</v>
      </c>
      <c r="N20" s="480"/>
    </row>
    <row r="21" spans="1:14" s="481" customFormat="1" ht="12.75" customHeight="1" x14ac:dyDescent="0.2">
      <c r="A21" s="478" t="s">
        <v>1394</v>
      </c>
      <c r="B21" s="479">
        <v>340</v>
      </c>
      <c r="C21" s="473"/>
      <c r="D21" s="473"/>
      <c r="E21" s="473"/>
      <c r="F21" s="473"/>
      <c r="G21" s="473"/>
      <c r="H21" s="473"/>
      <c r="I21" s="473"/>
      <c r="J21" s="473"/>
      <c r="K21" s="473"/>
      <c r="L21" s="473"/>
      <c r="M21" s="482"/>
      <c r="N21" s="1891">
        <f>+E39</f>
        <v>4962053</v>
      </c>
    </row>
    <row r="22" spans="1:14" s="481" customFormat="1" ht="12.75" customHeight="1" x14ac:dyDescent="0.2">
      <c r="A22" s="478" t="s">
        <v>1395</v>
      </c>
      <c r="B22" s="479">
        <v>350</v>
      </c>
      <c r="C22" s="473"/>
      <c r="D22" s="473"/>
      <c r="E22" s="473"/>
      <c r="F22" s="473"/>
      <c r="G22" s="473"/>
      <c r="H22" s="473"/>
      <c r="I22" s="473"/>
      <c r="J22" s="473"/>
      <c r="K22" s="473"/>
      <c r="L22" s="473"/>
      <c r="M22" s="482"/>
      <c r="N22" s="483">
        <f>'Short-Term Long-Term Debt 24'!J49</f>
        <v>45077811</v>
      </c>
    </row>
    <row r="23" spans="1:14" ht="13.5" customHeight="1" thickBot="1" x14ac:dyDescent="0.25">
      <c r="A23" s="1689" t="s">
        <v>642</v>
      </c>
      <c r="B23" s="1694"/>
      <c r="C23" s="467"/>
      <c r="D23" s="467"/>
      <c r="E23" s="467"/>
      <c r="F23" s="467"/>
      <c r="G23" s="467"/>
      <c r="H23" s="467"/>
      <c r="I23" s="467"/>
      <c r="J23" s="467"/>
      <c r="K23" s="467"/>
      <c r="L23" s="467"/>
      <c r="M23" s="1641">
        <f>SUM(M15:M22)</f>
        <v>103606829</v>
      </c>
      <c r="N23" s="1641">
        <f>SUM(N21:N22)</f>
        <v>50039864</v>
      </c>
    </row>
    <row r="24" spans="1:14" ht="18" customHeight="1" thickTop="1" x14ac:dyDescent="0.2">
      <c r="A24" s="2229" t="s">
        <v>597</v>
      </c>
      <c r="B24" s="2230"/>
      <c r="C24" s="1521"/>
      <c r="D24" s="1518"/>
      <c r="E24" s="1518"/>
      <c r="F24" s="1518"/>
      <c r="G24" s="1518"/>
      <c r="H24" s="1518"/>
      <c r="I24" s="1518"/>
      <c r="J24" s="1518"/>
      <c r="K24" s="1518"/>
      <c r="L24" s="1518"/>
      <c r="M24" s="1517"/>
      <c r="N24" s="1522"/>
    </row>
    <row r="25" spans="1:14" x14ac:dyDescent="0.2">
      <c r="A25" s="471" t="s">
        <v>644</v>
      </c>
      <c r="B25" s="469">
        <v>410</v>
      </c>
      <c r="C25" s="474">
        <v>0</v>
      </c>
      <c r="D25" s="474">
        <v>0</v>
      </c>
      <c r="E25" s="474">
        <v>0</v>
      </c>
      <c r="F25" s="474">
        <v>0</v>
      </c>
      <c r="G25" s="474">
        <v>0</v>
      </c>
      <c r="H25" s="1896">
        <v>0</v>
      </c>
      <c r="I25" s="467"/>
      <c r="J25" s="474">
        <v>0</v>
      </c>
      <c r="K25" s="474"/>
      <c r="L25" s="467"/>
      <c r="M25" s="467"/>
      <c r="N25" s="467"/>
    </row>
    <row r="26" spans="1:14" x14ac:dyDescent="0.2">
      <c r="A26" s="471" t="s">
        <v>645</v>
      </c>
      <c r="B26" s="469">
        <v>420</v>
      </c>
      <c r="C26" s="1891">
        <v>0</v>
      </c>
      <c r="D26" s="1891">
        <v>0</v>
      </c>
      <c r="E26" s="1891">
        <v>0</v>
      </c>
      <c r="F26" s="1891">
        <v>0</v>
      </c>
      <c r="G26" s="1891">
        <v>0</v>
      </c>
      <c r="H26" s="1891">
        <v>0</v>
      </c>
      <c r="I26" s="1891">
        <v>0</v>
      </c>
      <c r="J26" s="1893">
        <v>0</v>
      </c>
      <c r="K26" s="1891"/>
      <c r="L26" s="467"/>
      <c r="M26" s="467"/>
      <c r="N26" s="467"/>
    </row>
    <row r="27" spans="1:14" ht="13.5" customHeight="1" x14ac:dyDescent="0.2">
      <c r="A27" s="471" t="s">
        <v>646</v>
      </c>
      <c r="B27" s="469">
        <v>430</v>
      </c>
      <c r="C27" s="1891">
        <v>0</v>
      </c>
      <c r="D27" s="1891">
        <v>0</v>
      </c>
      <c r="E27" s="1891">
        <v>0</v>
      </c>
      <c r="F27" s="1891">
        <v>0</v>
      </c>
      <c r="G27" s="1891">
        <v>0</v>
      </c>
      <c r="H27" s="1891">
        <v>0</v>
      </c>
      <c r="I27" s="1891">
        <v>0</v>
      </c>
      <c r="J27" s="1891">
        <v>0</v>
      </c>
      <c r="K27" s="1891"/>
      <c r="L27" s="467"/>
      <c r="M27" s="467"/>
      <c r="N27" s="467"/>
    </row>
    <row r="28" spans="1:14" ht="13.5" customHeight="1" x14ac:dyDescent="0.2">
      <c r="A28" s="471" t="s">
        <v>647</v>
      </c>
      <c r="B28" s="469">
        <v>440</v>
      </c>
      <c r="C28" s="1891">
        <v>0</v>
      </c>
      <c r="D28" s="1891">
        <v>0</v>
      </c>
      <c r="E28" s="1893">
        <v>0</v>
      </c>
      <c r="F28" s="1891">
        <v>0</v>
      </c>
      <c r="G28" s="1893">
        <v>0</v>
      </c>
      <c r="H28" s="1893">
        <v>0</v>
      </c>
      <c r="I28" s="1891">
        <v>0</v>
      </c>
      <c r="J28" s="1891">
        <v>0</v>
      </c>
      <c r="K28" s="1896"/>
      <c r="L28" s="467"/>
      <c r="M28" s="467"/>
      <c r="N28" s="467"/>
    </row>
    <row r="29" spans="1:14" ht="13.5" customHeight="1" x14ac:dyDescent="0.2">
      <c r="A29" s="471" t="s">
        <v>648</v>
      </c>
      <c r="B29" s="469">
        <v>460</v>
      </c>
      <c r="C29" s="1898">
        <v>0</v>
      </c>
      <c r="D29" s="1899">
        <v>0</v>
      </c>
      <c r="E29" s="1893">
        <v>0</v>
      </c>
      <c r="F29" s="1891">
        <v>0</v>
      </c>
      <c r="G29" s="1893">
        <v>0</v>
      </c>
      <c r="H29" s="1893">
        <v>0</v>
      </c>
      <c r="I29" s="1893">
        <v>0</v>
      </c>
      <c r="J29" s="1893">
        <v>0</v>
      </c>
      <c r="K29" s="1891"/>
      <c r="L29" s="467"/>
      <c r="M29" s="467"/>
      <c r="N29" s="467"/>
    </row>
    <row r="30" spans="1:14" ht="13.5" customHeight="1" x14ac:dyDescent="0.2">
      <c r="A30" s="471" t="s">
        <v>649</v>
      </c>
      <c r="B30" s="469">
        <v>470</v>
      </c>
      <c r="C30" s="1891">
        <v>0</v>
      </c>
      <c r="D30" s="1893">
        <v>0</v>
      </c>
      <c r="E30" s="1891">
        <v>0</v>
      </c>
      <c r="F30" s="1891">
        <v>0</v>
      </c>
      <c r="G30" s="1891">
        <v>0</v>
      </c>
      <c r="H30" s="1891">
        <v>0</v>
      </c>
      <c r="I30" s="1891">
        <v>0</v>
      </c>
      <c r="J30" s="1891">
        <v>0</v>
      </c>
      <c r="K30" s="474"/>
      <c r="L30" s="467"/>
      <c r="M30" s="467"/>
      <c r="N30" s="467"/>
    </row>
    <row r="31" spans="1:14" ht="13.5" customHeight="1" x14ac:dyDescent="0.2">
      <c r="A31" s="471" t="s">
        <v>650</v>
      </c>
      <c r="B31" s="469">
        <v>480</v>
      </c>
      <c r="C31" s="1890">
        <v>105076</v>
      </c>
      <c r="D31" s="1891">
        <v>0</v>
      </c>
      <c r="E31" s="1891">
        <v>0</v>
      </c>
      <c r="F31" s="1890">
        <v>0</v>
      </c>
      <c r="G31" s="1891">
        <v>0</v>
      </c>
      <c r="H31" s="1891">
        <v>0</v>
      </c>
      <c r="I31" s="1891">
        <v>0</v>
      </c>
      <c r="J31" s="1891">
        <v>0</v>
      </c>
      <c r="K31" s="1891"/>
      <c r="L31" s="467"/>
      <c r="M31" s="467"/>
      <c r="N31" s="467"/>
    </row>
    <row r="32" spans="1:14" ht="13.5" customHeight="1" x14ac:dyDescent="0.2">
      <c r="A32" s="484" t="s">
        <v>651</v>
      </c>
      <c r="B32" s="485">
        <v>490</v>
      </c>
      <c r="C32" s="1900">
        <v>0</v>
      </c>
      <c r="D32" s="1900">
        <v>0</v>
      </c>
      <c r="E32" s="1893">
        <v>0</v>
      </c>
      <c r="F32" s="1893">
        <v>0</v>
      </c>
      <c r="G32" s="1893">
        <v>0</v>
      </c>
      <c r="H32" s="1893">
        <v>0</v>
      </c>
      <c r="I32" s="1893">
        <v>0</v>
      </c>
      <c r="J32" s="1893">
        <v>0</v>
      </c>
      <c r="K32" s="1896"/>
      <c r="L32" s="467"/>
      <c r="M32" s="467"/>
      <c r="N32" s="467"/>
    </row>
    <row r="33" spans="1:14" ht="13.5" customHeight="1" x14ac:dyDescent="0.2">
      <c r="A33" s="486" t="s">
        <v>302</v>
      </c>
      <c r="B33" s="485">
        <v>493</v>
      </c>
      <c r="C33" s="1891">
        <v>0</v>
      </c>
      <c r="D33" s="1891">
        <v>0</v>
      </c>
      <c r="E33" s="1891">
        <v>0</v>
      </c>
      <c r="F33" s="1891">
        <v>0</v>
      </c>
      <c r="G33" s="1891">
        <v>0</v>
      </c>
      <c r="H33" s="1891">
        <v>0</v>
      </c>
      <c r="I33" s="1891">
        <v>0</v>
      </c>
      <c r="J33" s="1891">
        <v>0</v>
      </c>
      <c r="K33" s="1891"/>
      <c r="L33" s="1891">
        <v>291354</v>
      </c>
      <c r="M33" s="467"/>
      <c r="N33" s="468"/>
    </row>
    <row r="34" spans="1:14" ht="13.5" customHeight="1" thickBot="1" x14ac:dyDescent="0.25">
      <c r="A34" s="1691" t="s">
        <v>653</v>
      </c>
      <c r="B34" s="1692"/>
      <c r="C34" s="1693">
        <f>SUM(C25:C33)</f>
        <v>105076</v>
      </c>
      <c r="D34" s="1693">
        <f t="shared" ref="D34:K34" si="1">SUM(D25:D33)</f>
        <v>0</v>
      </c>
      <c r="E34" s="1693">
        <f t="shared" si="1"/>
        <v>0</v>
      </c>
      <c r="F34" s="1693">
        <f t="shared" si="1"/>
        <v>0</v>
      </c>
      <c r="G34" s="1693">
        <f t="shared" si="1"/>
        <v>0</v>
      </c>
      <c r="H34" s="1693">
        <f t="shared" si="1"/>
        <v>0</v>
      </c>
      <c r="I34" s="1693">
        <f t="shared" si="1"/>
        <v>0</v>
      </c>
      <c r="J34" s="1693">
        <f t="shared" si="1"/>
        <v>0</v>
      </c>
      <c r="K34" s="1693">
        <f t="shared" si="1"/>
        <v>0</v>
      </c>
      <c r="L34" s="1674">
        <f>SUM(L33)</f>
        <v>291354</v>
      </c>
      <c r="M34" s="467"/>
      <c r="N34" s="476"/>
    </row>
    <row r="35" spans="1:14" ht="18" customHeight="1" thickTop="1" x14ac:dyDescent="0.2">
      <c r="A35" s="2231" t="s">
        <v>528</v>
      </c>
      <c r="B35" s="2232"/>
      <c r="C35" s="1523"/>
      <c r="D35" s="1524"/>
      <c r="E35" s="1524"/>
      <c r="F35" s="1524"/>
      <c r="G35" s="1524"/>
      <c r="H35" s="1524"/>
      <c r="I35" s="1524"/>
      <c r="J35" s="1524"/>
      <c r="K35" s="1524"/>
      <c r="L35" s="1524"/>
      <c r="M35" s="1518"/>
      <c r="N35" s="1522"/>
    </row>
    <row r="36" spans="1:14" x14ac:dyDescent="0.2">
      <c r="A36" s="487" t="s">
        <v>1</v>
      </c>
      <c r="B36" s="469">
        <v>511</v>
      </c>
      <c r="C36" s="473"/>
      <c r="D36" s="473"/>
      <c r="E36" s="473"/>
      <c r="F36" s="473"/>
      <c r="G36" s="473"/>
      <c r="H36" s="473"/>
      <c r="I36" s="473"/>
      <c r="J36" s="473"/>
      <c r="K36" s="473"/>
      <c r="L36" s="467"/>
      <c r="M36" s="467"/>
      <c r="N36" s="488">
        <f>'Short-Term Long-Term Debt 24'!I49</f>
        <v>50039864</v>
      </c>
    </row>
    <row r="37" spans="1:14" ht="13.5" thickBot="1" x14ac:dyDescent="0.25">
      <c r="A37" s="1689" t="s">
        <v>652</v>
      </c>
      <c r="B37" s="1694"/>
      <c r="C37" s="473"/>
      <c r="D37" s="473"/>
      <c r="E37" s="473"/>
      <c r="F37" s="473"/>
      <c r="G37" s="473"/>
      <c r="H37" s="473"/>
      <c r="I37" s="473"/>
      <c r="J37" s="473"/>
      <c r="K37" s="473"/>
      <c r="L37" s="476"/>
      <c r="M37" s="467"/>
      <c r="N37" s="1641">
        <f>SUM(N36:N36)</f>
        <v>50039864</v>
      </c>
    </row>
    <row r="38" spans="1:14" s="329" customFormat="1" ht="13.5" customHeight="1" thickTop="1" x14ac:dyDescent="0.2">
      <c r="A38" s="489" t="s">
        <v>419</v>
      </c>
      <c r="B38" s="479">
        <v>714</v>
      </c>
      <c r="C38" s="1890"/>
      <c r="D38" s="1890"/>
      <c r="E38" s="1890"/>
      <c r="F38" s="1890"/>
      <c r="G38" s="1890"/>
      <c r="H38" s="1890"/>
      <c r="I38" s="1890"/>
      <c r="J38" s="1891"/>
      <c r="K38" s="1890"/>
      <c r="L38" s="477">
        <v>0</v>
      </c>
      <c r="M38" s="490"/>
      <c r="N38" s="490"/>
    </row>
    <row r="39" spans="1:14" s="329" customFormat="1" ht="13.5" customHeight="1" x14ac:dyDescent="0.2">
      <c r="A39" s="489" t="s">
        <v>341</v>
      </c>
      <c r="B39" s="479">
        <v>730</v>
      </c>
      <c r="C39" s="1890">
        <v>7601143</v>
      </c>
      <c r="D39" s="1890">
        <v>4698019</v>
      </c>
      <c r="E39" s="1890">
        <v>4962053</v>
      </c>
      <c r="F39" s="1890">
        <v>1898601</v>
      </c>
      <c r="G39" s="1890">
        <v>2565562</v>
      </c>
      <c r="H39" s="1890">
        <v>10352772</v>
      </c>
      <c r="I39" s="1890">
        <v>18653165</v>
      </c>
      <c r="J39" s="1891">
        <v>864128</v>
      </c>
      <c r="K39" s="1890"/>
      <c r="L39" s="1890">
        <v>0</v>
      </c>
      <c r="M39" s="490"/>
      <c r="N39" s="490"/>
    </row>
    <row r="40" spans="1:14" s="329" customFormat="1" ht="13.5" customHeight="1" x14ac:dyDescent="0.2">
      <c r="A40" s="491" t="s">
        <v>148</v>
      </c>
      <c r="B40" s="492"/>
      <c r="C40" s="493"/>
      <c r="D40" s="493"/>
      <c r="E40" s="493"/>
      <c r="F40" s="493"/>
      <c r="G40" s="493"/>
      <c r="H40" s="493"/>
      <c r="I40" s="493"/>
      <c r="J40" s="493"/>
      <c r="K40" s="493"/>
      <c r="L40" s="493"/>
      <c r="M40" s="1901">
        <v>103606829</v>
      </c>
      <c r="N40" s="490"/>
    </row>
    <row r="41" spans="1:14" ht="13.5" customHeight="1" thickBot="1" x14ac:dyDescent="0.25">
      <c r="A41" s="1689" t="s">
        <v>654</v>
      </c>
      <c r="B41" s="1659"/>
      <c r="C41" s="1641">
        <f>(SUM(C34,C37,C38,C39))</f>
        <v>7706219</v>
      </c>
      <c r="D41" s="1641">
        <f t="shared" ref="D41:L41" si="2">SUM(D34,D37,D38:D39)</f>
        <v>4698019</v>
      </c>
      <c r="E41" s="1641">
        <f t="shared" si="2"/>
        <v>4962053</v>
      </c>
      <c r="F41" s="1641">
        <f t="shared" si="2"/>
        <v>1898601</v>
      </c>
      <c r="G41" s="1641">
        <f t="shared" si="2"/>
        <v>2565562</v>
      </c>
      <c r="H41" s="1641">
        <f t="shared" si="2"/>
        <v>10352772</v>
      </c>
      <c r="I41" s="1641">
        <f t="shared" si="2"/>
        <v>18653165</v>
      </c>
      <c r="J41" s="1641">
        <f t="shared" si="2"/>
        <v>864128</v>
      </c>
      <c r="K41" s="1641">
        <f t="shared" si="2"/>
        <v>0</v>
      </c>
      <c r="L41" s="1641">
        <f t="shared" si="2"/>
        <v>291354</v>
      </c>
      <c r="M41" s="1641">
        <f>SUM(M40)</f>
        <v>103606829</v>
      </c>
      <c r="N41" s="1641">
        <f>SUM(N37)</f>
        <v>50039864</v>
      </c>
    </row>
    <row r="42" spans="1:14" ht="13.5" thickTop="1" x14ac:dyDescent="0.2"/>
    <row r="43" spans="1:14" x14ac:dyDescent="0.2">
      <c r="A43" s="247"/>
      <c r="C43" s="496"/>
    </row>
    <row r="44" spans="1:14" x14ac:dyDescent="0.2">
      <c r="A44" s="247"/>
      <c r="C44" s="496"/>
    </row>
  </sheetData>
  <sheetProtection password="F60E" sheet="1" objects="1" scenarios="1"/>
  <mergeCells count="5">
    <mergeCell ref="A1:A2"/>
    <mergeCell ref="A3:B3"/>
    <mergeCell ref="A14:B14"/>
    <mergeCell ref="A24:B24"/>
    <mergeCell ref="A35:B35"/>
  </mergeCells>
  <phoneticPr fontId="19"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55" activePane="bottomLeft" state="frozen"/>
      <selection activeCell="AF22" sqref="AF22"/>
      <selection pane="bottomLeft" activeCell="J84" sqref="J84"/>
    </sheetView>
  </sheetViews>
  <sheetFormatPr defaultColWidth="9.140625" defaultRowHeight="12.75" x14ac:dyDescent="0.2"/>
  <cols>
    <col min="1" max="1" width="55.85546875" style="494" customWidth="1"/>
    <col min="2" max="2" width="4.7109375" style="495" customWidth="1"/>
    <col min="3" max="11" width="13.7109375" style="457" customWidth="1"/>
    <col min="12" max="12" width="2" style="457" customWidth="1"/>
    <col min="13" max="16384" width="9.140625" style="457"/>
  </cols>
  <sheetData>
    <row r="1" spans="1:13" ht="12.75" customHeight="1" x14ac:dyDescent="0.2">
      <c r="A1" s="2241" t="s">
        <v>1639</v>
      </c>
      <c r="B1" s="452"/>
      <c r="C1" s="497" t="s">
        <v>424</v>
      </c>
      <c r="D1" s="497" t="s">
        <v>425</v>
      </c>
      <c r="E1" s="497" t="s">
        <v>426</v>
      </c>
      <c r="F1" s="497" t="s">
        <v>427</v>
      </c>
      <c r="G1" s="497" t="s">
        <v>428</v>
      </c>
      <c r="H1" s="497" t="s">
        <v>429</v>
      </c>
      <c r="I1" s="497" t="s">
        <v>430</v>
      </c>
      <c r="J1" s="497" t="s">
        <v>431</v>
      </c>
      <c r="K1" s="497" t="s">
        <v>755</v>
      </c>
      <c r="L1" s="494"/>
    </row>
    <row r="2" spans="1:13" s="498" customFormat="1" ht="37.5" customHeight="1" x14ac:dyDescent="0.2">
      <c r="A2" s="2242"/>
      <c r="B2" s="458" t="s">
        <v>377</v>
      </c>
      <c r="C2" s="459" t="s">
        <v>1154</v>
      </c>
      <c r="D2" s="459" t="s">
        <v>869</v>
      </c>
      <c r="E2" s="459" t="s">
        <v>437</v>
      </c>
      <c r="F2" s="459" t="s">
        <v>155</v>
      </c>
      <c r="G2" s="459" t="s">
        <v>988</v>
      </c>
      <c r="H2" s="459" t="s">
        <v>436</v>
      </c>
      <c r="I2" s="459" t="s">
        <v>406</v>
      </c>
      <c r="J2" s="459" t="s">
        <v>435</v>
      </c>
      <c r="K2" s="459" t="s">
        <v>157</v>
      </c>
      <c r="L2" s="495"/>
    </row>
    <row r="3" spans="1:13" s="500" customFormat="1" ht="16.7" customHeight="1" x14ac:dyDescent="0.2">
      <c r="A3" s="2253" t="s">
        <v>1174</v>
      </c>
      <c r="B3" s="2254"/>
      <c r="C3" s="1526"/>
      <c r="D3" s="1527"/>
      <c r="E3" s="1527"/>
      <c r="F3" s="1527"/>
      <c r="G3" s="1527"/>
      <c r="H3" s="1527"/>
      <c r="I3" s="1527"/>
      <c r="J3" s="1527"/>
      <c r="K3" s="1528"/>
      <c r="L3" s="499"/>
    </row>
    <row r="4" spans="1:13" ht="15.75" customHeight="1" x14ac:dyDescent="0.2">
      <c r="A4" s="1881" t="s">
        <v>1486</v>
      </c>
      <c r="B4" s="1882">
        <v>1000</v>
      </c>
      <c r="C4" s="1695">
        <f>'Revenues 9-14'!C109</f>
        <v>36175493</v>
      </c>
      <c r="D4" s="1695">
        <f>'Revenues 9-14'!D109</f>
        <v>4225862</v>
      </c>
      <c r="E4" s="1695">
        <f>'Revenues 9-14'!E109</f>
        <v>7627299</v>
      </c>
      <c r="F4" s="1695">
        <f>'Revenues 9-14'!F109</f>
        <v>2331729</v>
      </c>
      <c r="G4" s="1695">
        <f>'Revenues 9-14'!G109</f>
        <v>558413</v>
      </c>
      <c r="H4" s="1695">
        <f>'Revenues 9-14'!H109</f>
        <v>2516</v>
      </c>
      <c r="I4" s="1695">
        <f>'Revenues 9-14'!I109</f>
        <v>387825</v>
      </c>
      <c r="J4" s="1695">
        <f>'Revenues 9-14'!J109</f>
        <v>247682</v>
      </c>
      <c r="K4" s="1695">
        <f>'Revenues 9-14'!K109</f>
        <v>0</v>
      </c>
      <c r="L4" s="347"/>
    </row>
    <row r="5" spans="1:13" ht="15.75" customHeight="1" x14ac:dyDescent="0.2">
      <c r="A5" s="1529" t="s">
        <v>1487</v>
      </c>
      <c r="B5" s="1530">
        <v>2000</v>
      </c>
      <c r="C5" s="1696">
        <f>'Revenues 9-14'!C114</f>
        <v>0</v>
      </c>
      <c r="D5" s="1696">
        <f>'Revenues 9-14'!D114</f>
        <v>0</v>
      </c>
      <c r="E5" s="501"/>
      <c r="F5" s="1696">
        <f>'Revenues 9-14'!F114</f>
        <v>0</v>
      </c>
      <c r="G5" s="1696">
        <f>'Revenues 9-14'!G114</f>
        <v>0</v>
      </c>
      <c r="H5" s="502" t="s">
        <v>1168</v>
      </c>
      <c r="I5" s="503" t="s">
        <v>1168</v>
      </c>
      <c r="J5" s="504" t="s">
        <v>1168</v>
      </c>
      <c r="K5" s="505" t="s">
        <v>1168</v>
      </c>
      <c r="L5" s="347"/>
    </row>
    <row r="6" spans="1:13" ht="15.75" customHeight="1" x14ac:dyDescent="0.2">
      <c r="A6" s="1529" t="s">
        <v>1488</v>
      </c>
      <c r="B6" s="1531">
        <v>3000</v>
      </c>
      <c r="C6" s="1696">
        <f>'Revenues 9-14'!C170</f>
        <v>5063472</v>
      </c>
      <c r="D6" s="1696">
        <f>'Revenues 9-14'!D170</f>
        <v>0</v>
      </c>
      <c r="E6" s="1696">
        <f>'Revenues 9-14'!E170</f>
        <v>0</v>
      </c>
      <c r="F6" s="1696">
        <f>'Revenues 9-14'!F170</f>
        <v>1424118</v>
      </c>
      <c r="G6" s="1696">
        <f>'Revenues 9-14'!G170</f>
        <v>0</v>
      </c>
      <c r="H6" s="1696">
        <f>'Revenues 9-14'!H170</f>
        <v>0</v>
      </c>
      <c r="I6" s="1696">
        <f>'Revenues 9-14'!I170</f>
        <v>0</v>
      </c>
      <c r="J6" s="1696">
        <f>'Revenues 9-14'!J170</f>
        <v>0</v>
      </c>
      <c r="K6" s="1696">
        <f>'Revenues 9-14'!K170</f>
        <v>0</v>
      </c>
      <c r="L6" s="347"/>
      <c r="M6" s="506"/>
    </row>
    <row r="7" spans="1:13" ht="15.75" customHeight="1" x14ac:dyDescent="0.2">
      <c r="A7" s="1529" t="s">
        <v>1489</v>
      </c>
      <c r="B7" s="1531">
        <v>4000</v>
      </c>
      <c r="C7" s="1696">
        <f>'Revenues 9-14'!C267</f>
        <v>1372862</v>
      </c>
      <c r="D7" s="1696">
        <f>'Revenues 9-14'!D267</f>
        <v>0</v>
      </c>
      <c r="E7" s="1696">
        <f>'Revenues 9-14'!E267</f>
        <v>0</v>
      </c>
      <c r="F7" s="1696">
        <f>'Revenues 9-14'!F267</f>
        <v>0</v>
      </c>
      <c r="G7" s="1696">
        <f>'Revenues 9-14'!G267</f>
        <v>0</v>
      </c>
      <c r="H7" s="1696">
        <f>'Revenues 9-14'!H267</f>
        <v>0</v>
      </c>
      <c r="I7" s="1696">
        <f>'Revenues 9-14'!I267</f>
        <v>0</v>
      </c>
      <c r="J7" s="1696">
        <f>'Revenues 9-14'!J267</f>
        <v>0</v>
      </c>
      <c r="K7" s="1696">
        <f>'Revenues 9-14'!K267</f>
        <v>0</v>
      </c>
      <c r="L7" s="347"/>
      <c r="M7" s="506"/>
    </row>
    <row r="8" spans="1:13" ht="13.5" thickBot="1" x14ac:dyDescent="0.25">
      <c r="A8" s="1689" t="s">
        <v>1171</v>
      </c>
      <c r="B8" s="1662"/>
      <c r="C8" s="1641">
        <f>SUM(C4:C7)</f>
        <v>42611827</v>
      </c>
      <c r="D8" s="1641">
        <f t="shared" ref="D8:K8" si="0">SUM(D4:D7)</f>
        <v>4225862</v>
      </c>
      <c r="E8" s="1641">
        <f t="shared" si="0"/>
        <v>7627299</v>
      </c>
      <c r="F8" s="1641">
        <f t="shared" si="0"/>
        <v>3755847</v>
      </c>
      <c r="G8" s="1641">
        <f t="shared" si="0"/>
        <v>558413</v>
      </c>
      <c r="H8" s="1641">
        <f t="shared" si="0"/>
        <v>2516</v>
      </c>
      <c r="I8" s="1641">
        <f t="shared" si="0"/>
        <v>387825</v>
      </c>
      <c r="J8" s="1641">
        <f t="shared" si="0"/>
        <v>247682</v>
      </c>
      <c r="K8" s="1641">
        <f t="shared" si="0"/>
        <v>0</v>
      </c>
      <c r="L8" s="347"/>
    </row>
    <row r="9" spans="1:13" ht="15.75" thickTop="1" x14ac:dyDescent="0.2">
      <c r="A9" s="507" t="s">
        <v>1640</v>
      </c>
      <c r="B9" s="508">
        <v>3998</v>
      </c>
      <c r="C9" s="477">
        <v>22215657</v>
      </c>
      <c r="D9" s="509">
        <v>0</v>
      </c>
      <c r="E9" s="477">
        <v>0</v>
      </c>
      <c r="F9" s="477">
        <v>0</v>
      </c>
      <c r="G9" s="510">
        <v>0</v>
      </c>
      <c r="H9" s="477">
        <v>0</v>
      </c>
      <c r="I9" s="502" t="s">
        <v>1168</v>
      </c>
      <c r="J9" s="474">
        <v>0</v>
      </c>
      <c r="K9" s="477"/>
      <c r="L9" s="347"/>
    </row>
    <row r="10" spans="1:13" s="512" customFormat="1" ht="13.5" thickBot="1" x14ac:dyDescent="0.25">
      <c r="A10" s="1689" t="s">
        <v>1172</v>
      </c>
      <c r="B10" s="1662"/>
      <c r="C10" s="1641">
        <f>SUM(C8:C9)</f>
        <v>64827484</v>
      </c>
      <c r="D10" s="1641">
        <f t="shared" ref="D10:K10" si="1">SUM(D8:D9)</f>
        <v>4225862</v>
      </c>
      <c r="E10" s="1641">
        <f t="shared" si="1"/>
        <v>7627299</v>
      </c>
      <c r="F10" s="1641">
        <f t="shared" si="1"/>
        <v>3755847</v>
      </c>
      <c r="G10" s="1641">
        <f t="shared" si="1"/>
        <v>558413</v>
      </c>
      <c r="H10" s="1641">
        <f t="shared" si="1"/>
        <v>2516</v>
      </c>
      <c r="I10" s="1641">
        <f t="shared" si="1"/>
        <v>387825</v>
      </c>
      <c r="J10" s="1641">
        <f t="shared" si="1"/>
        <v>247682</v>
      </c>
      <c r="K10" s="1641">
        <f t="shared" si="1"/>
        <v>0</v>
      </c>
      <c r="L10" s="511"/>
    </row>
    <row r="11" spans="1:13" s="512" customFormat="1" ht="16.7" customHeight="1" thickTop="1" x14ac:dyDescent="0.2">
      <c r="A11" s="2227" t="s">
        <v>1175</v>
      </c>
      <c r="B11" s="2228"/>
      <c r="C11" s="1523"/>
      <c r="D11" s="1524"/>
      <c r="E11" s="1524"/>
      <c r="F11" s="1524"/>
      <c r="G11" s="1524"/>
      <c r="H11" s="1524"/>
      <c r="I11" s="1524"/>
      <c r="J11" s="1524"/>
      <c r="K11" s="1525"/>
      <c r="L11" s="511"/>
    </row>
    <row r="12" spans="1:13" ht="15.75" customHeight="1" x14ac:dyDescent="0.2">
      <c r="A12" s="1529" t="s">
        <v>455</v>
      </c>
      <c r="B12" s="1531">
        <v>1000</v>
      </c>
      <c r="C12" s="1695">
        <f>'Expenditures 15-22'!K33</f>
        <v>28547863</v>
      </c>
      <c r="D12" s="513" t="s">
        <v>1168</v>
      </c>
      <c r="E12" s="467" t="s">
        <v>1168</v>
      </c>
      <c r="F12" s="467" t="s">
        <v>1168</v>
      </c>
      <c r="G12" s="1695">
        <f>'Expenditures 15-22'!K229</f>
        <v>682927</v>
      </c>
      <c r="H12" s="514"/>
      <c r="I12" s="467" t="s">
        <v>1168</v>
      </c>
      <c r="J12" s="467" t="s">
        <v>1168</v>
      </c>
      <c r="K12" s="514" t="s">
        <v>1168</v>
      </c>
      <c r="L12" s="347"/>
    </row>
    <row r="13" spans="1:13" ht="15.75" customHeight="1" x14ac:dyDescent="0.2">
      <c r="A13" s="1529" t="s">
        <v>456</v>
      </c>
      <c r="B13" s="1531">
        <v>2000</v>
      </c>
      <c r="C13" s="1696">
        <f>'Expenditures 15-22'!K74</f>
        <v>12273709</v>
      </c>
      <c r="D13" s="1696">
        <f>'Expenditures 15-22'!K129</f>
        <v>3688892</v>
      </c>
      <c r="E13" s="468" t="s">
        <v>1168</v>
      </c>
      <c r="F13" s="1696">
        <f>'Expenditures 15-22'!K184</f>
        <v>3483324</v>
      </c>
      <c r="G13" s="1696">
        <f>'Expenditures 15-22'!K279</f>
        <v>754142</v>
      </c>
      <c r="H13" s="1696">
        <f>'Expenditures 15-22'!K303</f>
        <v>4795664</v>
      </c>
      <c r="I13" s="467" t="s">
        <v>1168</v>
      </c>
      <c r="J13" s="1696">
        <f>'Expenditures 15-22'!K330</f>
        <v>351239</v>
      </c>
      <c r="K13" s="1700">
        <f>'Expenditures 15-22'!K352</f>
        <v>0</v>
      </c>
      <c r="L13" s="347"/>
    </row>
    <row r="14" spans="1:13" ht="15.75" customHeight="1" x14ac:dyDescent="0.2">
      <c r="A14" s="1529" t="s">
        <v>448</v>
      </c>
      <c r="B14" s="1531">
        <v>3000</v>
      </c>
      <c r="C14" s="1696">
        <f>'Expenditures 15-22'!K75</f>
        <v>10396</v>
      </c>
      <c r="D14" s="1696">
        <f>'Expenditures 15-22'!K130</f>
        <v>0</v>
      </c>
      <c r="E14" s="513" t="s">
        <v>1168</v>
      </c>
      <c r="F14" s="1696">
        <f>'Expenditures 15-22'!K185</f>
        <v>0</v>
      </c>
      <c r="G14" s="1696">
        <f>'Expenditures 15-22'!K280</f>
        <v>50</v>
      </c>
      <c r="H14" s="505"/>
      <c r="I14" s="467" t="s">
        <v>1168</v>
      </c>
      <c r="J14" s="467" t="s">
        <v>1168</v>
      </c>
      <c r="K14" s="505" t="s">
        <v>1168</v>
      </c>
      <c r="L14" s="347"/>
    </row>
    <row r="15" spans="1:13" ht="15.75" customHeight="1" x14ac:dyDescent="0.2">
      <c r="A15" s="1529" t="s">
        <v>107</v>
      </c>
      <c r="B15" s="1531">
        <v>4000</v>
      </c>
      <c r="C15" s="1696">
        <f>'Expenditures 15-22'!K102</f>
        <v>1684355</v>
      </c>
      <c r="D15" s="1696">
        <f>'Expenditures 15-22'!K139</f>
        <v>0</v>
      </c>
      <c r="E15" s="1696">
        <f>'Expenditures 15-22'!K160</f>
        <v>0</v>
      </c>
      <c r="F15" s="1696">
        <f>'Expenditures 15-22'!K196</f>
        <v>0</v>
      </c>
      <c r="G15" s="1696">
        <f>'Expenditures 15-22'!K285</f>
        <v>0</v>
      </c>
      <c r="H15" s="1696">
        <f>'Expenditures 15-22'!K310</f>
        <v>0</v>
      </c>
      <c r="I15" s="467" t="s">
        <v>1168</v>
      </c>
      <c r="J15" s="1788">
        <f>'Expenditures 15-22'!K334</f>
        <v>0</v>
      </c>
      <c r="K15" s="1696">
        <f>'Expenditures 15-22'!K357</f>
        <v>0</v>
      </c>
      <c r="L15" s="347"/>
    </row>
    <row r="16" spans="1:13" ht="15.75" customHeight="1" x14ac:dyDescent="0.2">
      <c r="A16" s="1529" t="s">
        <v>449</v>
      </c>
      <c r="B16" s="1531">
        <v>5000</v>
      </c>
      <c r="C16" s="1696">
        <f>'Expenditures 15-22'!K112</f>
        <v>0</v>
      </c>
      <c r="D16" s="1696">
        <f>'Expenditures 15-22'!K149</f>
        <v>0</v>
      </c>
      <c r="E16" s="1696">
        <f>'Expenditures 15-22'!K172</f>
        <v>7618056</v>
      </c>
      <c r="F16" s="1696">
        <f>'Expenditures 15-22'!K208</f>
        <v>0</v>
      </c>
      <c r="G16" s="1696">
        <f>'Expenditures 15-22'!K293</f>
        <v>0</v>
      </c>
      <c r="H16" s="516"/>
      <c r="I16" s="467" t="s">
        <v>1168</v>
      </c>
      <c r="J16" s="1701">
        <f>'Expenditures 15-22'!K340</f>
        <v>0</v>
      </c>
      <c r="K16" s="1696">
        <f>'Expenditures 15-22'!K365</f>
        <v>0</v>
      </c>
      <c r="L16" s="347"/>
    </row>
    <row r="17" spans="1:12" ht="13.5" thickBot="1" x14ac:dyDescent="0.25">
      <c r="A17" s="1661" t="s">
        <v>48</v>
      </c>
      <c r="B17" s="1662"/>
      <c r="C17" s="1641">
        <f t="shared" ref="C17:H17" si="2">SUM(C12:C16)</f>
        <v>42516323</v>
      </c>
      <c r="D17" s="1641">
        <f t="shared" si="2"/>
        <v>3688892</v>
      </c>
      <c r="E17" s="1641">
        <f t="shared" si="2"/>
        <v>7618056</v>
      </c>
      <c r="F17" s="1641">
        <f t="shared" si="2"/>
        <v>3483324</v>
      </c>
      <c r="G17" s="1641">
        <f t="shared" si="2"/>
        <v>1437119</v>
      </c>
      <c r="H17" s="1641">
        <f t="shared" si="2"/>
        <v>4795664</v>
      </c>
      <c r="I17" s="467"/>
      <c r="J17" s="1641">
        <f>SUM(J12:J16)</f>
        <v>351239</v>
      </c>
      <c r="K17" s="1641">
        <f>SUM(K12:K16)</f>
        <v>0</v>
      </c>
      <c r="L17" s="347"/>
    </row>
    <row r="18" spans="1:12" ht="15" customHeight="1" thickTop="1" x14ac:dyDescent="0.2">
      <c r="A18" s="1697" t="s">
        <v>1641</v>
      </c>
      <c r="B18" s="1698">
        <v>4180</v>
      </c>
      <c r="C18" s="1695">
        <f t="shared" ref="C18:H18" si="3">C9</f>
        <v>22215657</v>
      </c>
      <c r="D18" s="1695">
        <f t="shared" si="3"/>
        <v>0</v>
      </c>
      <c r="E18" s="1695">
        <f t="shared" si="3"/>
        <v>0</v>
      </c>
      <c r="F18" s="1695">
        <f t="shared" si="3"/>
        <v>0</v>
      </c>
      <c r="G18" s="1695">
        <f t="shared" si="3"/>
        <v>0</v>
      </c>
      <c r="H18" s="1695">
        <f t="shared" si="3"/>
        <v>0</v>
      </c>
      <c r="I18" s="467"/>
      <c r="J18" s="1695">
        <f>J9</f>
        <v>0</v>
      </c>
      <c r="K18" s="1695">
        <f>K9</f>
        <v>0</v>
      </c>
      <c r="L18" s="347"/>
    </row>
    <row r="19" spans="1:12" ht="13.5" thickBot="1" x14ac:dyDescent="0.25">
      <c r="A19" s="1661" t="s">
        <v>504</v>
      </c>
      <c r="B19" s="1662"/>
      <c r="C19" s="1641">
        <f t="shared" ref="C19:H19" si="4">SUM(C17:C18)</f>
        <v>64731980</v>
      </c>
      <c r="D19" s="1641">
        <f t="shared" si="4"/>
        <v>3688892</v>
      </c>
      <c r="E19" s="1641">
        <f t="shared" si="4"/>
        <v>7618056</v>
      </c>
      <c r="F19" s="1641">
        <f t="shared" si="4"/>
        <v>3483324</v>
      </c>
      <c r="G19" s="1641">
        <f t="shared" si="4"/>
        <v>1437119</v>
      </c>
      <c r="H19" s="1641">
        <f t="shared" si="4"/>
        <v>4795664</v>
      </c>
      <c r="I19" s="467"/>
      <c r="J19" s="1641">
        <f>SUM(J17:J18)</f>
        <v>351239</v>
      </c>
      <c r="K19" s="1641">
        <f>SUM(K17:K18)</f>
        <v>0</v>
      </c>
      <c r="L19" s="347"/>
    </row>
    <row r="20" spans="1:12" ht="16.5" thickTop="1" thickBot="1" x14ac:dyDescent="0.25">
      <c r="A20" s="2243" t="s">
        <v>1642</v>
      </c>
      <c r="B20" s="2244"/>
      <c r="C20" s="1699">
        <f>C8-C17</f>
        <v>95504</v>
      </c>
      <c r="D20" s="1699">
        <f t="shared" ref="D20:K20" si="5">D8-D17</f>
        <v>536970</v>
      </c>
      <c r="E20" s="1699">
        <f t="shared" si="5"/>
        <v>9243</v>
      </c>
      <c r="F20" s="1699">
        <f t="shared" si="5"/>
        <v>272523</v>
      </c>
      <c r="G20" s="1699">
        <f t="shared" si="5"/>
        <v>-878706</v>
      </c>
      <c r="H20" s="1699">
        <f t="shared" si="5"/>
        <v>-4793148</v>
      </c>
      <c r="I20" s="1699">
        <f t="shared" si="5"/>
        <v>387825</v>
      </c>
      <c r="J20" s="1699">
        <f t="shared" si="5"/>
        <v>-103557</v>
      </c>
      <c r="K20" s="1699">
        <f t="shared" si="5"/>
        <v>0</v>
      </c>
      <c r="L20" s="347"/>
    </row>
    <row r="21" spans="1:12" ht="16.7" customHeight="1" thickTop="1" x14ac:dyDescent="0.2">
      <c r="A21" s="2255" t="s">
        <v>594</v>
      </c>
      <c r="B21" s="2256"/>
      <c r="C21" s="1523"/>
      <c r="D21" s="1524"/>
      <c r="E21" s="1524"/>
      <c r="F21" s="1524"/>
      <c r="G21" s="1524"/>
      <c r="H21" s="1524"/>
      <c r="I21" s="1524"/>
      <c r="J21" s="1524"/>
      <c r="K21" s="1525"/>
      <c r="L21" s="517"/>
    </row>
    <row r="22" spans="1:12" ht="15.75" customHeight="1" collapsed="1" x14ac:dyDescent="0.2">
      <c r="A22" s="2251" t="s">
        <v>595</v>
      </c>
      <c r="B22" s="2252"/>
      <c r="C22" s="473"/>
      <c r="D22" s="473"/>
      <c r="E22" s="473"/>
      <c r="F22" s="473"/>
      <c r="G22" s="473"/>
      <c r="H22" s="473"/>
      <c r="I22" s="473"/>
      <c r="J22" s="473"/>
      <c r="K22" s="473"/>
      <c r="L22" s="347"/>
    </row>
    <row r="23" spans="1:12" s="481" customFormat="1" ht="15.75" customHeight="1" x14ac:dyDescent="0.2">
      <c r="A23" s="2247" t="s">
        <v>292</v>
      </c>
      <c r="B23" s="2248"/>
      <c r="C23" s="476"/>
      <c r="D23" s="473"/>
      <c r="E23" s="473"/>
      <c r="F23" s="473"/>
      <c r="G23" s="473"/>
      <c r="H23" s="473"/>
      <c r="I23" s="473"/>
      <c r="J23" s="473"/>
      <c r="K23" s="473"/>
      <c r="L23" s="517"/>
    </row>
    <row r="24" spans="1:12" s="481" customFormat="1" ht="13.5" customHeight="1" x14ac:dyDescent="0.2">
      <c r="A24" s="1442" t="s">
        <v>1643</v>
      </c>
      <c r="B24" s="518">
        <v>7110</v>
      </c>
      <c r="C24" s="1901"/>
      <c r="D24" s="473"/>
      <c r="E24" s="473"/>
      <c r="F24" s="473"/>
      <c r="G24" s="473"/>
      <c r="H24" s="473"/>
      <c r="I24" s="473"/>
      <c r="J24" s="473"/>
      <c r="K24" s="473"/>
      <c r="L24" s="517"/>
    </row>
    <row r="25" spans="1:12" s="481" customFormat="1" ht="13.5" customHeight="1" x14ac:dyDescent="0.2">
      <c r="A25" s="1442" t="s">
        <v>1644</v>
      </c>
      <c r="B25" s="518">
        <v>7110</v>
      </c>
      <c r="C25" s="1901">
        <v>0</v>
      </c>
      <c r="D25" s="1901">
        <v>0</v>
      </c>
      <c r="E25" s="1901">
        <v>0</v>
      </c>
      <c r="F25" s="1901">
        <v>0</v>
      </c>
      <c r="G25" s="1901">
        <v>0</v>
      </c>
      <c r="H25" s="1901">
        <v>1511732</v>
      </c>
      <c r="I25" s="473"/>
      <c r="J25" s="1901">
        <v>0</v>
      </c>
      <c r="K25" s="1901"/>
      <c r="L25" s="517"/>
    </row>
    <row r="26" spans="1:12" s="481" customFormat="1" ht="13.5" customHeight="1" x14ac:dyDescent="0.2">
      <c r="A26" s="1442" t="s">
        <v>184</v>
      </c>
      <c r="B26" s="479">
        <v>7120</v>
      </c>
      <c r="C26" s="1901">
        <v>0</v>
      </c>
      <c r="D26" s="1901">
        <v>0</v>
      </c>
      <c r="E26" s="1901">
        <v>0</v>
      </c>
      <c r="F26" s="1901">
        <v>0</v>
      </c>
      <c r="G26" s="1901">
        <v>0</v>
      </c>
      <c r="H26" s="1901">
        <v>0</v>
      </c>
      <c r="I26" s="473"/>
      <c r="J26" s="1901">
        <v>0</v>
      </c>
      <c r="K26" s="1901"/>
      <c r="L26" s="517"/>
    </row>
    <row r="27" spans="1:12" s="481" customFormat="1" ht="13.5" customHeight="1" x14ac:dyDescent="0.2">
      <c r="A27" s="1442" t="s">
        <v>185</v>
      </c>
      <c r="B27" s="479">
        <v>7130</v>
      </c>
      <c r="C27" s="1901">
        <v>0</v>
      </c>
      <c r="D27" s="1901">
        <v>0</v>
      </c>
      <c r="E27" s="519"/>
      <c r="F27" s="1901">
        <v>0</v>
      </c>
      <c r="G27" s="476"/>
      <c r="H27" s="476"/>
      <c r="I27" s="476"/>
      <c r="J27" s="476"/>
      <c r="K27" s="476"/>
      <c r="L27" s="517"/>
    </row>
    <row r="28" spans="1:12" s="481" customFormat="1" ht="13.5" customHeight="1" x14ac:dyDescent="0.2">
      <c r="A28" s="1442" t="s">
        <v>1385</v>
      </c>
      <c r="B28" s="479">
        <v>7140</v>
      </c>
      <c r="C28" s="1901">
        <v>0</v>
      </c>
      <c r="D28" s="1901">
        <v>0</v>
      </c>
      <c r="E28" s="1901">
        <v>0</v>
      </c>
      <c r="F28" s="1901">
        <v>0</v>
      </c>
      <c r="G28" s="1901">
        <v>0</v>
      </c>
      <c r="H28" s="1901">
        <v>0</v>
      </c>
      <c r="I28" s="1901">
        <v>0</v>
      </c>
      <c r="J28" s="1901">
        <v>0</v>
      </c>
      <c r="K28" s="1901"/>
      <c r="L28" s="517"/>
    </row>
    <row r="29" spans="1:12" s="481" customFormat="1" ht="13.5" customHeight="1" x14ac:dyDescent="0.2">
      <c r="A29" s="1442" t="s">
        <v>293</v>
      </c>
      <c r="B29" s="479">
        <v>7150</v>
      </c>
      <c r="C29" s="472"/>
      <c r="D29" s="1901">
        <v>0</v>
      </c>
      <c r="E29" s="472"/>
      <c r="F29" s="472"/>
      <c r="G29" s="472"/>
      <c r="H29" s="472"/>
      <c r="I29" s="472"/>
      <c r="J29" s="472"/>
      <c r="K29" s="472"/>
      <c r="L29" s="517"/>
    </row>
    <row r="30" spans="1:12" s="481" customFormat="1" ht="26.25" x14ac:dyDescent="0.2">
      <c r="A30" s="1442" t="s">
        <v>1768</v>
      </c>
      <c r="B30" s="520">
        <v>7160</v>
      </c>
      <c r="C30" s="473"/>
      <c r="D30" s="1901">
        <v>0</v>
      </c>
      <c r="E30" s="473"/>
      <c r="F30" s="473"/>
      <c r="G30" s="473"/>
      <c r="H30" s="473"/>
      <c r="I30" s="473"/>
      <c r="J30" s="473"/>
      <c r="K30" s="473"/>
      <c r="L30" s="517"/>
    </row>
    <row r="31" spans="1:12" s="481" customFormat="1" ht="26.25" x14ac:dyDescent="0.2">
      <c r="A31" s="1442" t="s">
        <v>1772</v>
      </c>
      <c r="B31" s="520">
        <v>7170</v>
      </c>
      <c r="C31" s="473"/>
      <c r="D31" s="473"/>
      <c r="E31" s="1902">
        <v>0</v>
      </c>
      <c r="F31" s="473"/>
      <c r="G31" s="473"/>
      <c r="H31" s="473"/>
      <c r="I31" s="473"/>
      <c r="J31" s="473"/>
      <c r="K31" s="473"/>
      <c r="L31" s="517"/>
    </row>
    <row r="32" spans="1:12" s="481" customFormat="1" ht="15.75" customHeight="1" x14ac:dyDescent="0.2">
      <c r="A32" s="2249" t="s">
        <v>980</v>
      </c>
      <c r="B32" s="2250"/>
      <c r="C32" s="473"/>
      <c r="D32" s="473"/>
      <c r="E32" s="472"/>
      <c r="F32" s="473"/>
      <c r="G32" s="473"/>
      <c r="H32" s="473"/>
      <c r="I32" s="473"/>
      <c r="J32" s="473"/>
      <c r="K32" s="473"/>
      <c r="L32" s="517"/>
    </row>
    <row r="33" spans="1:12" s="481" customFormat="1" x14ac:dyDescent="0.2">
      <c r="A33" s="1442" t="s">
        <v>411</v>
      </c>
      <c r="B33" s="518">
        <v>7210</v>
      </c>
      <c r="C33" s="1901">
        <v>0</v>
      </c>
      <c r="D33" s="1901">
        <v>0</v>
      </c>
      <c r="E33" s="1901">
        <v>32946281</v>
      </c>
      <c r="F33" s="1901">
        <v>0</v>
      </c>
      <c r="G33" s="473"/>
      <c r="H33" s="1901">
        <v>10380216</v>
      </c>
      <c r="I33" s="1901">
        <v>1343503</v>
      </c>
      <c r="J33" s="1901">
        <v>0</v>
      </c>
      <c r="K33" s="1901"/>
      <c r="L33" s="517"/>
    </row>
    <row r="34" spans="1:12" s="481" customFormat="1" x14ac:dyDescent="0.2">
      <c r="A34" s="1442" t="s">
        <v>1000</v>
      </c>
      <c r="B34" s="518">
        <v>7220</v>
      </c>
      <c r="C34" s="1901">
        <v>0</v>
      </c>
      <c r="D34" s="1901">
        <v>0</v>
      </c>
      <c r="E34" s="1901">
        <v>0</v>
      </c>
      <c r="F34" s="1901">
        <v>0</v>
      </c>
      <c r="G34" s="473"/>
      <c r="H34" s="474">
        <v>3119784</v>
      </c>
      <c r="I34" s="474">
        <v>160729</v>
      </c>
      <c r="J34" s="474">
        <v>0</v>
      </c>
      <c r="K34" s="474"/>
      <c r="L34" s="517"/>
    </row>
    <row r="35" spans="1:12" s="481" customFormat="1" x14ac:dyDescent="0.2">
      <c r="A35" s="1442" t="s">
        <v>989</v>
      </c>
      <c r="B35" s="518">
        <v>7230</v>
      </c>
      <c r="C35" s="1901">
        <v>0</v>
      </c>
      <c r="D35" s="1901">
        <v>0</v>
      </c>
      <c r="E35" s="1901">
        <v>0</v>
      </c>
      <c r="F35" s="1901">
        <v>0</v>
      </c>
      <c r="G35" s="476"/>
      <c r="H35" s="1901">
        <v>0</v>
      </c>
      <c r="I35" s="1901">
        <v>0</v>
      </c>
      <c r="J35" s="1901">
        <v>0</v>
      </c>
      <c r="K35" s="1901"/>
      <c r="L35" s="517"/>
    </row>
    <row r="36" spans="1:12" s="481" customFormat="1" ht="15" x14ac:dyDescent="0.2">
      <c r="A36" s="1442" t="s">
        <v>1645</v>
      </c>
      <c r="B36" s="518">
        <v>7300</v>
      </c>
      <c r="C36" s="1901">
        <v>0</v>
      </c>
      <c r="D36" s="1901">
        <v>0</v>
      </c>
      <c r="E36" s="1901">
        <v>0</v>
      </c>
      <c r="F36" s="1901">
        <v>0</v>
      </c>
      <c r="G36" s="1901">
        <v>0</v>
      </c>
      <c r="H36" s="1901">
        <v>0</v>
      </c>
      <c r="I36" s="472"/>
      <c r="J36" s="1901">
        <v>0</v>
      </c>
      <c r="K36" s="1901"/>
      <c r="L36" s="517"/>
    </row>
    <row r="37" spans="1:12" s="481" customFormat="1" x14ac:dyDescent="0.2">
      <c r="A37" s="1442" t="s">
        <v>440</v>
      </c>
      <c r="B37" s="518">
        <v>7400</v>
      </c>
      <c r="C37" s="472"/>
      <c r="D37" s="472"/>
      <c r="E37" s="1696">
        <f>SUM(C54:D57,H54:H57)</f>
        <v>232148</v>
      </c>
      <c r="F37" s="472"/>
      <c r="G37" s="472"/>
      <c r="H37" s="472"/>
      <c r="I37" s="473"/>
      <c r="J37" s="472"/>
      <c r="K37" s="472"/>
      <c r="L37" s="517"/>
    </row>
    <row r="38" spans="1:12" s="481" customFormat="1" x14ac:dyDescent="0.2">
      <c r="A38" s="1442" t="s">
        <v>441</v>
      </c>
      <c r="B38" s="518">
        <v>7500</v>
      </c>
      <c r="C38" s="473"/>
      <c r="D38" s="473"/>
      <c r="E38" s="1696">
        <f>SUM(C58:D61,H58:H61)</f>
        <v>14663</v>
      </c>
      <c r="F38" s="473"/>
      <c r="G38" s="473"/>
      <c r="H38" s="473"/>
      <c r="I38" s="473"/>
      <c r="J38" s="473"/>
      <c r="K38" s="473"/>
      <c r="L38" s="517"/>
    </row>
    <row r="39" spans="1:12" s="481" customFormat="1" x14ac:dyDescent="0.2">
      <c r="A39" s="1442" t="s">
        <v>442</v>
      </c>
      <c r="B39" s="518">
        <v>7600</v>
      </c>
      <c r="C39" s="473"/>
      <c r="D39" s="473"/>
      <c r="E39" s="1696">
        <f>SUM(C62:D65)</f>
        <v>0</v>
      </c>
      <c r="F39" s="473"/>
      <c r="G39" s="473"/>
      <c r="H39" s="473"/>
      <c r="I39" s="473"/>
      <c r="J39" s="473"/>
      <c r="K39" s="473"/>
      <c r="L39" s="517"/>
    </row>
    <row r="40" spans="1:12" s="481" customFormat="1" ht="13.5" customHeight="1" x14ac:dyDescent="0.2">
      <c r="A40" s="1442" t="s">
        <v>641</v>
      </c>
      <c r="B40" s="479">
        <v>7700</v>
      </c>
      <c r="C40" s="473"/>
      <c r="D40" s="473"/>
      <c r="E40" s="1696">
        <f>SUM(C66:D69)</f>
        <v>0</v>
      </c>
      <c r="F40" s="473"/>
      <c r="G40" s="473"/>
      <c r="H40" s="476"/>
      <c r="I40" s="473"/>
      <c r="J40" s="473"/>
      <c r="K40" s="473"/>
      <c r="L40" s="517"/>
    </row>
    <row r="41" spans="1:12" s="481" customFormat="1" ht="13.5" customHeight="1" x14ac:dyDescent="0.2">
      <c r="A41" s="1442" t="s">
        <v>639</v>
      </c>
      <c r="B41" s="479">
        <v>7800</v>
      </c>
      <c r="C41" s="476"/>
      <c r="D41" s="476"/>
      <c r="E41" s="519"/>
      <c r="F41" s="476"/>
      <c r="G41" s="476"/>
      <c r="H41" s="1696">
        <f>SUM(C70:D73)</f>
        <v>0</v>
      </c>
      <c r="I41" s="473"/>
      <c r="J41" s="473"/>
      <c r="K41" s="476"/>
      <c r="L41" s="517"/>
    </row>
    <row r="42" spans="1:12" s="481" customFormat="1" ht="13.5" customHeight="1" x14ac:dyDescent="0.2">
      <c r="A42" s="1442" t="s">
        <v>640</v>
      </c>
      <c r="B42" s="479">
        <v>7900</v>
      </c>
      <c r="C42" s="1901">
        <v>0</v>
      </c>
      <c r="D42" s="1901">
        <v>0</v>
      </c>
      <c r="E42" s="1901">
        <v>0</v>
      </c>
      <c r="F42" s="1901">
        <v>0</v>
      </c>
      <c r="G42" s="1901">
        <v>0</v>
      </c>
      <c r="H42" s="1901">
        <v>0</v>
      </c>
      <c r="I42" s="476"/>
      <c r="J42" s="476"/>
      <c r="K42" s="1901"/>
      <c r="L42" s="517"/>
    </row>
    <row r="43" spans="1:12" s="481" customFormat="1" ht="13.5" customHeight="1" x14ac:dyDescent="0.2">
      <c r="A43" s="1442" t="s">
        <v>372</v>
      </c>
      <c r="B43" s="479">
        <v>7990</v>
      </c>
      <c r="C43" s="1901">
        <v>0</v>
      </c>
      <c r="D43" s="1901">
        <v>0</v>
      </c>
      <c r="E43" s="1901">
        <v>0</v>
      </c>
      <c r="F43" s="1901">
        <v>0</v>
      </c>
      <c r="G43" s="1901">
        <v>0</v>
      </c>
      <c r="H43" s="1901">
        <v>0</v>
      </c>
      <c r="I43" s="1901">
        <v>0</v>
      </c>
      <c r="J43" s="1901">
        <v>0</v>
      </c>
      <c r="K43" s="1901"/>
      <c r="L43" s="517"/>
    </row>
    <row r="44" spans="1:12" s="481" customFormat="1" ht="13.5" customHeight="1" thickBot="1" x14ac:dyDescent="0.25">
      <c r="A44" s="2257" t="s">
        <v>373</v>
      </c>
      <c r="B44" s="2258"/>
      <c r="C44" s="1656">
        <f>SUM(C24:C43)</f>
        <v>0</v>
      </c>
      <c r="D44" s="1656">
        <f t="shared" ref="D44:K44" si="6">SUM(D24:D43)</f>
        <v>0</v>
      </c>
      <c r="E44" s="1656">
        <f t="shared" si="6"/>
        <v>33193092</v>
      </c>
      <c r="F44" s="1656">
        <f t="shared" si="6"/>
        <v>0</v>
      </c>
      <c r="G44" s="1656">
        <f t="shared" si="6"/>
        <v>0</v>
      </c>
      <c r="H44" s="1656">
        <f t="shared" si="6"/>
        <v>15011732</v>
      </c>
      <c r="I44" s="1656">
        <f t="shared" si="6"/>
        <v>1504232</v>
      </c>
      <c r="J44" s="1656">
        <f t="shared" si="6"/>
        <v>0</v>
      </c>
      <c r="K44" s="1656">
        <f t="shared" si="6"/>
        <v>0</v>
      </c>
      <c r="L44" s="517"/>
    </row>
    <row r="45" spans="1:12" ht="15.75" customHeight="1" thickTop="1" x14ac:dyDescent="0.2">
      <c r="A45" s="2251" t="s">
        <v>108</v>
      </c>
      <c r="B45" s="2252"/>
      <c r="C45" s="521"/>
      <c r="D45" s="521"/>
      <c r="E45" s="521"/>
      <c r="F45" s="521"/>
      <c r="G45" s="521"/>
      <c r="H45" s="521"/>
      <c r="I45" s="521"/>
      <c r="J45" s="521"/>
      <c r="K45" s="521"/>
      <c r="L45" s="347"/>
    </row>
    <row r="46" spans="1:12" s="481" customFormat="1" ht="15.75" customHeight="1" x14ac:dyDescent="0.2">
      <c r="A46" s="2259" t="s">
        <v>109</v>
      </c>
      <c r="B46" s="2260"/>
      <c r="C46" s="473"/>
      <c r="D46" s="473"/>
      <c r="E46" s="473"/>
      <c r="F46" s="473"/>
      <c r="G46" s="473"/>
      <c r="H46" s="473"/>
      <c r="I46" s="476"/>
      <c r="J46" s="473"/>
      <c r="K46" s="473"/>
      <c r="L46" s="522"/>
    </row>
    <row r="47" spans="1:12" s="481" customFormat="1" ht="15" x14ac:dyDescent="0.2">
      <c r="A47" s="1443" t="s">
        <v>1646</v>
      </c>
      <c r="B47" s="479">
        <v>8110</v>
      </c>
      <c r="C47" s="473"/>
      <c r="D47" s="473"/>
      <c r="E47" s="473"/>
      <c r="F47" s="473"/>
      <c r="G47" s="473"/>
      <c r="H47" s="473"/>
      <c r="I47" s="1696">
        <f>SUM(C24,C25:H25,J25:K25)</f>
        <v>1511732</v>
      </c>
      <c r="J47" s="473"/>
      <c r="K47" s="473"/>
      <c r="L47" s="522"/>
    </row>
    <row r="48" spans="1:12" s="481" customFormat="1" ht="15" x14ac:dyDescent="0.2">
      <c r="A48" s="1443" t="s">
        <v>1647</v>
      </c>
      <c r="B48" s="479">
        <v>8120</v>
      </c>
      <c r="C48" s="476"/>
      <c r="D48" s="476"/>
      <c r="E48" s="473"/>
      <c r="F48" s="476"/>
      <c r="G48" s="473"/>
      <c r="H48" s="473"/>
      <c r="I48" s="1696">
        <f>SUM(C26:H26,J26,K26)</f>
        <v>0</v>
      </c>
      <c r="J48" s="473"/>
      <c r="K48" s="473"/>
      <c r="L48" s="522"/>
    </row>
    <row r="49" spans="1:12" s="481" customFormat="1" x14ac:dyDescent="0.2">
      <c r="A49" s="1443" t="s">
        <v>185</v>
      </c>
      <c r="B49" s="479">
        <v>8130</v>
      </c>
      <c r="C49" s="1901">
        <v>0</v>
      </c>
      <c r="D49" s="1901">
        <v>0</v>
      </c>
      <c r="E49" s="476"/>
      <c r="F49" s="1901">
        <v>0</v>
      </c>
      <c r="G49" s="476"/>
      <c r="H49" s="476"/>
      <c r="I49" s="473"/>
      <c r="J49" s="476"/>
      <c r="K49" s="473"/>
      <c r="L49" s="517"/>
    </row>
    <row r="50" spans="1:12" s="481" customFormat="1" x14ac:dyDescent="0.2">
      <c r="A50" s="1443" t="s">
        <v>1385</v>
      </c>
      <c r="B50" s="479">
        <v>8140</v>
      </c>
      <c r="C50" s="1901">
        <v>0</v>
      </c>
      <c r="D50" s="1901">
        <v>0</v>
      </c>
      <c r="E50" s="1901">
        <v>0</v>
      </c>
      <c r="F50" s="1901">
        <v>0</v>
      </c>
      <c r="G50" s="1901">
        <v>0</v>
      </c>
      <c r="H50" s="1901">
        <v>0</v>
      </c>
      <c r="I50" s="473"/>
      <c r="J50" s="1901">
        <v>0</v>
      </c>
      <c r="K50" s="473"/>
      <c r="L50" s="517"/>
    </row>
    <row r="51" spans="1:12" s="481" customFormat="1" x14ac:dyDescent="0.2">
      <c r="A51" s="1443" t="s">
        <v>293</v>
      </c>
      <c r="B51" s="479">
        <v>8150</v>
      </c>
      <c r="C51" s="472"/>
      <c r="D51" s="472"/>
      <c r="E51" s="472"/>
      <c r="F51" s="472"/>
      <c r="G51" s="472"/>
      <c r="H51" s="1696">
        <f>SUM(D29)</f>
        <v>0</v>
      </c>
      <c r="I51" s="473"/>
      <c r="J51" s="472"/>
      <c r="K51" s="476"/>
      <c r="L51" s="517"/>
    </row>
    <row r="52" spans="1:12" s="481" customFormat="1" ht="26.25" x14ac:dyDescent="0.2">
      <c r="A52" s="1443" t="s">
        <v>1771</v>
      </c>
      <c r="B52" s="479">
        <v>8160</v>
      </c>
      <c r="C52" s="473"/>
      <c r="D52" s="473"/>
      <c r="E52" s="473"/>
      <c r="F52" s="473"/>
      <c r="G52" s="473"/>
      <c r="H52" s="473"/>
      <c r="I52" s="473"/>
      <c r="J52" s="473"/>
      <c r="K52" s="1696">
        <f>D30</f>
        <v>0</v>
      </c>
      <c r="L52" s="517"/>
    </row>
    <row r="53" spans="1:12" s="481" customFormat="1" ht="26.25" x14ac:dyDescent="0.2">
      <c r="A53" s="1443" t="s">
        <v>1770</v>
      </c>
      <c r="B53" s="479">
        <v>8170</v>
      </c>
      <c r="C53" s="476"/>
      <c r="D53" s="476"/>
      <c r="E53" s="473"/>
      <c r="F53" s="473"/>
      <c r="G53" s="473"/>
      <c r="H53" s="476"/>
      <c r="I53" s="473"/>
      <c r="J53" s="473"/>
      <c r="K53" s="1696">
        <f>E31</f>
        <v>0</v>
      </c>
      <c r="L53" s="517"/>
    </row>
    <row r="54" spans="1:12" s="481" customFormat="1" ht="13.5" thickBot="1" x14ac:dyDescent="0.25">
      <c r="A54" s="1443" t="s">
        <v>691</v>
      </c>
      <c r="B54" s="479">
        <v>8410</v>
      </c>
      <c r="C54" s="1903">
        <v>0</v>
      </c>
      <c r="D54" s="1903">
        <v>0</v>
      </c>
      <c r="E54" s="473"/>
      <c r="F54" s="473"/>
      <c r="G54" s="473"/>
      <c r="H54" s="1907">
        <v>0</v>
      </c>
      <c r="I54" s="473"/>
      <c r="J54" s="473"/>
      <c r="K54" s="472"/>
      <c r="L54" s="517"/>
    </row>
    <row r="55" spans="1:12" s="481" customFormat="1" ht="14.25" thickTop="1" thickBot="1" x14ac:dyDescent="0.25">
      <c r="A55" s="1444" t="s">
        <v>692</v>
      </c>
      <c r="B55" s="479">
        <v>8420</v>
      </c>
      <c r="C55" s="1904">
        <v>0</v>
      </c>
      <c r="D55" s="1904">
        <v>0</v>
      </c>
      <c r="E55" s="473"/>
      <c r="F55" s="473"/>
      <c r="G55" s="473"/>
      <c r="H55" s="1907">
        <v>0</v>
      </c>
      <c r="I55" s="473"/>
      <c r="J55" s="473"/>
      <c r="K55" s="473"/>
      <c r="L55" s="517"/>
    </row>
    <row r="56" spans="1:12" s="481" customFormat="1" ht="14.25" thickTop="1" thickBot="1" x14ac:dyDescent="0.25">
      <c r="A56" s="1443" t="s">
        <v>580</v>
      </c>
      <c r="B56" s="479">
        <v>8430</v>
      </c>
      <c r="C56" s="1904">
        <v>232148</v>
      </c>
      <c r="D56" s="1904">
        <v>0</v>
      </c>
      <c r="E56" s="473"/>
      <c r="F56" s="473"/>
      <c r="G56" s="473"/>
      <c r="H56" s="1907">
        <v>0</v>
      </c>
      <c r="I56" s="473"/>
      <c r="J56" s="473"/>
      <c r="K56" s="473"/>
      <c r="L56" s="517"/>
    </row>
    <row r="57" spans="1:12" s="481" customFormat="1" ht="14.25" thickTop="1" thickBot="1" x14ac:dyDescent="0.25">
      <c r="A57" s="1444" t="s">
        <v>577</v>
      </c>
      <c r="B57" s="479">
        <v>8440</v>
      </c>
      <c r="C57" s="1904">
        <v>0</v>
      </c>
      <c r="D57" s="1904">
        <v>0</v>
      </c>
      <c r="E57" s="473"/>
      <c r="F57" s="473"/>
      <c r="G57" s="473"/>
      <c r="H57" s="1907">
        <v>0</v>
      </c>
      <c r="I57" s="473"/>
      <c r="J57" s="473"/>
      <c r="K57" s="473"/>
      <c r="L57" s="517"/>
    </row>
    <row r="58" spans="1:12" s="481" customFormat="1" ht="14.25" thickTop="1" thickBot="1" x14ac:dyDescent="0.25">
      <c r="A58" s="1443" t="s">
        <v>578</v>
      </c>
      <c r="B58" s="479">
        <v>8510</v>
      </c>
      <c r="C58" s="1904">
        <v>0</v>
      </c>
      <c r="D58" s="1904">
        <v>0</v>
      </c>
      <c r="E58" s="473"/>
      <c r="F58" s="473"/>
      <c r="G58" s="473"/>
      <c r="H58" s="1907">
        <v>0</v>
      </c>
      <c r="I58" s="473"/>
      <c r="J58" s="473"/>
      <c r="K58" s="473"/>
      <c r="L58" s="517"/>
    </row>
    <row r="59" spans="1:12" s="481" customFormat="1" ht="14.25" thickTop="1" thickBot="1" x14ac:dyDescent="0.25">
      <c r="A59" s="1445" t="s">
        <v>693</v>
      </c>
      <c r="B59" s="479">
        <v>8520</v>
      </c>
      <c r="C59" s="1904">
        <v>0</v>
      </c>
      <c r="D59" s="1904">
        <v>0</v>
      </c>
      <c r="E59" s="473"/>
      <c r="F59" s="473"/>
      <c r="G59" s="473"/>
      <c r="H59" s="1907">
        <v>0</v>
      </c>
      <c r="I59" s="473"/>
      <c r="J59" s="473"/>
      <c r="K59" s="473"/>
      <c r="L59" s="517"/>
    </row>
    <row r="60" spans="1:12" s="481" customFormat="1" ht="14.25" thickTop="1" thickBot="1" x14ac:dyDescent="0.25">
      <c r="A60" s="1443" t="s">
        <v>579</v>
      </c>
      <c r="B60" s="479">
        <v>8530</v>
      </c>
      <c r="C60" s="1904">
        <v>14663</v>
      </c>
      <c r="D60" s="1904">
        <v>0</v>
      </c>
      <c r="E60" s="473"/>
      <c r="F60" s="473"/>
      <c r="G60" s="473"/>
      <c r="H60" s="1907">
        <v>0</v>
      </c>
      <c r="I60" s="473"/>
      <c r="J60" s="473"/>
      <c r="K60" s="473"/>
      <c r="L60" s="517"/>
    </row>
    <row r="61" spans="1:12" s="481" customFormat="1" ht="14.25" thickTop="1" thickBot="1" x14ac:dyDescent="0.25">
      <c r="A61" s="1444" t="s">
        <v>742</v>
      </c>
      <c r="B61" s="479">
        <v>8540</v>
      </c>
      <c r="C61" s="1904">
        <v>0</v>
      </c>
      <c r="D61" s="1904">
        <v>0</v>
      </c>
      <c r="E61" s="473"/>
      <c r="F61" s="473"/>
      <c r="G61" s="473"/>
      <c r="H61" s="1907">
        <v>0</v>
      </c>
      <c r="I61" s="473"/>
      <c r="J61" s="473"/>
      <c r="K61" s="473"/>
      <c r="L61" s="517"/>
    </row>
    <row r="62" spans="1:12" s="481" customFormat="1" ht="13.5" customHeight="1" thickTop="1" thickBot="1" x14ac:dyDescent="0.25">
      <c r="A62" s="1443" t="s">
        <v>743</v>
      </c>
      <c r="B62" s="479">
        <v>8610</v>
      </c>
      <c r="C62" s="1904">
        <v>0</v>
      </c>
      <c r="D62" s="1904">
        <v>0</v>
      </c>
      <c r="E62" s="473"/>
      <c r="F62" s="473"/>
      <c r="G62" s="473"/>
      <c r="H62" s="473"/>
      <c r="I62" s="473"/>
      <c r="J62" s="473"/>
      <c r="K62" s="473"/>
      <c r="L62" s="517"/>
    </row>
    <row r="63" spans="1:12" s="481" customFormat="1" ht="14.25" thickTop="1" thickBot="1" x14ac:dyDescent="0.25">
      <c r="A63" s="1444" t="s">
        <v>694</v>
      </c>
      <c r="B63" s="479">
        <v>8620</v>
      </c>
      <c r="C63" s="1904">
        <v>0</v>
      </c>
      <c r="D63" s="1904">
        <v>0</v>
      </c>
      <c r="E63" s="473"/>
      <c r="F63" s="473"/>
      <c r="G63" s="473"/>
      <c r="H63" s="473"/>
      <c r="I63" s="473"/>
      <c r="J63" s="473"/>
      <c r="K63" s="473"/>
      <c r="L63" s="517"/>
    </row>
    <row r="64" spans="1:12" s="481" customFormat="1" ht="13.5" customHeight="1" thickTop="1" thickBot="1" x14ac:dyDescent="0.25">
      <c r="A64" s="1443" t="s">
        <v>744</v>
      </c>
      <c r="B64" s="479">
        <v>8630</v>
      </c>
      <c r="C64" s="1904">
        <v>0</v>
      </c>
      <c r="D64" s="1904">
        <v>0</v>
      </c>
      <c r="E64" s="473"/>
      <c r="F64" s="473"/>
      <c r="G64" s="473"/>
      <c r="H64" s="473"/>
      <c r="I64" s="473"/>
      <c r="J64" s="473"/>
      <c r="K64" s="473"/>
      <c r="L64" s="517"/>
    </row>
    <row r="65" spans="1:12" s="481" customFormat="1" ht="14.25" thickTop="1" thickBot="1" x14ac:dyDescent="0.25">
      <c r="A65" s="1444" t="s">
        <v>745</v>
      </c>
      <c r="B65" s="479">
        <v>8640</v>
      </c>
      <c r="C65" s="1904">
        <v>0</v>
      </c>
      <c r="D65" s="1904">
        <v>0</v>
      </c>
      <c r="E65" s="473"/>
      <c r="F65" s="473"/>
      <c r="G65" s="473"/>
      <c r="H65" s="473"/>
      <c r="I65" s="473"/>
      <c r="J65" s="473"/>
      <c r="K65" s="473"/>
      <c r="L65" s="517"/>
    </row>
    <row r="66" spans="1:12" s="481" customFormat="1" ht="14.25" thickTop="1" thickBot="1" x14ac:dyDescent="0.25">
      <c r="A66" s="1443" t="s">
        <v>746</v>
      </c>
      <c r="B66" s="479">
        <v>8710</v>
      </c>
      <c r="C66" s="1904">
        <v>0</v>
      </c>
      <c r="D66" s="1904">
        <v>0</v>
      </c>
      <c r="E66" s="473"/>
      <c r="F66" s="473"/>
      <c r="G66" s="473"/>
      <c r="H66" s="473"/>
      <c r="I66" s="473"/>
      <c r="J66" s="473"/>
      <c r="K66" s="473"/>
      <c r="L66" s="517"/>
    </row>
    <row r="67" spans="1:12" s="481" customFormat="1" ht="14.25" thickTop="1" thickBot="1" x14ac:dyDescent="0.25">
      <c r="A67" s="1444" t="s">
        <v>695</v>
      </c>
      <c r="B67" s="479">
        <v>8720</v>
      </c>
      <c r="C67" s="1904">
        <v>0</v>
      </c>
      <c r="D67" s="1904">
        <v>0</v>
      </c>
      <c r="E67" s="473"/>
      <c r="F67" s="473"/>
      <c r="G67" s="473"/>
      <c r="H67" s="473"/>
      <c r="I67" s="473"/>
      <c r="J67" s="473"/>
      <c r="K67" s="473"/>
      <c r="L67" s="517"/>
    </row>
    <row r="68" spans="1:12" s="481" customFormat="1" ht="14.25" thickTop="1" thickBot="1" x14ac:dyDescent="0.25">
      <c r="A68" s="1445" t="s">
        <v>747</v>
      </c>
      <c r="B68" s="479">
        <v>8730</v>
      </c>
      <c r="C68" s="1904">
        <v>0</v>
      </c>
      <c r="D68" s="1904">
        <v>0</v>
      </c>
      <c r="E68" s="473"/>
      <c r="F68" s="473"/>
      <c r="G68" s="473"/>
      <c r="H68" s="473"/>
      <c r="I68" s="473"/>
      <c r="J68" s="473"/>
      <c r="K68" s="473"/>
      <c r="L68" s="517"/>
    </row>
    <row r="69" spans="1:12" s="481" customFormat="1" ht="14.25" thickTop="1" thickBot="1" x14ac:dyDescent="0.25">
      <c r="A69" s="1444" t="s">
        <v>748</v>
      </c>
      <c r="B69" s="479">
        <v>8740</v>
      </c>
      <c r="C69" s="1904">
        <v>0</v>
      </c>
      <c r="D69" s="1904">
        <v>0</v>
      </c>
      <c r="E69" s="473"/>
      <c r="F69" s="473"/>
      <c r="G69" s="473"/>
      <c r="H69" s="473"/>
      <c r="I69" s="473"/>
      <c r="J69" s="473"/>
      <c r="K69" s="473"/>
      <c r="L69" s="517"/>
    </row>
    <row r="70" spans="1:12" s="481" customFormat="1" ht="14.25" thickTop="1" thickBot="1" x14ac:dyDescent="0.25">
      <c r="A70" s="1443" t="s">
        <v>749</v>
      </c>
      <c r="B70" s="479">
        <v>8810</v>
      </c>
      <c r="C70" s="1904">
        <v>0</v>
      </c>
      <c r="D70" s="1904">
        <v>0</v>
      </c>
      <c r="E70" s="473"/>
      <c r="F70" s="473"/>
      <c r="G70" s="473"/>
      <c r="H70" s="473"/>
      <c r="I70" s="473"/>
      <c r="J70" s="473"/>
      <c r="K70" s="473"/>
      <c r="L70" s="517"/>
    </row>
    <row r="71" spans="1:12" s="481" customFormat="1" ht="14.25" thickTop="1" thickBot="1" x14ac:dyDescent="0.25">
      <c r="A71" s="1443" t="s">
        <v>753</v>
      </c>
      <c r="B71" s="479">
        <v>8820</v>
      </c>
      <c r="C71" s="1904">
        <v>0</v>
      </c>
      <c r="D71" s="1904">
        <v>0</v>
      </c>
      <c r="E71" s="473"/>
      <c r="F71" s="473"/>
      <c r="G71" s="473"/>
      <c r="H71" s="473"/>
      <c r="I71" s="473"/>
      <c r="J71" s="473"/>
      <c r="K71" s="473"/>
      <c r="L71" s="517"/>
    </row>
    <row r="72" spans="1:12" s="481" customFormat="1" ht="14.25" thickTop="1" thickBot="1" x14ac:dyDescent="0.25">
      <c r="A72" s="1443" t="s">
        <v>750</v>
      </c>
      <c r="B72" s="479">
        <v>8830</v>
      </c>
      <c r="C72" s="1904">
        <v>0</v>
      </c>
      <c r="D72" s="1904">
        <v>0</v>
      </c>
      <c r="E72" s="473"/>
      <c r="F72" s="473"/>
      <c r="G72" s="473"/>
      <c r="H72" s="473"/>
      <c r="I72" s="473"/>
      <c r="J72" s="473"/>
      <c r="K72" s="473"/>
      <c r="L72" s="517"/>
    </row>
    <row r="73" spans="1:12" s="481" customFormat="1" ht="14.25" thickTop="1" thickBot="1" x14ac:dyDescent="0.25">
      <c r="A73" s="1443" t="s">
        <v>751</v>
      </c>
      <c r="B73" s="479">
        <v>8840</v>
      </c>
      <c r="C73" s="1904">
        <v>0</v>
      </c>
      <c r="D73" s="1904">
        <v>0</v>
      </c>
      <c r="E73" s="473"/>
      <c r="F73" s="473"/>
      <c r="G73" s="473"/>
      <c r="H73" s="473"/>
      <c r="I73" s="473"/>
      <c r="J73" s="473"/>
      <c r="K73" s="476"/>
      <c r="L73" s="517"/>
    </row>
    <row r="74" spans="1:12" s="481" customFormat="1" ht="14.25" thickTop="1" thickBot="1" x14ac:dyDescent="0.25">
      <c r="A74" s="1443" t="s">
        <v>374</v>
      </c>
      <c r="B74" s="479">
        <v>8910</v>
      </c>
      <c r="C74" s="1904">
        <v>0</v>
      </c>
      <c r="D74" s="1904">
        <v>0</v>
      </c>
      <c r="E74" s="476"/>
      <c r="F74" s="1907">
        <v>0</v>
      </c>
      <c r="G74" s="1907">
        <v>0</v>
      </c>
      <c r="H74" s="1907">
        <v>0</v>
      </c>
      <c r="I74" s="476"/>
      <c r="J74" s="476"/>
      <c r="K74" s="1907"/>
      <c r="L74" s="517"/>
    </row>
    <row r="75" spans="1:12" s="481" customFormat="1" ht="14.25" thickTop="1" thickBot="1" x14ac:dyDescent="0.25">
      <c r="A75" s="1446" t="s">
        <v>438</v>
      </c>
      <c r="B75" s="479">
        <v>8990</v>
      </c>
      <c r="C75" s="1904">
        <v>0</v>
      </c>
      <c r="D75" s="1904">
        <v>0</v>
      </c>
      <c r="E75" s="1907">
        <v>32737435</v>
      </c>
      <c r="F75" s="1908">
        <v>0</v>
      </c>
      <c r="G75" s="1908">
        <v>0</v>
      </c>
      <c r="H75" s="1908">
        <v>0</v>
      </c>
      <c r="I75" s="1907">
        <v>0</v>
      </c>
      <c r="J75" s="1907">
        <v>0</v>
      </c>
      <c r="K75" s="1908"/>
      <c r="L75" s="517"/>
    </row>
    <row r="76" spans="1:12" s="481" customFormat="1" ht="14.25" thickTop="1" thickBot="1" x14ac:dyDescent="0.25">
      <c r="A76" s="2233" t="s">
        <v>439</v>
      </c>
      <c r="B76" s="2234"/>
      <c r="C76" s="1656">
        <f t="shared" ref="C76:K76" si="7">SUM(C47:C75)</f>
        <v>246811</v>
      </c>
      <c r="D76" s="1656">
        <f t="shared" si="7"/>
        <v>0</v>
      </c>
      <c r="E76" s="1656">
        <f t="shared" si="7"/>
        <v>32737435</v>
      </c>
      <c r="F76" s="1656">
        <f t="shared" si="7"/>
        <v>0</v>
      </c>
      <c r="G76" s="1656">
        <f t="shared" si="7"/>
        <v>0</v>
      </c>
      <c r="H76" s="1656">
        <f t="shared" si="7"/>
        <v>0</v>
      </c>
      <c r="I76" s="1656">
        <f t="shared" si="7"/>
        <v>1511732</v>
      </c>
      <c r="J76" s="1656">
        <f t="shared" si="7"/>
        <v>0</v>
      </c>
      <c r="K76" s="1656">
        <f t="shared" si="7"/>
        <v>0</v>
      </c>
      <c r="L76" s="517"/>
    </row>
    <row r="77" spans="1:12" ht="14.25" thickTop="1" thickBot="1" x14ac:dyDescent="0.25">
      <c r="A77" s="2235" t="s">
        <v>1176</v>
      </c>
      <c r="B77" s="2236"/>
      <c r="C77" s="1656">
        <f t="shared" ref="C77:K77" si="8">C44-C76</f>
        <v>-246811</v>
      </c>
      <c r="D77" s="1656">
        <f t="shared" si="8"/>
        <v>0</v>
      </c>
      <c r="E77" s="1656">
        <f t="shared" si="8"/>
        <v>455657</v>
      </c>
      <c r="F77" s="1656">
        <f t="shared" si="8"/>
        <v>0</v>
      </c>
      <c r="G77" s="1656">
        <f t="shared" si="8"/>
        <v>0</v>
      </c>
      <c r="H77" s="1656">
        <f t="shared" si="8"/>
        <v>15011732</v>
      </c>
      <c r="I77" s="1656">
        <f t="shared" si="8"/>
        <v>-7500</v>
      </c>
      <c r="J77" s="1656">
        <f t="shared" si="8"/>
        <v>0</v>
      </c>
      <c r="K77" s="1656">
        <f t="shared" si="8"/>
        <v>0</v>
      </c>
      <c r="L77" s="347"/>
    </row>
    <row r="78" spans="1:12" ht="21.75" customHeight="1" thickTop="1" thickBot="1" x14ac:dyDescent="0.25">
      <c r="A78" s="2239" t="s">
        <v>596</v>
      </c>
      <c r="B78" s="2240"/>
      <c r="C78" s="1655">
        <f t="shared" ref="C78:K78" si="9">C20+C77</f>
        <v>-151307</v>
      </c>
      <c r="D78" s="1655">
        <f t="shared" si="9"/>
        <v>536970</v>
      </c>
      <c r="E78" s="1655">
        <f t="shared" si="9"/>
        <v>464900</v>
      </c>
      <c r="F78" s="1655">
        <f t="shared" si="9"/>
        <v>272523</v>
      </c>
      <c r="G78" s="1655">
        <f t="shared" si="9"/>
        <v>-878706</v>
      </c>
      <c r="H78" s="1655">
        <f t="shared" si="9"/>
        <v>10218584</v>
      </c>
      <c r="I78" s="1655">
        <f t="shared" si="9"/>
        <v>380325</v>
      </c>
      <c r="J78" s="1655">
        <f t="shared" si="9"/>
        <v>-103557</v>
      </c>
      <c r="K78" s="1655">
        <f t="shared" si="9"/>
        <v>0</v>
      </c>
      <c r="L78" s="524"/>
    </row>
    <row r="79" spans="1:12" ht="13.5" thickTop="1" x14ac:dyDescent="0.2">
      <c r="A79" s="1447" t="s">
        <v>1923</v>
      </c>
      <c r="B79" s="525"/>
      <c r="C79" s="474">
        <v>7752450</v>
      </c>
      <c r="D79" s="1909">
        <v>4161049</v>
      </c>
      <c r="E79" s="1909">
        <v>4497153</v>
      </c>
      <c r="F79" s="1909">
        <v>1626078</v>
      </c>
      <c r="G79" s="1909">
        <v>3444268</v>
      </c>
      <c r="H79" s="1909">
        <v>134188</v>
      </c>
      <c r="I79" s="1909">
        <v>18272840</v>
      </c>
      <c r="J79" s="1909">
        <v>967685</v>
      </c>
      <c r="K79" s="1909"/>
      <c r="L79" s="347"/>
    </row>
    <row r="80" spans="1:12" x14ac:dyDescent="0.2">
      <c r="A80" s="2245" t="s">
        <v>1769</v>
      </c>
      <c r="B80" s="2246"/>
      <c r="C80" s="466"/>
      <c r="D80" s="466"/>
      <c r="E80" s="466"/>
      <c r="F80" s="466"/>
      <c r="G80" s="466"/>
      <c r="H80" s="466"/>
      <c r="I80" s="466"/>
      <c r="J80" s="466"/>
      <c r="K80" s="466"/>
      <c r="L80" s="347"/>
    </row>
    <row r="81" spans="1:12" ht="13.5" thickBot="1" x14ac:dyDescent="0.25">
      <c r="A81" s="2237" t="s">
        <v>1924</v>
      </c>
      <c r="B81" s="2238"/>
      <c r="C81" s="1641">
        <f>(SUM(C78:C80))</f>
        <v>7601143</v>
      </c>
      <c r="D81" s="1641">
        <f>SUM(D78:D80)</f>
        <v>4698019</v>
      </c>
      <c r="E81" s="1641">
        <f t="shared" ref="E81:K81" si="10">SUM(E78:E80)</f>
        <v>4962053</v>
      </c>
      <c r="F81" s="1641">
        <f t="shared" si="10"/>
        <v>1898601</v>
      </c>
      <c r="G81" s="1641">
        <f t="shared" si="10"/>
        <v>2565562</v>
      </c>
      <c r="H81" s="1641">
        <f t="shared" si="10"/>
        <v>10352772</v>
      </c>
      <c r="I81" s="1641">
        <f t="shared" si="10"/>
        <v>18653165</v>
      </c>
      <c r="J81" s="1641">
        <f t="shared" si="10"/>
        <v>864128</v>
      </c>
      <c r="K81" s="1641">
        <f t="shared" si="10"/>
        <v>0</v>
      </c>
      <c r="L81" s="347"/>
    </row>
    <row r="82" spans="1:12" ht="0.75" customHeight="1" thickTop="1" thickBot="1" x14ac:dyDescent="0.25">
      <c r="A82" s="526" t="s">
        <v>342</v>
      </c>
      <c r="B82" s="527"/>
      <c r="C82" s="528">
        <f>(C81-C79)</f>
        <v>-151307</v>
      </c>
      <c r="D82" s="528">
        <f t="shared" ref="D82:K82" si="11">(D81-D79)</f>
        <v>536970</v>
      </c>
      <c r="E82" s="528">
        <f t="shared" si="11"/>
        <v>464900</v>
      </c>
      <c r="F82" s="528">
        <f t="shared" si="11"/>
        <v>272523</v>
      </c>
      <c r="G82" s="528">
        <f t="shared" si="11"/>
        <v>-878706</v>
      </c>
      <c r="H82" s="528">
        <f t="shared" si="11"/>
        <v>10218584</v>
      </c>
      <c r="I82" s="528">
        <f t="shared" si="11"/>
        <v>380325</v>
      </c>
      <c r="J82" s="528">
        <f t="shared" si="11"/>
        <v>-103557</v>
      </c>
      <c r="K82" s="528">
        <f t="shared" si="11"/>
        <v>0</v>
      </c>
    </row>
    <row r="83" spans="1:12" ht="14.25" hidden="1" thickTop="1" thickBot="1" x14ac:dyDescent="0.25">
      <c r="A83" s="529" t="s">
        <v>343</v>
      </c>
      <c r="B83" s="464"/>
      <c r="C83" s="530">
        <f>C82/C81</f>
        <v>-1.9905822058603556E-2</v>
      </c>
      <c r="D83" s="530">
        <f t="shared" ref="D83:K83" si="12">D82/D81</f>
        <v>0.11429711118665123</v>
      </c>
      <c r="E83" s="530">
        <f t="shared" si="12"/>
        <v>9.3691058922587084E-2</v>
      </c>
      <c r="F83" s="530">
        <f t="shared" si="12"/>
        <v>0.14353884781478574</v>
      </c>
      <c r="G83" s="530">
        <f t="shared" si="12"/>
        <v>-0.34250039562481827</v>
      </c>
      <c r="H83" s="530">
        <f t="shared" si="12"/>
        <v>0.98703844728735457</v>
      </c>
      <c r="I83" s="530">
        <f t="shared" si="12"/>
        <v>2.0389301225824143E-2</v>
      </c>
      <c r="J83" s="530">
        <f t="shared" si="12"/>
        <v>-0.11983988483187676</v>
      </c>
      <c r="K83" s="530" t="e">
        <f t="shared" si="12"/>
        <v>#DIV/0!</v>
      </c>
    </row>
    <row r="84" spans="1:12" ht="13.5" thickTop="1" x14ac:dyDescent="0.2"/>
    <row r="86" spans="1:12" x14ac:dyDescent="0.2">
      <c r="C86" s="496"/>
      <c r="D86" s="496"/>
      <c r="E86" s="496"/>
      <c r="F86" s="496"/>
      <c r="G86" s="496"/>
      <c r="H86" s="496"/>
      <c r="I86" s="496"/>
      <c r="J86" s="496"/>
    </row>
    <row r="87" spans="1:12" x14ac:dyDescent="0.2">
      <c r="C87" s="496"/>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9"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162" activePane="bottomLeft" state="frozen"/>
      <selection activeCell="AF22" sqref="AF22"/>
      <selection pane="bottomLeft" activeCell="C193" sqref="C193"/>
    </sheetView>
  </sheetViews>
  <sheetFormatPr defaultColWidth="9.140625" defaultRowHeight="12.75" x14ac:dyDescent="0.2"/>
  <cols>
    <col min="1" max="1" width="54.140625" style="571" customWidth="1"/>
    <col min="2" max="2" width="4.7109375" style="572" customWidth="1"/>
    <col min="3" max="11" width="13.7109375" style="384" customWidth="1"/>
    <col min="12" max="16384" width="9.140625" style="384"/>
  </cols>
  <sheetData>
    <row r="1" spans="1:12" x14ac:dyDescent="0.2">
      <c r="A1" s="2241" t="s">
        <v>1776</v>
      </c>
      <c r="B1" s="452"/>
      <c r="C1" s="453" t="s">
        <v>424</v>
      </c>
      <c r="D1" s="453" t="s">
        <v>425</v>
      </c>
      <c r="E1" s="453" t="s">
        <v>426</v>
      </c>
      <c r="F1" s="453" t="s">
        <v>427</v>
      </c>
      <c r="G1" s="453" t="s">
        <v>428</v>
      </c>
      <c r="H1" s="453" t="s">
        <v>429</v>
      </c>
      <c r="I1" s="453" t="s">
        <v>430</v>
      </c>
      <c r="J1" s="453" t="s">
        <v>431</v>
      </c>
      <c r="K1" s="453" t="s">
        <v>755</v>
      </c>
    </row>
    <row r="2" spans="1:12" ht="36" x14ac:dyDescent="0.2">
      <c r="A2" s="2242"/>
      <c r="B2" s="531" t="s">
        <v>377</v>
      </c>
      <c r="C2" s="532" t="s">
        <v>1154</v>
      </c>
      <c r="D2" s="532" t="s">
        <v>869</v>
      </c>
      <c r="E2" s="532" t="s">
        <v>437</v>
      </c>
      <c r="F2" s="532" t="s">
        <v>155</v>
      </c>
      <c r="G2" s="532" t="s">
        <v>988</v>
      </c>
      <c r="H2" s="532" t="s">
        <v>436</v>
      </c>
      <c r="I2" s="532" t="s">
        <v>406</v>
      </c>
      <c r="J2" s="532" t="s">
        <v>435</v>
      </c>
      <c r="K2" s="532" t="s">
        <v>157</v>
      </c>
    </row>
    <row r="3" spans="1:12" ht="16.7" customHeight="1" x14ac:dyDescent="0.2">
      <c r="A3" s="1532" t="s">
        <v>113</v>
      </c>
      <c r="B3" s="1533"/>
      <c r="C3" s="1534"/>
      <c r="D3" s="1534"/>
      <c r="E3" s="1534"/>
      <c r="F3" s="1535"/>
      <c r="G3" s="1536"/>
      <c r="H3" s="1535"/>
      <c r="I3" s="1535"/>
      <c r="J3" s="1535"/>
      <c r="K3" s="1537"/>
    </row>
    <row r="4" spans="1:12" ht="15.75" customHeight="1" x14ac:dyDescent="0.2">
      <c r="A4" s="1543" t="s">
        <v>378</v>
      </c>
      <c r="B4" s="1544">
        <v>1100</v>
      </c>
      <c r="C4" s="533"/>
      <c r="D4" s="533"/>
      <c r="E4" s="533"/>
      <c r="F4" s="534"/>
      <c r="G4" s="535"/>
      <c r="H4" s="536"/>
      <c r="I4" s="536"/>
      <c r="J4" s="536"/>
      <c r="K4" s="536"/>
    </row>
    <row r="5" spans="1:12" ht="15" x14ac:dyDescent="0.2">
      <c r="A5" s="486" t="s">
        <v>1648</v>
      </c>
      <c r="B5" s="537"/>
      <c r="C5" s="477">
        <v>34027726</v>
      </c>
      <c r="D5" s="477">
        <v>3555917</v>
      </c>
      <c r="E5" s="1905">
        <v>7542975</v>
      </c>
      <c r="F5" s="1913">
        <v>2278753</v>
      </c>
      <c r="G5" s="1911">
        <v>0</v>
      </c>
      <c r="H5" s="1911">
        <v>0</v>
      </c>
      <c r="I5" s="1911">
        <v>45199</v>
      </c>
      <c r="J5" s="1915">
        <v>219621</v>
      </c>
      <c r="K5" s="1914"/>
    </row>
    <row r="6" spans="1:12" ht="15" x14ac:dyDescent="0.2">
      <c r="A6" s="463" t="s">
        <v>1649</v>
      </c>
      <c r="B6" s="469">
        <v>1130</v>
      </c>
      <c r="C6" s="1905">
        <v>0</v>
      </c>
      <c r="D6" s="1905">
        <v>0</v>
      </c>
      <c r="E6" s="472"/>
      <c r="F6" s="472"/>
      <c r="G6" s="467"/>
      <c r="H6" s="467"/>
      <c r="I6" s="467"/>
      <c r="J6" s="467"/>
      <c r="K6" s="467"/>
    </row>
    <row r="7" spans="1:12" x14ac:dyDescent="0.2">
      <c r="A7" s="463" t="s">
        <v>110</v>
      </c>
      <c r="B7" s="538">
        <v>1140</v>
      </c>
      <c r="C7" s="1905">
        <v>346445</v>
      </c>
      <c r="D7" s="1905">
        <v>0</v>
      </c>
      <c r="E7" s="467"/>
      <c r="F7" s="1912">
        <v>0</v>
      </c>
      <c r="G7" s="1912">
        <v>0</v>
      </c>
      <c r="H7" s="1912">
        <v>0</v>
      </c>
      <c r="I7" s="467"/>
      <c r="J7" s="467"/>
      <c r="K7" s="467"/>
    </row>
    <row r="8" spans="1:12" x14ac:dyDescent="0.2">
      <c r="A8" s="463" t="s">
        <v>412</v>
      </c>
      <c r="B8" s="469">
        <v>1150</v>
      </c>
      <c r="C8" s="472"/>
      <c r="D8" s="472"/>
      <c r="E8" s="473"/>
      <c r="F8" s="473"/>
      <c r="G8" s="477">
        <v>410214</v>
      </c>
      <c r="H8" s="467"/>
      <c r="I8" s="467"/>
      <c r="J8" s="467"/>
      <c r="K8" s="467"/>
    </row>
    <row r="9" spans="1:12" x14ac:dyDescent="0.2">
      <c r="A9" s="471" t="s">
        <v>111</v>
      </c>
      <c r="B9" s="469">
        <v>1160</v>
      </c>
      <c r="C9" s="467"/>
      <c r="D9" s="1906">
        <v>0</v>
      </c>
      <c r="E9" s="1912">
        <v>0</v>
      </c>
      <c r="F9" s="468"/>
      <c r="G9" s="472"/>
      <c r="H9" s="1912">
        <v>0</v>
      </c>
      <c r="I9" s="467"/>
      <c r="J9" s="467"/>
      <c r="K9" s="467"/>
    </row>
    <row r="10" spans="1:12" x14ac:dyDescent="0.2">
      <c r="A10" s="471" t="s">
        <v>112</v>
      </c>
      <c r="B10" s="469">
        <v>1170</v>
      </c>
      <c r="C10" s="1906">
        <v>0</v>
      </c>
      <c r="D10" s="519"/>
      <c r="E10" s="519"/>
      <c r="F10" s="468"/>
      <c r="G10" s="467"/>
      <c r="H10" s="467"/>
      <c r="I10" s="467"/>
      <c r="J10" s="467"/>
      <c r="K10" s="467"/>
    </row>
    <row r="11" spans="1:12" x14ac:dyDescent="0.2">
      <c r="A11" s="471" t="s">
        <v>413</v>
      </c>
      <c r="B11" s="539">
        <v>1190</v>
      </c>
      <c r="C11" s="1910">
        <v>0</v>
      </c>
      <c r="D11" s="1905">
        <v>0</v>
      </c>
      <c r="E11" s="1911">
        <v>0</v>
      </c>
      <c r="F11" s="1911">
        <v>0</v>
      </c>
      <c r="G11" s="1911">
        <v>83617</v>
      </c>
      <c r="H11" s="1911">
        <v>0</v>
      </c>
      <c r="I11" s="1911">
        <v>0</v>
      </c>
      <c r="J11" s="1915">
        <v>0</v>
      </c>
      <c r="K11" s="1914"/>
      <c r="L11" s="540"/>
    </row>
    <row r="12" spans="1:12" ht="12.75" customHeight="1" thickBot="1" x14ac:dyDescent="0.25">
      <c r="A12" s="1658" t="s">
        <v>29</v>
      </c>
      <c r="B12" s="1659"/>
      <c r="C12" s="1660">
        <f t="shared" ref="C12:K12" si="0">SUM(C5:C11)</f>
        <v>34374171</v>
      </c>
      <c r="D12" s="1660">
        <f t="shared" si="0"/>
        <v>3555917</v>
      </c>
      <c r="E12" s="1660">
        <f t="shared" si="0"/>
        <v>7542975</v>
      </c>
      <c r="F12" s="1660">
        <f t="shared" si="0"/>
        <v>2278753</v>
      </c>
      <c r="G12" s="1660">
        <f t="shared" si="0"/>
        <v>493831</v>
      </c>
      <c r="H12" s="1660">
        <f t="shared" si="0"/>
        <v>0</v>
      </c>
      <c r="I12" s="1660">
        <f t="shared" si="0"/>
        <v>45199</v>
      </c>
      <c r="J12" s="1660">
        <f t="shared" si="0"/>
        <v>219621</v>
      </c>
      <c r="K12" s="1641">
        <f t="shared" si="0"/>
        <v>0</v>
      </c>
    </row>
    <row r="13" spans="1:12" ht="15.75" customHeight="1" thickTop="1" x14ac:dyDescent="0.2">
      <c r="A13" s="1545" t="s">
        <v>450</v>
      </c>
      <c r="B13" s="1546">
        <v>1200</v>
      </c>
      <c r="C13" s="541"/>
      <c r="D13" s="541"/>
      <c r="E13" s="541"/>
      <c r="F13" s="541"/>
      <c r="G13" s="541"/>
      <c r="H13" s="541"/>
      <c r="I13" s="541"/>
      <c r="J13" s="541"/>
      <c r="K13" s="467"/>
    </row>
    <row r="14" spans="1:12" x14ac:dyDescent="0.2">
      <c r="A14" s="463" t="s">
        <v>3</v>
      </c>
      <c r="B14" s="469">
        <v>1210</v>
      </c>
      <c r="C14" s="1919">
        <v>0</v>
      </c>
      <c r="D14" s="1914">
        <v>0</v>
      </c>
      <c r="E14" s="1914">
        <v>0</v>
      </c>
      <c r="F14" s="1914">
        <v>0</v>
      </c>
      <c r="G14" s="1914">
        <v>0</v>
      </c>
      <c r="H14" s="1914">
        <v>0</v>
      </c>
      <c r="I14" s="1914">
        <v>0</v>
      </c>
      <c r="J14" s="1915">
        <v>0</v>
      </c>
      <c r="K14" s="1914"/>
    </row>
    <row r="15" spans="1:12" ht="12.75" customHeight="1" x14ac:dyDescent="0.2">
      <c r="A15" s="463" t="s">
        <v>95</v>
      </c>
      <c r="B15" s="469">
        <v>1220</v>
      </c>
      <c r="C15" s="1919">
        <v>0</v>
      </c>
      <c r="D15" s="1914">
        <v>0</v>
      </c>
      <c r="E15" s="1914">
        <v>0</v>
      </c>
      <c r="F15" s="1914">
        <v>0</v>
      </c>
      <c r="G15" s="1914">
        <v>0</v>
      </c>
      <c r="H15" s="1914">
        <v>0</v>
      </c>
      <c r="I15" s="1914">
        <v>0</v>
      </c>
      <c r="J15" s="1915">
        <v>0</v>
      </c>
      <c r="K15" s="1914"/>
    </row>
    <row r="16" spans="1:12" ht="15" customHeight="1" x14ac:dyDescent="0.2">
      <c r="A16" s="463" t="s">
        <v>1650</v>
      </c>
      <c r="B16" s="538">
        <v>1230</v>
      </c>
      <c r="C16" s="1919">
        <v>0</v>
      </c>
      <c r="D16" s="1914">
        <v>340510</v>
      </c>
      <c r="E16" s="1914">
        <v>0</v>
      </c>
      <c r="F16" s="1914">
        <v>0</v>
      </c>
      <c r="G16" s="1914">
        <v>0</v>
      </c>
      <c r="H16" s="1914">
        <v>0</v>
      </c>
      <c r="I16" s="1914">
        <v>0</v>
      </c>
      <c r="J16" s="1915">
        <v>0</v>
      </c>
      <c r="K16" s="1914"/>
    </row>
    <row r="17" spans="1:11" ht="12.75" customHeight="1" x14ac:dyDescent="0.2">
      <c r="A17" s="463" t="s">
        <v>806</v>
      </c>
      <c r="B17" s="469">
        <v>1290</v>
      </c>
      <c r="C17" s="1919">
        <v>0</v>
      </c>
      <c r="D17" s="1914">
        <v>0</v>
      </c>
      <c r="E17" s="1914">
        <v>0</v>
      </c>
      <c r="F17" s="1914">
        <v>0</v>
      </c>
      <c r="G17" s="1914">
        <v>0</v>
      </c>
      <c r="H17" s="1914">
        <v>0</v>
      </c>
      <c r="I17" s="1914">
        <v>0</v>
      </c>
      <c r="J17" s="1915">
        <v>0</v>
      </c>
      <c r="K17" s="1914"/>
    </row>
    <row r="18" spans="1:11" ht="12.75" customHeight="1" thickBot="1" x14ac:dyDescent="0.25">
      <c r="A18" s="1661" t="s">
        <v>536</v>
      </c>
      <c r="B18" s="1662"/>
      <c r="C18" s="1663">
        <f>SUM(C14:C17)</f>
        <v>0</v>
      </c>
      <c r="D18" s="1663">
        <f t="shared" ref="D18:K18" si="1">SUM(D14:D17)</f>
        <v>340510</v>
      </c>
      <c r="E18" s="1663">
        <f t="shared" si="1"/>
        <v>0</v>
      </c>
      <c r="F18" s="1663">
        <f t="shared" si="1"/>
        <v>0</v>
      </c>
      <c r="G18" s="1663">
        <f t="shared" si="1"/>
        <v>0</v>
      </c>
      <c r="H18" s="1663">
        <f t="shared" si="1"/>
        <v>0</v>
      </c>
      <c r="I18" s="1663">
        <f t="shared" si="1"/>
        <v>0</v>
      </c>
      <c r="J18" s="1663">
        <f t="shared" si="1"/>
        <v>0</v>
      </c>
      <c r="K18" s="1664">
        <f t="shared" si="1"/>
        <v>0</v>
      </c>
    </row>
    <row r="19" spans="1:11" ht="15.75" customHeight="1" thickTop="1" x14ac:dyDescent="0.2">
      <c r="A19" s="1545" t="s">
        <v>451</v>
      </c>
      <c r="B19" s="1546">
        <v>1300</v>
      </c>
      <c r="C19" s="542"/>
      <c r="D19" s="542"/>
      <c r="E19" s="542"/>
      <c r="F19" s="542"/>
      <c r="G19" s="541"/>
      <c r="H19" s="542"/>
      <c r="I19" s="542"/>
      <c r="J19" s="542"/>
      <c r="K19" s="543"/>
    </row>
    <row r="20" spans="1:11" x14ac:dyDescent="0.2">
      <c r="A20" s="463" t="s">
        <v>1072</v>
      </c>
      <c r="B20" s="469">
        <v>1311</v>
      </c>
      <c r="C20" s="1914">
        <v>0</v>
      </c>
      <c r="D20" s="467"/>
      <c r="E20" s="467"/>
      <c r="F20" s="467"/>
      <c r="G20" s="467"/>
      <c r="H20" s="467"/>
      <c r="I20" s="467"/>
      <c r="J20" s="467"/>
      <c r="K20" s="467"/>
    </row>
    <row r="21" spans="1:11" ht="12.75" customHeight="1" x14ac:dyDescent="0.2">
      <c r="A21" s="463" t="s">
        <v>831</v>
      </c>
      <c r="B21" s="469">
        <v>1312</v>
      </c>
      <c r="C21" s="1919">
        <v>0</v>
      </c>
      <c r="D21" s="467"/>
      <c r="E21" s="467"/>
      <c r="F21" s="467"/>
      <c r="G21" s="467"/>
      <c r="H21" s="467"/>
      <c r="I21" s="467"/>
      <c r="J21" s="467"/>
      <c r="K21" s="467"/>
    </row>
    <row r="22" spans="1:11" ht="12.75" customHeight="1" x14ac:dyDescent="0.2">
      <c r="A22" s="463" t="s">
        <v>1073</v>
      </c>
      <c r="B22" s="469">
        <v>1313</v>
      </c>
      <c r="C22" s="1919">
        <v>0</v>
      </c>
      <c r="D22" s="467"/>
      <c r="E22" s="467"/>
      <c r="F22" s="467"/>
      <c r="G22" s="467"/>
      <c r="H22" s="467"/>
      <c r="I22" s="467"/>
      <c r="J22" s="467"/>
      <c r="K22" s="467"/>
    </row>
    <row r="23" spans="1:11" ht="12.75" customHeight="1" x14ac:dyDescent="0.2">
      <c r="A23" s="463" t="s">
        <v>1074</v>
      </c>
      <c r="B23" s="469">
        <v>1314</v>
      </c>
      <c r="C23" s="1918">
        <v>0</v>
      </c>
      <c r="D23" s="467"/>
      <c r="E23" s="467"/>
      <c r="F23" s="467"/>
      <c r="G23" s="467"/>
      <c r="H23" s="467"/>
      <c r="I23" s="467"/>
      <c r="J23" s="467"/>
      <c r="K23" s="467"/>
    </row>
    <row r="24" spans="1:11" ht="12.75" customHeight="1" x14ac:dyDescent="0.2">
      <c r="A24" s="463" t="s">
        <v>1026</v>
      </c>
      <c r="B24" s="469">
        <v>1321</v>
      </c>
      <c r="C24" s="1919">
        <v>86090</v>
      </c>
      <c r="D24" s="467"/>
      <c r="E24" s="467"/>
      <c r="F24" s="467"/>
      <c r="G24" s="467"/>
      <c r="H24" s="467"/>
      <c r="I24" s="467"/>
      <c r="J24" s="467"/>
      <c r="K24" s="467"/>
    </row>
    <row r="25" spans="1:11" ht="12.75" customHeight="1" x14ac:dyDescent="0.2">
      <c r="A25" s="463" t="s">
        <v>832</v>
      </c>
      <c r="B25" s="469">
        <v>1322</v>
      </c>
      <c r="C25" s="1919">
        <v>0</v>
      </c>
      <c r="D25" s="467"/>
      <c r="E25" s="467"/>
      <c r="F25" s="467"/>
      <c r="G25" s="467"/>
      <c r="H25" s="467"/>
      <c r="I25" s="467"/>
      <c r="J25" s="467"/>
      <c r="K25" s="467"/>
    </row>
    <row r="26" spans="1:11" ht="12.75" customHeight="1" x14ac:dyDescent="0.2">
      <c r="A26" s="463" t="s">
        <v>1100</v>
      </c>
      <c r="B26" s="469">
        <v>1323</v>
      </c>
      <c r="C26" s="1919">
        <v>0</v>
      </c>
      <c r="D26" s="467"/>
      <c r="E26" s="467"/>
      <c r="F26" s="467"/>
      <c r="G26" s="467"/>
      <c r="H26" s="467"/>
      <c r="I26" s="467"/>
      <c r="J26" s="467"/>
      <c r="K26" s="467"/>
    </row>
    <row r="27" spans="1:11" ht="12.75" customHeight="1" x14ac:dyDescent="0.2">
      <c r="A27" s="463" t="s">
        <v>1022</v>
      </c>
      <c r="B27" s="469">
        <v>1324</v>
      </c>
      <c r="C27" s="1918">
        <v>0</v>
      </c>
      <c r="D27" s="467"/>
      <c r="E27" s="467"/>
      <c r="F27" s="467"/>
      <c r="G27" s="467"/>
      <c r="H27" s="467"/>
      <c r="I27" s="467"/>
      <c r="J27" s="467"/>
      <c r="K27" s="467"/>
    </row>
    <row r="28" spans="1:11" ht="12.75" customHeight="1" x14ac:dyDescent="0.2">
      <c r="A28" s="463" t="s">
        <v>1023</v>
      </c>
      <c r="B28" s="469">
        <v>1331</v>
      </c>
      <c r="C28" s="1919">
        <v>0</v>
      </c>
      <c r="D28" s="467"/>
      <c r="E28" s="467"/>
      <c r="F28" s="467"/>
      <c r="G28" s="467"/>
      <c r="H28" s="467"/>
      <c r="I28" s="467"/>
      <c r="J28" s="467"/>
      <c r="K28" s="467"/>
    </row>
    <row r="29" spans="1:11" ht="12.75" customHeight="1" x14ac:dyDescent="0.2">
      <c r="A29" s="463" t="s">
        <v>833</v>
      </c>
      <c r="B29" s="469">
        <v>1332</v>
      </c>
      <c r="C29" s="1919">
        <v>0</v>
      </c>
      <c r="D29" s="467"/>
      <c r="E29" s="467"/>
      <c r="F29" s="467"/>
      <c r="G29" s="467"/>
      <c r="H29" s="467"/>
      <c r="I29" s="467"/>
      <c r="J29" s="467"/>
      <c r="K29" s="467"/>
    </row>
    <row r="30" spans="1:11" ht="12.75" customHeight="1" x14ac:dyDescent="0.2">
      <c r="A30" s="463" t="s">
        <v>1025</v>
      </c>
      <c r="B30" s="469">
        <v>1333</v>
      </c>
      <c r="C30" s="1919">
        <v>0</v>
      </c>
      <c r="D30" s="467"/>
      <c r="E30" s="467"/>
      <c r="F30" s="467"/>
      <c r="G30" s="467"/>
      <c r="H30" s="467"/>
      <c r="I30" s="467"/>
      <c r="J30" s="467"/>
      <c r="K30" s="467"/>
    </row>
    <row r="31" spans="1:11" ht="12.75" customHeight="1" x14ac:dyDescent="0.2">
      <c r="A31" s="463" t="s">
        <v>1024</v>
      </c>
      <c r="B31" s="469">
        <v>1334</v>
      </c>
      <c r="C31" s="1918">
        <v>0</v>
      </c>
      <c r="D31" s="467"/>
      <c r="E31" s="467"/>
      <c r="F31" s="467"/>
      <c r="G31" s="467"/>
      <c r="H31" s="467"/>
      <c r="I31" s="467"/>
      <c r="J31" s="467"/>
      <c r="K31" s="467"/>
    </row>
    <row r="32" spans="1:11" ht="12.75" customHeight="1" x14ac:dyDescent="0.2">
      <c r="A32" s="463" t="s">
        <v>493</v>
      </c>
      <c r="B32" s="469">
        <v>1341</v>
      </c>
      <c r="C32" s="1919">
        <v>0</v>
      </c>
      <c r="D32" s="467"/>
      <c r="E32" s="467"/>
      <c r="F32" s="467"/>
      <c r="G32" s="467"/>
      <c r="H32" s="467"/>
      <c r="I32" s="467"/>
      <c r="J32" s="467"/>
      <c r="K32" s="467"/>
    </row>
    <row r="33" spans="1:11" ht="12.75" customHeight="1" x14ac:dyDescent="0.2">
      <c r="A33" s="463" t="s">
        <v>834</v>
      </c>
      <c r="B33" s="469">
        <v>1342</v>
      </c>
      <c r="C33" s="1919">
        <v>175913</v>
      </c>
      <c r="D33" s="467"/>
      <c r="E33" s="467"/>
      <c r="F33" s="467"/>
      <c r="G33" s="467"/>
      <c r="H33" s="467"/>
      <c r="I33" s="467"/>
      <c r="J33" s="467"/>
      <c r="K33" s="467"/>
    </row>
    <row r="34" spans="1:11" ht="12.75" customHeight="1" x14ac:dyDescent="0.2">
      <c r="A34" s="463" t="s">
        <v>494</v>
      </c>
      <c r="B34" s="469">
        <v>1343</v>
      </c>
      <c r="C34" s="1919">
        <v>0</v>
      </c>
      <c r="D34" s="467"/>
      <c r="E34" s="467"/>
      <c r="F34" s="467"/>
      <c r="G34" s="467"/>
      <c r="H34" s="467"/>
      <c r="I34" s="467"/>
      <c r="J34" s="467"/>
      <c r="K34" s="467"/>
    </row>
    <row r="35" spans="1:11" ht="12.75" customHeight="1" x14ac:dyDescent="0.2">
      <c r="A35" s="463" t="s">
        <v>492</v>
      </c>
      <c r="B35" s="469">
        <v>1344</v>
      </c>
      <c r="C35" s="1918">
        <v>0</v>
      </c>
      <c r="D35" s="467"/>
      <c r="E35" s="467"/>
      <c r="F35" s="467"/>
      <c r="G35" s="467"/>
      <c r="H35" s="467"/>
      <c r="I35" s="467"/>
      <c r="J35" s="467"/>
      <c r="K35" s="467"/>
    </row>
    <row r="36" spans="1:11" ht="12.75" customHeight="1" x14ac:dyDescent="0.2">
      <c r="A36" s="463" t="s">
        <v>830</v>
      </c>
      <c r="B36" s="469">
        <v>1351</v>
      </c>
      <c r="C36" s="1919">
        <v>0</v>
      </c>
      <c r="D36" s="467"/>
      <c r="E36" s="467"/>
      <c r="F36" s="467"/>
      <c r="G36" s="467"/>
      <c r="H36" s="467"/>
      <c r="I36" s="467"/>
      <c r="J36" s="467"/>
      <c r="K36" s="467"/>
    </row>
    <row r="37" spans="1:11" ht="12.75" customHeight="1" x14ac:dyDescent="0.2">
      <c r="A37" s="463" t="s">
        <v>835</v>
      </c>
      <c r="B37" s="469">
        <v>1352</v>
      </c>
      <c r="C37" s="1919">
        <v>0</v>
      </c>
      <c r="D37" s="467"/>
      <c r="E37" s="467"/>
      <c r="F37" s="467"/>
      <c r="G37" s="467"/>
      <c r="H37" s="467"/>
      <c r="I37" s="467"/>
      <c r="J37" s="467"/>
      <c r="K37" s="467"/>
    </row>
    <row r="38" spans="1:11" ht="12.75" customHeight="1" x14ac:dyDescent="0.2">
      <c r="A38" s="463" t="s">
        <v>592</v>
      </c>
      <c r="B38" s="469">
        <v>1353</v>
      </c>
      <c r="C38" s="1919">
        <v>0</v>
      </c>
      <c r="D38" s="467"/>
      <c r="E38" s="467"/>
      <c r="F38" s="467"/>
      <c r="G38" s="467"/>
      <c r="H38" s="467"/>
      <c r="I38" s="467"/>
      <c r="J38" s="467"/>
      <c r="K38" s="467"/>
    </row>
    <row r="39" spans="1:11" ht="12.75" customHeight="1" x14ac:dyDescent="0.2">
      <c r="A39" s="1448" t="s">
        <v>593</v>
      </c>
      <c r="B39" s="544">
        <v>1354</v>
      </c>
      <c r="C39" s="1918">
        <v>0</v>
      </c>
      <c r="D39" s="467"/>
      <c r="E39" s="467"/>
      <c r="F39" s="467"/>
      <c r="G39" s="467"/>
      <c r="H39" s="467"/>
      <c r="I39" s="467"/>
      <c r="J39" s="467"/>
      <c r="K39" s="467"/>
    </row>
    <row r="40" spans="1:11" ht="12.75" customHeight="1" thickBot="1" x14ac:dyDescent="0.25">
      <c r="A40" s="1661" t="s">
        <v>537</v>
      </c>
      <c r="B40" s="1662"/>
      <c r="C40" s="1641">
        <f>SUM(C20:C39)</f>
        <v>262003</v>
      </c>
      <c r="D40" s="467"/>
      <c r="E40" s="467"/>
      <c r="F40" s="467"/>
      <c r="G40" s="467"/>
      <c r="H40" s="467"/>
      <c r="I40" s="467"/>
      <c r="J40" s="467"/>
      <c r="K40" s="467"/>
    </row>
    <row r="41" spans="1:11" ht="15.75" customHeight="1" thickTop="1" x14ac:dyDescent="0.2">
      <c r="A41" s="1545" t="s">
        <v>273</v>
      </c>
      <c r="B41" s="1546">
        <v>1400</v>
      </c>
      <c r="C41" s="467"/>
      <c r="D41" s="467"/>
      <c r="E41" s="467"/>
      <c r="F41" s="514"/>
      <c r="G41" s="467"/>
      <c r="H41" s="467"/>
      <c r="I41" s="467"/>
      <c r="J41" s="467"/>
      <c r="K41" s="467"/>
    </row>
    <row r="42" spans="1:11" ht="12.75" customHeight="1" x14ac:dyDescent="0.2">
      <c r="A42" s="463" t="s">
        <v>1075</v>
      </c>
      <c r="B42" s="469">
        <v>1411</v>
      </c>
      <c r="C42" s="467"/>
      <c r="D42" s="467"/>
      <c r="E42" s="467"/>
      <c r="F42" s="477">
        <v>22486</v>
      </c>
      <c r="G42" s="467"/>
      <c r="H42" s="467"/>
      <c r="I42" s="467"/>
      <c r="J42" s="467"/>
      <c r="K42" s="467"/>
    </row>
    <row r="43" spans="1:11" ht="12.75" customHeight="1" x14ac:dyDescent="0.2">
      <c r="A43" s="463" t="s">
        <v>836</v>
      </c>
      <c r="B43" s="469">
        <v>1412</v>
      </c>
      <c r="C43" s="467"/>
      <c r="D43" s="467"/>
      <c r="E43" s="467"/>
      <c r="F43" s="1914">
        <v>0</v>
      </c>
      <c r="G43" s="467"/>
      <c r="H43" s="467"/>
      <c r="I43" s="467"/>
      <c r="J43" s="467"/>
      <c r="K43" s="467"/>
    </row>
    <row r="44" spans="1:11" ht="12.75" customHeight="1" x14ac:dyDescent="0.2">
      <c r="A44" s="463" t="s">
        <v>383</v>
      </c>
      <c r="B44" s="469">
        <v>1413</v>
      </c>
      <c r="C44" s="467"/>
      <c r="D44" s="467"/>
      <c r="E44" s="467"/>
      <c r="F44" s="1914">
        <v>0</v>
      </c>
      <c r="G44" s="467"/>
      <c r="H44" s="467"/>
      <c r="I44" s="467"/>
      <c r="J44" s="467"/>
      <c r="K44" s="467"/>
    </row>
    <row r="45" spans="1:11" ht="12.75" customHeight="1" x14ac:dyDescent="0.2">
      <c r="A45" s="463" t="s">
        <v>240</v>
      </c>
      <c r="B45" s="469">
        <v>1415</v>
      </c>
      <c r="C45" s="467"/>
      <c r="D45" s="467"/>
      <c r="E45" s="467"/>
      <c r="F45" s="1914">
        <v>0</v>
      </c>
      <c r="G45" s="467"/>
      <c r="H45" s="467"/>
      <c r="I45" s="467"/>
      <c r="J45" s="467"/>
      <c r="K45" s="467"/>
    </row>
    <row r="46" spans="1:11" ht="12.75" customHeight="1" x14ac:dyDescent="0.2">
      <c r="A46" s="463" t="s">
        <v>1173</v>
      </c>
      <c r="B46" s="469">
        <v>1416</v>
      </c>
      <c r="C46" s="467"/>
      <c r="D46" s="467"/>
      <c r="E46" s="467"/>
      <c r="F46" s="1915">
        <v>0</v>
      </c>
      <c r="G46" s="467"/>
      <c r="H46" s="467"/>
      <c r="I46" s="467"/>
      <c r="J46" s="467"/>
      <c r="K46" s="467"/>
    </row>
    <row r="47" spans="1:11" ht="12.75" customHeight="1" x14ac:dyDescent="0.2">
      <c r="A47" s="463" t="s">
        <v>57</v>
      </c>
      <c r="B47" s="469">
        <v>1421</v>
      </c>
      <c r="C47" s="467"/>
      <c r="D47" s="467"/>
      <c r="E47" s="467"/>
      <c r="F47" s="1914">
        <v>0</v>
      </c>
      <c r="G47" s="467"/>
      <c r="H47" s="467"/>
      <c r="I47" s="467"/>
      <c r="J47" s="467"/>
      <c r="K47" s="467"/>
    </row>
    <row r="48" spans="1:11" ht="12.75" customHeight="1" x14ac:dyDescent="0.2">
      <c r="A48" s="463" t="s">
        <v>837</v>
      </c>
      <c r="B48" s="469">
        <v>1422</v>
      </c>
      <c r="C48" s="467"/>
      <c r="D48" s="467"/>
      <c r="E48" s="467"/>
      <c r="F48" s="1914">
        <v>0</v>
      </c>
      <c r="G48" s="467"/>
      <c r="H48" s="467"/>
      <c r="I48" s="467"/>
      <c r="J48" s="467"/>
      <c r="K48" s="467"/>
    </row>
    <row r="49" spans="1:11" ht="12.75" customHeight="1" x14ac:dyDescent="0.2">
      <c r="A49" s="463" t="s">
        <v>58</v>
      </c>
      <c r="B49" s="469">
        <v>1423</v>
      </c>
      <c r="C49" s="467"/>
      <c r="D49" s="467"/>
      <c r="E49" s="467"/>
      <c r="F49" s="1914">
        <v>0</v>
      </c>
      <c r="G49" s="467"/>
      <c r="H49" s="467"/>
      <c r="I49" s="467"/>
      <c r="J49" s="467"/>
      <c r="K49" s="467"/>
    </row>
    <row r="50" spans="1:11" ht="12.75" customHeight="1" x14ac:dyDescent="0.2">
      <c r="A50" s="463" t="s">
        <v>59</v>
      </c>
      <c r="B50" s="469">
        <v>1424</v>
      </c>
      <c r="C50" s="467"/>
      <c r="D50" s="467"/>
      <c r="E50" s="467"/>
      <c r="F50" s="1915">
        <v>0</v>
      </c>
      <c r="G50" s="467"/>
      <c r="H50" s="467"/>
      <c r="I50" s="467"/>
      <c r="J50" s="467"/>
      <c r="K50" s="467"/>
    </row>
    <row r="51" spans="1:11" ht="12.75" customHeight="1" x14ac:dyDescent="0.2">
      <c r="A51" s="1449" t="s">
        <v>60</v>
      </c>
      <c r="B51" s="545">
        <v>1431</v>
      </c>
      <c r="C51" s="467"/>
      <c r="D51" s="467"/>
      <c r="E51" s="467"/>
      <c r="F51" s="1914">
        <v>0</v>
      </c>
      <c r="G51" s="467"/>
      <c r="H51" s="467"/>
      <c r="I51" s="467"/>
      <c r="J51" s="467"/>
      <c r="K51" s="467"/>
    </row>
    <row r="52" spans="1:11" ht="12.75" customHeight="1" x14ac:dyDescent="0.2">
      <c r="A52" s="1449" t="s">
        <v>1105</v>
      </c>
      <c r="B52" s="545">
        <v>1432</v>
      </c>
      <c r="C52" s="467"/>
      <c r="D52" s="467"/>
      <c r="E52" s="467"/>
      <c r="F52" s="1914">
        <v>0</v>
      </c>
      <c r="G52" s="467"/>
      <c r="H52" s="467"/>
      <c r="I52" s="467"/>
      <c r="J52" s="467"/>
      <c r="K52" s="467"/>
    </row>
    <row r="53" spans="1:11" ht="12.75" customHeight="1" x14ac:dyDescent="0.2">
      <c r="A53" s="1449" t="s">
        <v>61</v>
      </c>
      <c r="B53" s="545">
        <v>1433</v>
      </c>
      <c r="C53" s="467"/>
      <c r="D53" s="467"/>
      <c r="E53" s="467"/>
      <c r="F53" s="1914">
        <v>0</v>
      </c>
      <c r="G53" s="467"/>
      <c r="H53" s="467"/>
      <c r="I53" s="467"/>
      <c r="J53" s="467"/>
      <c r="K53" s="467"/>
    </row>
    <row r="54" spans="1:11" ht="12.75" customHeight="1" x14ac:dyDescent="0.2">
      <c r="A54" s="1449" t="s">
        <v>62</v>
      </c>
      <c r="B54" s="545">
        <v>1434</v>
      </c>
      <c r="C54" s="467"/>
      <c r="D54" s="467"/>
      <c r="E54" s="467"/>
      <c r="F54" s="1915">
        <v>0</v>
      </c>
      <c r="G54" s="467"/>
      <c r="H54" s="467"/>
      <c r="I54" s="467"/>
      <c r="J54" s="467"/>
      <c r="K54" s="467"/>
    </row>
    <row r="55" spans="1:11" ht="12.75" customHeight="1" x14ac:dyDescent="0.2">
      <c r="A55" s="1449" t="s">
        <v>63</v>
      </c>
      <c r="B55" s="545">
        <v>1441</v>
      </c>
      <c r="C55" s="467"/>
      <c r="D55" s="467"/>
      <c r="E55" s="467"/>
      <c r="F55" s="1914">
        <v>0</v>
      </c>
      <c r="G55" s="467"/>
      <c r="H55" s="467"/>
      <c r="I55" s="467"/>
      <c r="J55" s="467"/>
      <c r="K55" s="467"/>
    </row>
    <row r="56" spans="1:11" ht="12.75" customHeight="1" x14ac:dyDescent="0.2">
      <c r="A56" s="1449" t="s">
        <v>1106</v>
      </c>
      <c r="B56" s="545">
        <v>1442</v>
      </c>
      <c r="C56" s="467"/>
      <c r="D56" s="467"/>
      <c r="E56" s="467"/>
      <c r="F56" s="1914">
        <v>0</v>
      </c>
      <c r="G56" s="467"/>
      <c r="H56" s="467"/>
      <c r="I56" s="467"/>
      <c r="J56" s="467"/>
      <c r="K56" s="467"/>
    </row>
    <row r="57" spans="1:11" ht="12.75" customHeight="1" x14ac:dyDescent="0.2">
      <c r="A57" s="1449" t="s">
        <v>488</v>
      </c>
      <c r="B57" s="545">
        <v>1443</v>
      </c>
      <c r="C57" s="467"/>
      <c r="D57" s="467"/>
      <c r="E57" s="467"/>
      <c r="F57" s="1914">
        <v>0</v>
      </c>
      <c r="G57" s="467"/>
      <c r="H57" s="467"/>
      <c r="I57" s="467"/>
      <c r="J57" s="467"/>
      <c r="K57" s="467"/>
    </row>
    <row r="58" spans="1:11" ht="12.75" customHeight="1" x14ac:dyDescent="0.2">
      <c r="A58" s="1449" t="s">
        <v>65</v>
      </c>
      <c r="B58" s="545">
        <v>1444</v>
      </c>
      <c r="C58" s="467"/>
      <c r="D58" s="467"/>
      <c r="E58" s="467"/>
      <c r="F58" s="1914">
        <v>0</v>
      </c>
      <c r="G58" s="467"/>
      <c r="H58" s="467"/>
      <c r="I58" s="467"/>
      <c r="J58" s="467"/>
      <c r="K58" s="467"/>
    </row>
    <row r="59" spans="1:11" ht="12.75" customHeight="1" x14ac:dyDescent="0.2">
      <c r="A59" s="1449" t="s">
        <v>877</v>
      </c>
      <c r="B59" s="545">
        <v>1451</v>
      </c>
      <c r="C59" s="467"/>
      <c r="D59" s="467"/>
      <c r="E59" s="467"/>
      <c r="F59" s="1914">
        <v>0</v>
      </c>
      <c r="G59" s="467"/>
      <c r="H59" s="467"/>
      <c r="I59" s="467"/>
      <c r="J59" s="467"/>
      <c r="K59" s="467"/>
    </row>
    <row r="60" spans="1:11" ht="12.75" customHeight="1" x14ac:dyDescent="0.2">
      <c r="A60" s="1449" t="s">
        <v>1107</v>
      </c>
      <c r="B60" s="545">
        <v>1452</v>
      </c>
      <c r="C60" s="467"/>
      <c r="D60" s="467"/>
      <c r="E60" s="467"/>
      <c r="F60" s="1914">
        <v>0</v>
      </c>
      <c r="G60" s="467"/>
      <c r="H60" s="467"/>
      <c r="I60" s="467"/>
      <c r="J60" s="467"/>
      <c r="K60" s="467"/>
    </row>
    <row r="61" spans="1:11" ht="12.75" customHeight="1" x14ac:dyDescent="0.2">
      <c r="A61" s="551" t="s">
        <v>878</v>
      </c>
      <c r="B61" s="545">
        <v>1453</v>
      </c>
      <c r="C61" s="467"/>
      <c r="D61" s="467"/>
      <c r="E61" s="467"/>
      <c r="F61" s="1914">
        <v>0</v>
      </c>
      <c r="G61" s="467"/>
      <c r="H61" s="467"/>
      <c r="I61" s="467"/>
      <c r="J61" s="467"/>
      <c r="K61" s="467"/>
    </row>
    <row r="62" spans="1:11" ht="12.75" customHeight="1" x14ac:dyDescent="0.2">
      <c r="A62" s="1450" t="s">
        <v>879</v>
      </c>
      <c r="B62" s="546">
        <v>1454</v>
      </c>
      <c r="C62" s="467"/>
      <c r="D62" s="467"/>
      <c r="E62" s="467"/>
      <c r="F62" s="1915">
        <v>0</v>
      </c>
      <c r="G62" s="467"/>
      <c r="H62" s="467"/>
      <c r="I62" s="467"/>
      <c r="J62" s="467"/>
      <c r="K62" s="467"/>
    </row>
    <row r="63" spans="1:11" ht="12.75" customHeight="1" thickBot="1" x14ac:dyDescent="0.25">
      <c r="A63" s="1661" t="s">
        <v>484</v>
      </c>
      <c r="B63" s="1662"/>
      <c r="C63" s="467"/>
      <c r="D63" s="467"/>
      <c r="E63" s="467"/>
      <c r="F63" s="1641">
        <f>SUM(F42:F62)</f>
        <v>22486</v>
      </c>
      <c r="G63" s="467"/>
      <c r="H63" s="467"/>
      <c r="I63" s="467"/>
      <c r="J63" s="467"/>
      <c r="K63" s="467"/>
    </row>
    <row r="64" spans="1:11" ht="15.75" customHeight="1" thickTop="1" x14ac:dyDescent="0.2">
      <c r="A64" s="1545" t="s">
        <v>453</v>
      </c>
      <c r="B64" s="1546">
        <v>1500</v>
      </c>
      <c r="C64" s="467"/>
      <c r="D64" s="467"/>
      <c r="E64" s="467"/>
      <c r="F64" s="467"/>
      <c r="G64" s="467"/>
      <c r="H64" s="467"/>
      <c r="I64" s="467"/>
      <c r="J64" s="467"/>
      <c r="K64" s="467"/>
    </row>
    <row r="65" spans="1:11" ht="12.75" customHeight="1" x14ac:dyDescent="0.2">
      <c r="A65" s="463" t="s">
        <v>546</v>
      </c>
      <c r="B65" s="469">
        <v>1510</v>
      </c>
      <c r="C65" s="1914">
        <v>144748</v>
      </c>
      <c r="D65" s="1914">
        <v>78022</v>
      </c>
      <c r="E65" s="1914">
        <v>84324</v>
      </c>
      <c r="F65" s="1915">
        <v>30490</v>
      </c>
      <c r="G65" s="1914">
        <v>64582</v>
      </c>
      <c r="H65" s="1914">
        <v>2516</v>
      </c>
      <c r="I65" s="1914">
        <v>342626</v>
      </c>
      <c r="J65" s="1915">
        <v>18145</v>
      </c>
      <c r="K65" s="1914"/>
    </row>
    <row r="66" spans="1:11" ht="12.75" customHeight="1" x14ac:dyDescent="0.2">
      <c r="A66" s="463" t="s">
        <v>678</v>
      </c>
      <c r="B66" s="469">
        <v>1520</v>
      </c>
      <c r="C66" s="1914">
        <v>0</v>
      </c>
      <c r="D66" s="1914">
        <v>0</v>
      </c>
      <c r="E66" s="1914">
        <v>0</v>
      </c>
      <c r="F66" s="1914">
        <v>0</v>
      </c>
      <c r="G66" s="1914">
        <v>0</v>
      </c>
      <c r="H66" s="1914">
        <v>0</v>
      </c>
      <c r="I66" s="1914">
        <v>0</v>
      </c>
      <c r="J66" s="1915">
        <v>0</v>
      </c>
      <c r="K66" s="1914"/>
    </row>
    <row r="67" spans="1:11" ht="12.75" customHeight="1" thickBot="1" x14ac:dyDescent="0.25">
      <c r="A67" s="1661" t="s">
        <v>485</v>
      </c>
      <c r="B67" s="1662"/>
      <c r="C67" s="1641">
        <f>SUM(C65:C66)</f>
        <v>144748</v>
      </c>
      <c r="D67" s="1641">
        <f t="shared" ref="D67:K67" si="2">SUM(D65:D66)</f>
        <v>78022</v>
      </c>
      <c r="E67" s="1641">
        <f t="shared" si="2"/>
        <v>84324</v>
      </c>
      <c r="F67" s="1641">
        <f t="shared" si="2"/>
        <v>30490</v>
      </c>
      <c r="G67" s="1641">
        <f t="shared" si="2"/>
        <v>64582</v>
      </c>
      <c r="H67" s="1641">
        <f t="shared" si="2"/>
        <v>2516</v>
      </c>
      <c r="I67" s="1641">
        <f t="shared" si="2"/>
        <v>342626</v>
      </c>
      <c r="J67" s="1641">
        <f t="shared" si="2"/>
        <v>18145</v>
      </c>
      <c r="K67" s="1641">
        <f t="shared" si="2"/>
        <v>0</v>
      </c>
    </row>
    <row r="68" spans="1:11" ht="15.75" customHeight="1" thickTop="1" x14ac:dyDescent="0.2">
      <c r="A68" s="1545" t="s">
        <v>454</v>
      </c>
      <c r="B68" s="1547">
        <v>1600</v>
      </c>
      <c r="C68" s="541"/>
      <c r="D68" s="467"/>
      <c r="E68" s="467"/>
      <c r="F68" s="467"/>
      <c r="G68" s="467"/>
      <c r="H68" s="467"/>
      <c r="I68" s="467"/>
      <c r="J68" s="467"/>
      <c r="K68" s="467"/>
    </row>
    <row r="69" spans="1:11" ht="12.75" customHeight="1" x14ac:dyDescent="0.2">
      <c r="A69" s="463" t="s">
        <v>665</v>
      </c>
      <c r="B69" s="469">
        <v>1611</v>
      </c>
      <c r="C69" s="1914">
        <v>414641</v>
      </c>
      <c r="D69" s="467"/>
      <c r="E69" s="467"/>
      <c r="F69" s="467"/>
      <c r="G69" s="467"/>
      <c r="H69" s="467"/>
      <c r="I69" s="467"/>
      <c r="J69" s="467"/>
      <c r="K69" s="467"/>
    </row>
    <row r="70" spans="1:11" ht="12.75" customHeight="1" x14ac:dyDescent="0.2">
      <c r="A70" s="463" t="s">
        <v>996</v>
      </c>
      <c r="B70" s="469">
        <v>1612</v>
      </c>
      <c r="C70" s="1919">
        <v>0</v>
      </c>
      <c r="D70" s="467"/>
      <c r="E70" s="467"/>
      <c r="F70" s="467"/>
      <c r="G70" s="467"/>
      <c r="H70" s="467"/>
      <c r="I70" s="467"/>
      <c r="J70" s="467"/>
      <c r="K70" s="467"/>
    </row>
    <row r="71" spans="1:11" ht="12.75" customHeight="1" x14ac:dyDescent="0.2">
      <c r="A71" s="463" t="s">
        <v>272</v>
      </c>
      <c r="B71" s="469">
        <v>1613</v>
      </c>
      <c r="C71" s="1919">
        <v>0</v>
      </c>
      <c r="D71" s="467"/>
      <c r="E71" s="467"/>
      <c r="F71" s="467"/>
      <c r="G71" s="467"/>
      <c r="H71" s="467"/>
      <c r="I71" s="467"/>
      <c r="J71" s="467"/>
      <c r="K71" s="467"/>
    </row>
    <row r="72" spans="1:11" ht="12.75" customHeight="1" x14ac:dyDescent="0.2">
      <c r="A72" s="463" t="s">
        <v>24</v>
      </c>
      <c r="B72" s="469">
        <v>1614</v>
      </c>
      <c r="C72" s="1919">
        <v>0</v>
      </c>
      <c r="D72" s="467"/>
      <c r="E72" s="467"/>
      <c r="F72" s="467"/>
      <c r="G72" s="467"/>
      <c r="H72" s="467"/>
      <c r="I72" s="467"/>
      <c r="J72" s="467"/>
      <c r="K72" s="467"/>
    </row>
    <row r="73" spans="1:11" ht="12.75" customHeight="1" x14ac:dyDescent="0.2">
      <c r="A73" s="463" t="s">
        <v>997</v>
      </c>
      <c r="B73" s="469">
        <v>1620</v>
      </c>
      <c r="C73" s="1919">
        <v>0</v>
      </c>
      <c r="D73" s="467"/>
      <c r="E73" s="467"/>
      <c r="F73" s="467"/>
      <c r="G73" s="467"/>
      <c r="H73" s="467"/>
      <c r="I73" s="467"/>
      <c r="J73" s="467"/>
      <c r="K73" s="467"/>
    </row>
    <row r="74" spans="1:11" ht="12.75" customHeight="1" x14ac:dyDescent="0.2">
      <c r="A74" s="463" t="s">
        <v>25</v>
      </c>
      <c r="B74" s="469">
        <v>1690</v>
      </c>
      <c r="C74" s="1919">
        <v>0</v>
      </c>
      <c r="D74" s="467"/>
      <c r="E74" s="467"/>
      <c r="F74" s="467"/>
      <c r="G74" s="467"/>
      <c r="H74" s="467"/>
      <c r="I74" s="467"/>
      <c r="J74" s="467"/>
      <c r="K74" s="467"/>
    </row>
    <row r="75" spans="1:11" ht="12.75" customHeight="1" thickBot="1" x14ac:dyDescent="0.25">
      <c r="A75" s="1661" t="s">
        <v>547</v>
      </c>
      <c r="B75" s="1662"/>
      <c r="C75" s="1641">
        <f>SUM(C69:C74)</f>
        <v>414641</v>
      </c>
      <c r="D75" s="467"/>
      <c r="E75" s="467"/>
      <c r="F75" s="467"/>
      <c r="G75" s="467"/>
      <c r="H75" s="467"/>
      <c r="I75" s="467"/>
      <c r="J75" s="467"/>
      <c r="K75" s="467"/>
    </row>
    <row r="76" spans="1:11" ht="15.75" customHeight="1" thickTop="1" x14ac:dyDescent="0.2">
      <c r="A76" s="1545" t="s">
        <v>880</v>
      </c>
      <c r="B76" s="1547">
        <v>1700</v>
      </c>
      <c r="C76" s="541"/>
      <c r="D76" s="467"/>
      <c r="E76" s="467"/>
      <c r="F76" s="467"/>
      <c r="G76" s="467"/>
      <c r="H76" s="467"/>
      <c r="I76" s="467"/>
      <c r="J76" s="467"/>
      <c r="K76" s="467"/>
    </row>
    <row r="77" spans="1:11" ht="12.75" customHeight="1" x14ac:dyDescent="0.2">
      <c r="A77" s="463" t="s">
        <v>548</v>
      </c>
      <c r="B77" s="469">
        <v>1711</v>
      </c>
      <c r="C77" s="509">
        <v>74043</v>
      </c>
      <c r="D77" s="1914">
        <v>0</v>
      </c>
      <c r="E77" s="467"/>
      <c r="F77" s="467"/>
      <c r="G77" s="467"/>
      <c r="H77" s="467"/>
      <c r="I77" s="467"/>
      <c r="J77" s="467"/>
      <c r="K77" s="467"/>
    </row>
    <row r="78" spans="1:11" ht="12.75" customHeight="1" x14ac:dyDescent="0.2">
      <c r="A78" s="463" t="s">
        <v>76</v>
      </c>
      <c r="B78" s="469">
        <v>1719</v>
      </c>
      <c r="C78" s="1919">
        <v>0</v>
      </c>
      <c r="D78" s="1914">
        <v>0</v>
      </c>
      <c r="E78" s="467"/>
      <c r="F78" s="467"/>
      <c r="G78" s="467"/>
      <c r="H78" s="467"/>
      <c r="I78" s="467"/>
      <c r="J78" s="467"/>
      <c r="K78" s="467"/>
    </row>
    <row r="79" spans="1:11" ht="12.75" customHeight="1" x14ac:dyDescent="0.2">
      <c r="A79" s="463" t="s">
        <v>549</v>
      </c>
      <c r="B79" s="469">
        <v>1720</v>
      </c>
      <c r="C79" s="1919">
        <v>182923</v>
      </c>
      <c r="D79" s="1914">
        <v>0</v>
      </c>
      <c r="E79" s="467"/>
      <c r="F79" s="467"/>
      <c r="G79" s="467"/>
      <c r="H79" s="467"/>
      <c r="I79" s="467"/>
      <c r="J79" s="467"/>
      <c r="K79" s="467"/>
    </row>
    <row r="80" spans="1:11" ht="12.75" customHeight="1" x14ac:dyDescent="0.2">
      <c r="A80" s="463" t="s">
        <v>550</v>
      </c>
      <c r="B80" s="469">
        <v>1730</v>
      </c>
      <c r="C80" s="1919">
        <v>0</v>
      </c>
      <c r="D80" s="1914">
        <v>0</v>
      </c>
      <c r="E80" s="467"/>
      <c r="F80" s="467"/>
      <c r="G80" s="467"/>
      <c r="H80" s="467"/>
      <c r="I80" s="467"/>
      <c r="J80" s="467"/>
      <c r="K80" s="467"/>
    </row>
    <row r="81" spans="1:11" ht="12.75" customHeight="1" x14ac:dyDescent="0.2">
      <c r="A81" s="463" t="s">
        <v>26</v>
      </c>
      <c r="B81" s="469">
        <v>1790</v>
      </c>
      <c r="C81" s="1919">
        <v>50745</v>
      </c>
      <c r="D81" s="1914">
        <v>0</v>
      </c>
      <c r="E81" s="467"/>
      <c r="F81" s="467"/>
      <c r="G81" s="467"/>
      <c r="H81" s="467"/>
      <c r="I81" s="467"/>
      <c r="J81" s="467"/>
      <c r="K81" s="467"/>
    </row>
    <row r="82" spans="1:11" ht="12.75" customHeight="1" thickBot="1" x14ac:dyDescent="0.25">
      <c r="A82" s="1661" t="s">
        <v>241</v>
      </c>
      <c r="B82" s="1662"/>
      <c r="C82" s="1660">
        <f>SUM(C77:C81)</f>
        <v>307711</v>
      </c>
      <c r="D82" s="1641">
        <f>SUM(D77:D81)</f>
        <v>0</v>
      </c>
      <c r="E82" s="467"/>
      <c r="F82" s="467"/>
      <c r="G82" s="467"/>
      <c r="H82" s="467"/>
      <c r="I82" s="467"/>
      <c r="J82" s="467"/>
      <c r="K82" s="467"/>
    </row>
    <row r="83" spans="1:11" ht="15.75" customHeight="1" thickTop="1" x14ac:dyDescent="0.2">
      <c r="A83" s="1545" t="s">
        <v>242</v>
      </c>
      <c r="B83" s="1547">
        <v>1800</v>
      </c>
      <c r="C83" s="541"/>
      <c r="D83" s="467"/>
      <c r="E83" s="467"/>
      <c r="F83" s="467"/>
      <c r="G83" s="467"/>
      <c r="H83" s="467"/>
      <c r="I83" s="467"/>
      <c r="J83" s="467"/>
      <c r="K83" s="467"/>
    </row>
    <row r="84" spans="1:11" ht="12.75" customHeight="1" x14ac:dyDescent="0.2">
      <c r="A84" s="463" t="s">
        <v>551</v>
      </c>
      <c r="B84" s="469">
        <v>1811</v>
      </c>
      <c r="C84" s="1914">
        <v>441656</v>
      </c>
      <c r="D84" s="467"/>
      <c r="E84" s="467"/>
      <c r="F84" s="467"/>
      <c r="G84" s="467"/>
      <c r="H84" s="467"/>
      <c r="I84" s="467"/>
      <c r="J84" s="467"/>
      <c r="K84" s="467"/>
    </row>
    <row r="85" spans="1:11" ht="12.75" customHeight="1" x14ac:dyDescent="0.2">
      <c r="A85" s="463" t="s">
        <v>552</v>
      </c>
      <c r="B85" s="469">
        <v>1812</v>
      </c>
      <c r="C85" s="1919">
        <v>0</v>
      </c>
      <c r="D85" s="467"/>
      <c r="E85" s="467"/>
      <c r="F85" s="467"/>
      <c r="G85" s="467"/>
      <c r="H85" s="467"/>
      <c r="I85" s="467"/>
      <c r="J85" s="467"/>
      <c r="K85" s="467"/>
    </row>
    <row r="86" spans="1:11" ht="12.75" customHeight="1" x14ac:dyDescent="0.2">
      <c r="A86" s="463" t="s">
        <v>998</v>
      </c>
      <c r="B86" s="469">
        <v>1813</v>
      </c>
      <c r="C86" s="1919">
        <v>159358</v>
      </c>
      <c r="D86" s="467"/>
      <c r="E86" s="467"/>
      <c r="F86" s="467"/>
      <c r="G86" s="467"/>
      <c r="H86" s="467"/>
      <c r="I86" s="467"/>
      <c r="J86" s="467"/>
      <c r="K86" s="467"/>
    </row>
    <row r="87" spans="1:11" ht="12.75" customHeight="1" x14ac:dyDescent="0.2">
      <c r="A87" s="463" t="s">
        <v>77</v>
      </c>
      <c r="B87" s="469">
        <v>1819</v>
      </c>
      <c r="C87" s="1919">
        <v>0</v>
      </c>
      <c r="D87" s="467"/>
      <c r="E87" s="467"/>
      <c r="F87" s="467"/>
      <c r="G87" s="467"/>
      <c r="H87" s="467"/>
      <c r="I87" s="467"/>
      <c r="J87" s="467"/>
      <c r="K87" s="467"/>
    </row>
    <row r="88" spans="1:11" ht="12.75" customHeight="1" x14ac:dyDescent="0.2">
      <c r="A88" s="463" t="s">
        <v>553</v>
      </c>
      <c r="B88" s="469">
        <v>1821</v>
      </c>
      <c r="C88" s="1919">
        <v>0</v>
      </c>
      <c r="D88" s="467"/>
      <c r="E88" s="467"/>
      <c r="F88" s="467"/>
      <c r="G88" s="467"/>
      <c r="H88" s="467"/>
      <c r="I88" s="467"/>
      <c r="J88" s="467"/>
      <c r="K88" s="467"/>
    </row>
    <row r="89" spans="1:11" ht="12.75" customHeight="1" x14ac:dyDescent="0.2">
      <c r="A89" s="463" t="s">
        <v>713</v>
      </c>
      <c r="B89" s="469">
        <v>1822</v>
      </c>
      <c r="C89" s="1919">
        <v>0</v>
      </c>
      <c r="D89" s="467"/>
      <c r="E89" s="467"/>
      <c r="F89" s="467"/>
      <c r="G89" s="467"/>
      <c r="H89" s="467"/>
      <c r="I89" s="467"/>
      <c r="J89" s="467"/>
      <c r="K89" s="467"/>
    </row>
    <row r="90" spans="1:11" ht="12.75" customHeight="1" x14ac:dyDescent="0.2">
      <c r="A90" s="463" t="s">
        <v>139</v>
      </c>
      <c r="B90" s="469">
        <v>1823</v>
      </c>
      <c r="C90" s="1919">
        <v>0</v>
      </c>
      <c r="D90" s="467"/>
      <c r="E90" s="467"/>
      <c r="F90" s="467"/>
      <c r="G90" s="467"/>
      <c r="H90" s="467"/>
      <c r="I90" s="467"/>
      <c r="J90" s="467"/>
      <c r="K90" s="467"/>
    </row>
    <row r="91" spans="1:11" ht="12.75" customHeight="1" x14ac:dyDescent="0.2">
      <c r="A91" s="463" t="s">
        <v>27</v>
      </c>
      <c r="B91" s="469">
        <v>1829</v>
      </c>
      <c r="C91" s="1919">
        <v>0</v>
      </c>
      <c r="D91" s="467"/>
      <c r="E91" s="467"/>
      <c r="F91" s="467"/>
      <c r="G91" s="467"/>
      <c r="H91" s="467"/>
      <c r="I91" s="467"/>
      <c r="J91" s="467"/>
      <c r="K91" s="467"/>
    </row>
    <row r="92" spans="1:11" ht="12.75" customHeight="1" x14ac:dyDescent="0.2">
      <c r="A92" s="463" t="s">
        <v>761</v>
      </c>
      <c r="B92" s="469">
        <v>1890</v>
      </c>
      <c r="C92" s="1919">
        <v>0</v>
      </c>
      <c r="D92" s="467"/>
      <c r="E92" s="467"/>
      <c r="F92" s="467"/>
      <c r="G92" s="467"/>
      <c r="H92" s="467"/>
      <c r="I92" s="467"/>
      <c r="J92" s="467"/>
      <c r="K92" s="467"/>
    </row>
    <row r="93" spans="1:11" ht="12.75" customHeight="1" thickBot="1" x14ac:dyDescent="0.25">
      <c r="A93" s="1661" t="s">
        <v>243</v>
      </c>
      <c r="B93" s="1662"/>
      <c r="C93" s="1641">
        <f>SUM(C84:C92)</f>
        <v>601014</v>
      </c>
      <c r="D93" s="467"/>
      <c r="E93" s="467"/>
      <c r="F93" s="467"/>
      <c r="G93" s="467"/>
      <c r="H93" s="467"/>
      <c r="I93" s="467"/>
      <c r="J93" s="467"/>
      <c r="K93" s="467"/>
    </row>
    <row r="94" spans="1:11" ht="15.75" customHeight="1" thickTop="1" x14ac:dyDescent="0.2">
      <c r="A94" s="1545" t="s">
        <v>1136</v>
      </c>
      <c r="B94" s="1547">
        <v>1900</v>
      </c>
      <c r="C94" s="541"/>
      <c r="D94" s="514"/>
      <c r="E94" s="467"/>
      <c r="F94" s="467"/>
      <c r="G94" s="467"/>
      <c r="H94" s="467"/>
      <c r="I94" s="467"/>
      <c r="J94" s="467"/>
      <c r="K94" s="467"/>
    </row>
    <row r="95" spans="1:11" ht="12.75" customHeight="1" x14ac:dyDescent="0.2">
      <c r="A95" s="463" t="s">
        <v>1063</v>
      </c>
      <c r="B95" s="469">
        <v>1910</v>
      </c>
      <c r="C95" s="1914">
        <v>0</v>
      </c>
      <c r="D95" s="1919">
        <v>24906</v>
      </c>
      <c r="E95" s="514"/>
      <c r="F95" s="514"/>
      <c r="G95" s="514"/>
      <c r="H95" s="514"/>
      <c r="I95" s="514"/>
      <c r="J95" s="514"/>
      <c r="K95" s="514"/>
    </row>
    <row r="96" spans="1:11" ht="12.75" customHeight="1" x14ac:dyDescent="0.2">
      <c r="A96" s="463" t="s">
        <v>390</v>
      </c>
      <c r="B96" s="469">
        <v>1920</v>
      </c>
      <c r="C96" s="1919">
        <v>61000</v>
      </c>
      <c r="D96" s="1919">
        <v>0</v>
      </c>
      <c r="E96" s="1917">
        <v>0</v>
      </c>
      <c r="F96" s="474">
        <v>0</v>
      </c>
      <c r="G96" s="474">
        <v>0</v>
      </c>
      <c r="H96" s="474">
        <v>0</v>
      </c>
      <c r="I96" s="474">
        <v>0</v>
      </c>
      <c r="J96" s="474">
        <v>0</v>
      </c>
      <c r="K96" s="474"/>
    </row>
    <row r="97" spans="1:12" ht="12.75" customHeight="1" x14ac:dyDescent="0.2">
      <c r="A97" s="1448" t="s">
        <v>244</v>
      </c>
      <c r="B97" s="547">
        <v>1930</v>
      </c>
      <c r="C97" s="1918">
        <v>0</v>
      </c>
      <c r="D97" s="1915">
        <v>124188</v>
      </c>
      <c r="E97" s="1916">
        <v>0</v>
      </c>
      <c r="F97" s="1915">
        <v>0</v>
      </c>
      <c r="G97" s="1921">
        <v>0</v>
      </c>
      <c r="H97" s="1921">
        <v>0</v>
      </c>
      <c r="I97" s="1921">
        <v>0</v>
      </c>
      <c r="J97" s="1921">
        <v>0</v>
      </c>
      <c r="K97" s="1921"/>
    </row>
    <row r="98" spans="1:12" ht="12.75" customHeight="1" x14ac:dyDescent="0.2">
      <c r="A98" s="463" t="s">
        <v>189</v>
      </c>
      <c r="B98" s="469">
        <v>1940</v>
      </c>
      <c r="C98" s="1918">
        <v>0</v>
      </c>
      <c r="D98" s="1914">
        <v>0</v>
      </c>
      <c r="E98" s="505"/>
      <c r="F98" s="1914">
        <v>0</v>
      </c>
      <c r="G98" s="505"/>
      <c r="H98" s="505"/>
      <c r="I98" s="503"/>
      <c r="J98" s="505"/>
      <c r="K98" s="505"/>
    </row>
    <row r="99" spans="1:12" ht="12.75" customHeight="1" x14ac:dyDescent="0.2">
      <c r="A99" s="463" t="s">
        <v>820</v>
      </c>
      <c r="B99" s="469">
        <v>1950</v>
      </c>
      <c r="C99" s="1918">
        <v>1842</v>
      </c>
      <c r="D99" s="1914">
        <v>0</v>
      </c>
      <c r="E99" s="1914">
        <v>0</v>
      </c>
      <c r="F99" s="1914">
        <v>0</v>
      </c>
      <c r="G99" s="1920">
        <v>0</v>
      </c>
      <c r="H99" s="1920">
        <v>0</v>
      </c>
      <c r="I99" s="467"/>
      <c r="J99" s="1921">
        <v>9916</v>
      </c>
      <c r="K99" s="1920"/>
    </row>
    <row r="100" spans="1:12" ht="12.75" customHeight="1" x14ac:dyDescent="0.2">
      <c r="A100" s="463" t="s">
        <v>245</v>
      </c>
      <c r="B100" s="469">
        <v>1960</v>
      </c>
      <c r="C100" s="1918">
        <v>0</v>
      </c>
      <c r="D100" s="1918">
        <v>0</v>
      </c>
      <c r="E100" s="1918">
        <v>0</v>
      </c>
      <c r="F100" s="1918">
        <v>0</v>
      </c>
      <c r="G100" s="1922">
        <v>0</v>
      </c>
      <c r="H100" s="1922">
        <v>0</v>
      </c>
      <c r="I100" s="1921">
        <v>0</v>
      </c>
      <c r="J100" s="1922">
        <v>0</v>
      </c>
      <c r="K100" s="1921"/>
    </row>
    <row r="101" spans="1:12" ht="12.75" customHeight="1" x14ac:dyDescent="0.2">
      <c r="A101" s="463" t="s">
        <v>246</v>
      </c>
      <c r="B101" s="469">
        <v>1970</v>
      </c>
      <c r="C101" s="1918">
        <v>0</v>
      </c>
      <c r="D101" s="519"/>
      <c r="E101" s="476"/>
      <c r="F101" s="519"/>
      <c r="G101" s="472"/>
      <c r="H101" s="519"/>
      <c r="I101" s="467"/>
      <c r="J101" s="472"/>
      <c r="K101" s="472"/>
    </row>
    <row r="102" spans="1:12" ht="12.75" customHeight="1" x14ac:dyDescent="0.2">
      <c r="A102" s="463" t="s">
        <v>247</v>
      </c>
      <c r="B102" s="469">
        <v>1980</v>
      </c>
      <c r="C102" s="1918">
        <v>0</v>
      </c>
      <c r="D102" s="1918">
        <v>0</v>
      </c>
      <c r="E102" s="1918">
        <v>0</v>
      </c>
      <c r="F102" s="1922">
        <v>0</v>
      </c>
      <c r="G102" s="1922">
        <v>0</v>
      </c>
      <c r="H102" s="1922">
        <v>0</v>
      </c>
      <c r="I102" s="1921">
        <v>0</v>
      </c>
      <c r="J102" s="1922">
        <v>0</v>
      </c>
      <c r="K102" s="1921"/>
    </row>
    <row r="103" spans="1:12" ht="12.75" customHeight="1" x14ac:dyDescent="0.2">
      <c r="A103" s="463" t="s">
        <v>344</v>
      </c>
      <c r="B103" s="469">
        <v>1983</v>
      </c>
      <c r="C103" s="467"/>
      <c r="D103" s="467"/>
      <c r="E103" s="548">
        <v>0</v>
      </c>
      <c r="F103" s="467"/>
      <c r="G103" s="467"/>
      <c r="H103" s="1922">
        <v>0</v>
      </c>
      <c r="I103" s="467"/>
      <c r="J103" s="503"/>
      <c r="K103" s="503"/>
    </row>
    <row r="104" spans="1:12" ht="12.75" customHeight="1" x14ac:dyDescent="0.2">
      <c r="A104" s="463" t="s">
        <v>829</v>
      </c>
      <c r="B104" s="469">
        <v>1991</v>
      </c>
      <c r="C104" s="1918">
        <v>0</v>
      </c>
      <c r="D104" s="1914">
        <v>0</v>
      </c>
      <c r="E104" s="477">
        <v>0</v>
      </c>
      <c r="F104" s="1921">
        <v>0</v>
      </c>
      <c r="G104" s="1921">
        <v>0</v>
      </c>
      <c r="H104" s="1920">
        <v>0</v>
      </c>
      <c r="I104" s="467"/>
      <c r="J104" s="467"/>
      <c r="K104" s="467"/>
    </row>
    <row r="105" spans="1:12" ht="12.75" customHeight="1" x14ac:dyDescent="0.2">
      <c r="A105" s="463" t="s">
        <v>821</v>
      </c>
      <c r="B105" s="469">
        <v>1992</v>
      </c>
      <c r="C105" s="1914">
        <v>0</v>
      </c>
      <c r="D105" s="549"/>
      <c r="E105" s="467"/>
      <c r="F105" s="467"/>
      <c r="G105" s="467"/>
      <c r="H105" s="503"/>
      <c r="I105" s="467"/>
      <c r="J105" s="467"/>
      <c r="K105" s="467"/>
    </row>
    <row r="106" spans="1:12" ht="12.75" customHeight="1" x14ac:dyDescent="0.2">
      <c r="A106" s="463" t="s">
        <v>1417</v>
      </c>
      <c r="B106" s="469">
        <v>1993</v>
      </c>
      <c r="C106" s="1914">
        <v>0</v>
      </c>
      <c r="D106" s="1918">
        <v>0</v>
      </c>
      <c r="E106" s="1915">
        <v>0</v>
      </c>
      <c r="F106" s="1921">
        <v>0</v>
      </c>
      <c r="G106" s="1921">
        <v>0</v>
      </c>
      <c r="H106" s="1921">
        <v>0</v>
      </c>
      <c r="I106" s="514"/>
      <c r="J106" s="1921">
        <v>0</v>
      </c>
      <c r="K106" s="1921"/>
    </row>
    <row r="107" spans="1:12" ht="12.75" customHeight="1" x14ac:dyDescent="0.2">
      <c r="A107" s="463" t="s">
        <v>78</v>
      </c>
      <c r="B107" s="469">
        <v>1999</v>
      </c>
      <c r="C107" s="1919">
        <v>8363</v>
      </c>
      <c r="D107" s="1914">
        <v>102319</v>
      </c>
      <c r="E107" s="1914">
        <v>0</v>
      </c>
      <c r="F107" s="1920">
        <v>0</v>
      </c>
      <c r="G107" s="1920">
        <v>0</v>
      </c>
      <c r="H107" s="1920">
        <v>0</v>
      </c>
      <c r="I107" s="1920">
        <v>0</v>
      </c>
      <c r="J107" s="1921">
        <v>0</v>
      </c>
      <c r="K107" s="1920"/>
    </row>
    <row r="108" spans="1:12" ht="12.75" customHeight="1" thickBot="1" x14ac:dyDescent="0.25">
      <c r="A108" s="1661" t="s">
        <v>486</v>
      </c>
      <c r="B108" s="1665"/>
      <c r="C108" s="1660">
        <f>SUM(C95:C107)</f>
        <v>71205</v>
      </c>
      <c r="D108" s="1660">
        <f t="shared" ref="D108:K108" si="3">SUM(D95:D107)</f>
        <v>251413</v>
      </c>
      <c r="E108" s="1660">
        <f t="shared" si="3"/>
        <v>0</v>
      </c>
      <c r="F108" s="1660">
        <f t="shared" si="3"/>
        <v>0</v>
      </c>
      <c r="G108" s="1660">
        <f t="shared" si="3"/>
        <v>0</v>
      </c>
      <c r="H108" s="1660">
        <f t="shared" si="3"/>
        <v>0</v>
      </c>
      <c r="I108" s="1660">
        <f t="shared" si="3"/>
        <v>0</v>
      </c>
      <c r="J108" s="1660">
        <f t="shared" si="3"/>
        <v>9916</v>
      </c>
      <c r="K108" s="1641">
        <f t="shared" si="3"/>
        <v>0</v>
      </c>
    </row>
    <row r="109" spans="1:12" ht="14.25" thickTop="1" thickBot="1" x14ac:dyDescent="0.25">
      <c r="A109" s="1666" t="s">
        <v>248</v>
      </c>
      <c r="B109" s="1667" t="s">
        <v>569</v>
      </c>
      <c r="C109" s="1668">
        <f t="shared" ref="C109:K109" si="4">SUM(C12,C18,C40,C63,C67,C75,C82,C93,C108,)</f>
        <v>36175493</v>
      </c>
      <c r="D109" s="1668">
        <f t="shared" si="4"/>
        <v>4225862</v>
      </c>
      <c r="E109" s="1668">
        <f t="shared" si="4"/>
        <v>7627299</v>
      </c>
      <c r="F109" s="1668">
        <f t="shared" si="4"/>
        <v>2331729</v>
      </c>
      <c r="G109" s="1668">
        <f t="shared" si="4"/>
        <v>558413</v>
      </c>
      <c r="H109" s="1668">
        <f t="shared" si="4"/>
        <v>2516</v>
      </c>
      <c r="I109" s="1668">
        <f t="shared" si="4"/>
        <v>387825</v>
      </c>
      <c r="J109" s="1668">
        <f t="shared" si="4"/>
        <v>247682</v>
      </c>
      <c r="K109" s="1655">
        <f t="shared" si="4"/>
        <v>0</v>
      </c>
    </row>
    <row r="110" spans="1:12" ht="30" customHeight="1" thickTop="1" x14ac:dyDescent="0.2">
      <c r="A110" s="1538" t="s">
        <v>345</v>
      </c>
      <c r="B110" s="1539"/>
      <c r="C110" s="1524"/>
      <c r="D110" s="1524"/>
      <c r="E110" s="1524"/>
      <c r="F110" s="1524"/>
      <c r="G110" s="1524"/>
      <c r="H110" s="1524"/>
      <c r="I110" s="1524"/>
      <c r="J110" s="1524"/>
      <c r="K110" s="1525"/>
    </row>
    <row r="111" spans="1:12" ht="12.75" customHeight="1" x14ac:dyDescent="0.2">
      <c r="A111" s="486" t="s">
        <v>822</v>
      </c>
      <c r="B111" s="485">
        <v>2100</v>
      </c>
      <c r="C111" s="509">
        <v>0</v>
      </c>
      <c r="D111" s="477">
        <v>0</v>
      </c>
      <c r="E111" s="549"/>
      <c r="F111" s="477">
        <v>0</v>
      </c>
      <c r="G111" s="477">
        <v>0</v>
      </c>
      <c r="H111" s="549"/>
      <c r="I111" s="467"/>
      <c r="J111" s="467"/>
      <c r="K111" s="467"/>
    </row>
    <row r="112" spans="1:12" ht="12.75" customHeight="1" x14ac:dyDescent="0.2">
      <c r="A112" s="463" t="s">
        <v>823</v>
      </c>
      <c r="B112" s="469">
        <v>2200</v>
      </c>
      <c r="C112" s="1923">
        <v>0</v>
      </c>
      <c r="D112" s="1920">
        <v>0</v>
      </c>
      <c r="E112" s="549"/>
      <c r="F112" s="1920">
        <v>0</v>
      </c>
      <c r="G112" s="1920">
        <v>0</v>
      </c>
      <c r="H112" s="549"/>
      <c r="I112" s="467"/>
      <c r="J112" s="467"/>
      <c r="K112" s="467"/>
      <c r="L112" s="540"/>
    </row>
    <row r="113" spans="1:11" ht="12.75" customHeight="1" x14ac:dyDescent="0.2">
      <c r="A113" s="463" t="s">
        <v>28</v>
      </c>
      <c r="B113" s="469">
        <v>2300</v>
      </c>
      <c r="C113" s="1923">
        <v>0</v>
      </c>
      <c r="D113" s="1920">
        <v>0</v>
      </c>
      <c r="E113" s="549"/>
      <c r="F113" s="1920">
        <v>0</v>
      </c>
      <c r="G113" s="1920">
        <v>0</v>
      </c>
      <c r="H113" s="549"/>
      <c r="I113" s="467"/>
      <c r="J113" s="467"/>
      <c r="K113" s="467"/>
    </row>
    <row r="114" spans="1:11" ht="13.5" thickBot="1" x14ac:dyDescent="0.25">
      <c r="A114" s="1669" t="s">
        <v>805</v>
      </c>
      <c r="B114" s="1670" t="s">
        <v>568</v>
      </c>
      <c r="C114" s="1671">
        <f>SUM(C111:C113)</f>
        <v>0</v>
      </c>
      <c r="D114" s="1671">
        <f>SUM(D111:D113)</f>
        <v>0</v>
      </c>
      <c r="E114" s="549" t="s">
        <v>1168</v>
      </c>
      <c r="F114" s="1671">
        <f>SUM(F111:F113)</f>
        <v>0</v>
      </c>
      <c r="G114" s="1671">
        <f>SUM(G111:G113)</f>
        <v>0</v>
      </c>
      <c r="H114" s="549"/>
      <c r="I114" s="467"/>
      <c r="J114" s="467"/>
      <c r="K114" s="467"/>
    </row>
    <row r="115" spans="1:11" ht="16.7" customHeight="1" thickTop="1" x14ac:dyDescent="0.2">
      <c r="A115" s="1540" t="s">
        <v>802</v>
      </c>
      <c r="B115" s="1541"/>
      <c r="C115" s="1523"/>
      <c r="D115" s="1524"/>
      <c r="E115" s="1524"/>
      <c r="F115" s="1524"/>
      <c r="G115" s="1524"/>
      <c r="H115" s="1524"/>
      <c r="I115" s="1524"/>
      <c r="J115" s="1524"/>
      <c r="K115" s="1525"/>
    </row>
    <row r="116" spans="1:11" ht="18" customHeight="1" x14ac:dyDescent="0.2">
      <c r="A116" s="1548" t="s">
        <v>1478</v>
      </c>
      <c r="B116" s="1549"/>
      <c r="C116" s="515"/>
      <c r="D116" s="514"/>
      <c r="E116" s="549"/>
      <c r="F116" s="514"/>
      <c r="G116" s="514"/>
      <c r="H116" s="549"/>
      <c r="I116" s="467"/>
      <c r="J116" s="514"/>
      <c r="K116" s="514"/>
    </row>
    <row r="117" spans="1:11" ht="12.75" customHeight="1" x14ac:dyDescent="0.2">
      <c r="A117" s="463" t="s">
        <v>1654</v>
      </c>
      <c r="B117" s="550">
        <v>3001</v>
      </c>
      <c r="C117" s="509">
        <v>4084534</v>
      </c>
      <c r="D117" s="477">
        <v>0</v>
      </c>
      <c r="E117" s="1920">
        <v>0</v>
      </c>
      <c r="F117" s="477">
        <v>0</v>
      </c>
      <c r="G117" s="477">
        <v>0</v>
      </c>
      <c r="H117" s="1920">
        <v>0</v>
      </c>
      <c r="I117" s="467"/>
      <c r="J117" s="1921">
        <v>0</v>
      </c>
      <c r="K117" s="1920"/>
    </row>
    <row r="118" spans="1:11" ht="12.75" customHeight="1" x14ac:dyDescent="0.2">
      <c r="A118" s="463" t="s">
        <v>1773</v>
      </c>
      <c r="B118" s="550">
        <v>3002</v>
      </c>
      <c r="C118" s="1923">
        <v>0</v>
      </c>
      <c r="D118" s="1920">
        <v>0</v>
      </c>
      <c r="E118" s="1920">
        <v>0</v>
      </c>
      <c r="F118" s="1920">
        <v>0</v>
      </c>
      <c r="G118" s="1920">
        <v>0</v>
      </c>
      <c r="H118" s="1920">
        <v>0</v>
      </c>
      <c r="I118" s="467"/>
      <c r="J118" s="1921">
        <v>0</v>
      </c>
      <c r="K118" s="1920"/>
    </row>
    <row r="119" spans="1:11" ht="12.75" customHeight="1" x14ac:dyDescent="0.2">
      <c r="A119" s="463" t="s">
        <v>1774</v>
      </c>
      <c r="B119" s="550">
        <v>3005</v>
      </c>
      <c r="C119" s="1923">
        <v>0</v>
      </c>
      <c r="D119" s="1920">
        <v>0</v>
      </c>
      <c r="E119" s="1920">
        <v>0</v>
      </c>
      <c r="F119" s="1920">
        <v>0</v>
      </c>
      <c r="G119" s="1920">
        <v>0</v>
      </c>
      <c r="H119" s="1920">
        <v>0</v>
      </c>
      <c r="I119" s="467"/>
      <c r="J119" s="1921">
        <v>0</v>
      </c>
      <c r="K119" s="1920"/>
    </row>
    <row r="120" spans="1:11" ht="12.75" customHeight="1" x14ac:dyDescent="0.2">
      <c r="A120" s="1883" t="s">
        <v>1910</v>
      </c>
      <c r="B120" s="550">
        <v>3030</v>
      </c>
      <c r="C120" s="1923">
        <v>0</v>
      </c>
      <c r="D120" s="1920">
        <v>0</v>
      </c>
      <c r="E120" s="1920">
        <v>0</v>
      </c>
      <c r="F120" s="1920">
        <v>0</v>
      </c>
      <c r="G120" s="1920">
        <v>0</v>
      </c>
      <c r="H120" s="1920">
        <v>0</v>
      </c>
      <c r="I120" s="467"/>
      <c r="J120" s="466">
        <v>0</v>
      </c>
      <c r="K120" s="465"/>
    </row>
    <row r="121" spans="1:11" x14ac:dyDescent="0.2">
      <c r="A121" s="1449" t="s">
        <v>1775</v>
      </c>
      <c r="B121" s="552">
        <v>3099</v>
      </c>
      <c r="C121" s="1923">
        <v>0</v>
      </c>
      <c r="D121" s="1920">
        <v>0</v>
      </c>
      <c r="E121" s="1920">
        <v>0</v>
      </c>
      <c r="F121" s="1920">
        <v>0</v>
      </c>
      <c r="G121" s="1920">
        <v>0</v>
      </c>
      <c r="H121" s="1920">
        <v>0</v>
      </c>
      <c r="I121" s="467"/>
      <c r="J121" s="1921">
        <v>0</v>
      </c>
      <c r="K121" s="1920"/>
    </row>
    <row r="122" spans="1:11" ht="12.6" customHeight="1" thickBot="1" x14ac:dyDescent="0.25">
      <c r="A122" s="1661" t="s">
        <v>487</v>
      </c>
      <c r="B122" s="1672"/>
      <c r="C122" s="1660">
        <f t="shared" ref="C122:H122" si="5">SUM(C117:C121)</f>
        <v>4084534</v>
      </c>
      <c r="D122" s="1660">
        <f t="shared" si="5"/>
        <v>0</v>
      </c>
      <c r="E122" s="1660">
        <f t="shared" si="5"/>
        <v>0</v>
      </c>
      <c r="F122" s="1660">
        <f t="shared" si="5"/>
        <v>0</v>
      </c>
      <c r="G122" s="1660">
        <f t="shared" si="5"/>
        <v>0</v>
      </c>
      <c r="H122" s="1660">
        <f t="shared" si="5"/>
        <v>0</v>
      </c>
      <c r="I122" s="467"/>
      <c r="J122" s="1660">
        <f>SUM(J117:J121)</f>
        <v>0</v>
      </c>
      <c r="K122" s="1641">
        <f>SUM(K117:K121)</f>
        <v>0</v>
      </c>
    </row>
    <row r="123" spans="1:11" ht="15.75" customHeight="1" thickTop="1" x14ac:dyDescent="0.2">
      <c r="A123" s="1545" t="s">
        <v>1477</v>
      </c>
      <c r="B123" s="1550"/>
      <c r="C123" s="553"/>
      <c r="D123" s="502"/>
      <c r="E123" s="467"/>
      <c r="F123" s="554"/>
      <c r="G123" s="467"/>
      <c r="H123" s="467"/>
      <c r="I123" s="467"/>
      <c r="J123" s="467"/>
      <c r="K123" s="467"/>
    </row>
    <row r="124" spans="1:11" ht="15" customHeight="1" x14ac:dyDescent="0.2">
      <c r="A124" s="1551" t="s">
        <v>666</v>
      </c>
      <c r="B124" s="1552"/>
      <c r="C124" s="514"/>
      <c r="D124" s="502"/>
      <c r="E124" s="467"/>
      <c r="F124" s="514"/>
      <c r="G124" s="467"/>
      <c r="H124" s="467"/>
      <c r="I124" s="467"/>
      <c r="J124" s="467"/>
      <c r="K124" s="467"/>
    </row>
    <row r="125" spans="1:11" ht="12.75" customHeight="1" x14ac:dyDescent="0.2">
      <c r="A125" s="463" t="s">
        <v>865</v>
      </c>
      <c r="B125" s="555">
        <v>3100</v>
      </c>
      <c r="C125" s="477">
        <v>425000</v>
      </c>
      <c r="D125" s="549"/>
      <c r="E125" s="467"/>
      <c r="F125" s="1932">
        <v>0</v>
      </c>
      <c r="G125" s="467"/>
      <c r="H125" s="467"/>
      <c r="I125" s="467"/>
      <c r="J125" s="467"/>
      <c r="K125" s="467"/>
    </row>
    <row r="126" spans="1:11" ht="12.75" customHeight="1" x14ac:dyDescent="0.2">
      <c r="A126" s="463" t="s">
        <v>1433</v>
      </c>
      <c r="B126" s="550">
        <v>3105</v>
      </c>
      <c r="C126" s="1920">
        <v>0</v>
      </c>
      <c r="D126" s="549"/>
      <c r="E126" s="467"/>
      <c r="F126" s="1924">
        <v>0</v>
      </c>
      <c r="G126" s="467"/>
      <c r="H126" s="467"/>
      <c r="I126" s="467"/>
      <c r="J126" s="467"/>
      <c r="K126" s="467"/>
    </row>
    <row r="127" spans="1:11" ht="12.75" customHeight="1" x14ac:dyDescent="0.2">
      <c r="A127" s="463" t="s">
        <v>866</v>
      </c>
      <c r="B127" s="550">
        <v>3110</v>
      </c>
      <c r="C127" s="1923">
        <v>0</v>
      </c>
      <c r="D127" s="1924">
        <v>0</v>
      </c>
      <c r="E127" s="467"/>
      <c r="F127" s="1924">
        <v>0</v>
      </c>
      <c r="G127" s="467"/>
      <c r="H127" s="467"/>
      <c r="I127" s="467"/>
      <c r="J127" s="467"/>
      <c r="K127" s="467"/>
    </row>
    <row r="128" spans="1:11" ht="12.75" customHeight="1" x14ac:dyDescent="0.2">
      <c r="A128" s="463" t="s">
        <v>105</v>
      </c>
      <c r="B128" s="550">
        <v>3120</v>
      </c>
      <c r="C128" s="1920">
        <v>14051</v>
      </c>
      <c r="D128" s="549"/>
      <c r="E128" s="467"/>
      <c r="F128" s="1924">
        <v>0</v>
      </c>
      <c r="G128" s="467"/>
      <c r="H128" s="467"/>
      <c r="I128" s="467"/>
      <c r="J128" s="467"/>
      <c r="K128" s="467"/>
    </row>
    <row r="129" spans="1:11" ht="12.75" customHeight="1" x14ac:dyDescent="0.2">
      <c r="A129" s="463" t="s">
        <v>1434</v>
      </c>
      <c r="B129" s="550">
        <v>3130</v>
      </c>
      <c r="C129" s="1920">
        <v>0</v>
      </c>
      <c r="D129" s="549"/>
      <c r="E129" s="467"/>
      <c r="F129" s="1924">
        <v>0</v>
      </c>
      <c r="G129" s="467"/>
      <c r="H129" s="467"/>
      <c r="I129" s="467"/>
      <c r="J129" s="467"/>
      <c r="K129" s="467"/>
    </row>
    <row r="130" spans="1:11" ht="12.75" customHeight="1" x14ac:dyDescent="0.2">
      <c r="A130" s="463" t="s">
        <v>137</v>
      </c>
      <c r="B130" s="550">
        <v>3145</v>
      </c>
      <c r="C130" s="1920">
        <v>0</v>
      </c>
      <c r="D130" s="549"/>
      <c r="E130" s="467"/>
      <c r="F130" s="1924">
        <v>0</v>
      </c>
      <c r="G130" s="467"/>
      <c r="H130" s="467"/>
      <c r="I130" s="467"/>
      <c r="J130" s="467"/>
      <c r="K130" s="467"/>
    </row>
    <row r="131" spans="1:11" ht="12.75" customHeight="1" x14ac:dyDescent="0.2">
      <c r="A131" s="463" t="s">
        <v>66</v>
      </c>
      <c r="B131" s="550">
        <v>3199</v>
      </c>
      <c r="C131" s="1923">
        <v>0</v>
      </c>
      <c r="D131" s="1925">
        <v>0</v>
      </c>
      <c r="E131" s="467"/>
      <c r="F131" s="1924">
        <v>0</v>
      </c>
      <c r="G131" s="467"/>
      <c r="H131" s="467"/>
      <c r="I131" s="467"/>
      <c r="J131" s="467"/>
      <c r="K131" s="467"/>
    </row>
    <row r="132" spans="1:11" ht="12.75" customHeight="1" thickBot="1" x14ac:dyDescent="0.25">
      <c r="A132" s="1661" t="s">
        <v>1031</v>
      </c>
      <c r="B132" s="1673"/>
      <c r="C132" s="1660">
        <f>SUM(C125:C131)</f>
        <v>439051</v>
      </c>
      <c r="D132" s="1660">
        <f>SUM(D125:D131)</f>
        <v>0</v>
      </c>
      <c r="E132" s="468" t="s">
        <v>1168</v>
      </c>
      <c r="F132" s="1660">
        <f>SUM(F125:F131)</f>
        <v>0</v>
      </c>
      <c r="G132" s="467" t="s">
        <v>1168</v>
      </c>
      <c r="H132" s="467" t="s">
        <v>1168</v>
      </c>
      <c r="I132" s="467" t="s">
        <v>1168</v>
      </c>
      <c r="J132" s="467" t="s">
        <v>1168</v>
      </c>
      <c r="K132" s="467" t="s">
        <v>1168</v>
      </c>
    </row>
    <row r="133" spans="1:11" ht="15.75" customHeight="1" thickTop="1" x14ac:dyDescent="0.2">
      <c r="A133" s="1553" t="s">
        <v>250</v>
      </c>
      <c r="B133" s="1554"/>
      <c r="C133" s="541"/>
      <c r="D133" s="541"/>
      <c r="E133" s="502"/>
      <c r="F133" s="541"/>
      <c r="G133" s="467"/>
      <c r="H133" s="467"/>
      <c r="I133" s="467"/>
      <c r="J133" s="467"/>
      <c r="K133" s="467"/>
    </row>
    <row r="134" spans="1:11" x14ac:dyDescent="0.2">
      <c r="A134" s="463" t="s">
        <v>598</v>
      </c>
      <c r="B134" s="550">
        <v>3200</v>
      </c>
      <c r="C134" s="1933">
        <v>0</v>
      </c>
      <c r="D134" s="1924">
        <v>0</v>
      </c>
      <c r="E134" s="549"/>
      <c r="F134" s="467"/>
      <c r="G134" s="1924">
        <v>0</v>
      </c>
      <c r="H134" s="467"/>
      <c r="I134" s="467"/>
      <c r="J134" s="467"/>
      <c r="K134" s="467"/>
    </row>
    <row r="135" spans="1:11" ht="12.75" customHeight="1" x14ac:dyDescent="0.2">
      <c r="A135" s="463" t="s">
        <v>668</v>
      </c>
      <c r="B135" s="550">
        <v>3220</v>
      </c>
      <c r="C135" s="1933">
        <v>0</v>
      </c>
      <c r="D135" s="1924">
        <v>0</v>
      </c>
      <c r="E135" s="549"/>
      <c r="F135" s="467"/>
      <c r="G135" s="1925">
        <v>0</v>
      </c>
      <c r="H135" s="467"/>
      <c r="I135" s="467"/>
      <c r="J135" s="467"/>
      <c r="K135" s="467"/>
    </row>
    <row r="136" spans="1:11" ht="12.75" customHeight="1" x14ac:dyDescent="0.2">
      <c r="A136" s="463" t="s">
        <v>249</v>
      </c>
      <c r="B136" s="550">
        <v>3225</v>
      </c>
      <c r="C136" s="1933">
        <v>0</v>
      </c>
      <c r="D136" s="1924">
        <v>0</v>
      </c>
      <c r="E136" s="549"/>
      <c r="F136" s="467"/>
      <c r="G136" s="1925">
        <v>0</v>
      </c>
      <c r="H136" s="467"/>
      <c r="I136" s="467"/>
      <c r="J136" s="467"/>
      <c r="K136" s="467"/>
    </row>
    <row r="137" spans="1:11" ht="12.75" customHeight="1" x14ac:dyDescent="0.2">
      <c r="A137" s="463" t="s">
        <v>599</v>
      </c>
      <c r="B137" s="550">
        <v>3235</v>
      </c>
      <c r="C137" s="1928">
        <v>0</v>
      </c>
      <c r="D137" s="1925">
        <v>0</v>
      </c>
      <c r="E137" s="549"/>
      <c r="F137" s="467"/>
      <c r="G137" s="1925">
        <v>0</v>
      </c>
      <c r="H137" s="467"/>
      <c r="I137" s="467"/>
      <c r="J137" s="467"/>
      <c r="K137" s="467"/>
    </row>
    <row r="138" spans="1:11" ht="12.75" customHeight="1" x14ac:dyDescent="0.2">
      <c r="A138" s="463" t="s">
        <v>600</v>
      </c>
      <c r="B138" s="550">
        <v>3240</v>
      </c>
      <c r="C138" s="1928">
        <v>0</v>
      </c>
      <c r="D138" s="1925">
        <v>0</v>
      </c>
      <c r="E138" s="549"/>
      <c r="F138" s="467"/>
      <c r="G138" s="1925">
        <v>0</v>
      </c>
      <c r="H138" s="467"/>
      <c r="I138" s="467"/>
      <c r="J138" s="467"/>
      <c r="K138" s="467"/>
    </row>
    <row r="139" spans="1:11" ht="12.75" customHeight="1" x14ac:dyDescent="0.2">
      <c r="A139" s="463" t="s">
        <v>601</v>
      </c>
      <c r="B139" s="550">
        <v>3270</v>
      </c>
      <c r="C139" s="1928">
        <v>0</v>
      </c>
      <c r="D139" s="1925">
        <v>0</v>
      </c>
      <c r="E139" s="549"/>
      <c r="F139" s="467"/>
      <c r="G139" s="1925">
        <v>0</v>
      </c>
      <c r="H139" s="467"/>
      <c r="I139" s="467"/>
      <c r="J139" s="467"/>
      <c r="K139" s="467"/>
    </row>
    <row r="140" spans="1:11" ht="12.75" customHeight="1" x14ac:dyDescent="0.2">
      <c r="A140" s="463" t="s">
        <v>67</v>
      </c>
      <c r="B140" s="550">
        <v>3299</v>
      </c>
      <c r="C140" s="1933">
        <v>0</v>
      </c>
      <c r="D140" s="1924">
        <v>0</v>
      </c>
      <c r="E140" s="549"/>
      <c r="F140" s="473"/>
      <c r="G140" s="1925">
        <v>0</v>
      </c>
      <c r="H140" s="467"/>
      <c r="I140" s="467"/>
      <c r="J140" s="467"/>
      <c r="K140" s="467"/>
    </row>
    <row r="141" spans="1:11" ht="12.75" customHeight="1" thickBot="1" x14ac:dyDescent="0.25">
      <c r="A141" s="1661" t="s">
        <v>602</v>
      </c>
      <c r="B141" s="1673"/>
      <c r="C141" s="1660">
        <f>SUM(C134:C140)</f>
        <v>0</v>
      </c>
      <c r="D141" s="1660">
        <f>SUM(D134:D140)</f>
        <v>0</v>
      </c>
      <c r="E141" s="549" t="s">
        <v>1168</v>
      </c>
      <c r="F141" s="473"/>
      <c r="G141" s="1660">
        <f>SUM(G134:G140)</f>
        <v>0</v>
      </c>
      <c r="H141" s="467" t="s">
        <v>1168</v>
      </c>
      <c r="I141" s="467" t="s">
        <v>1168</v>
      </c>
      <c r="J141" s="467" t="s">
        <v>1168</v>
      </c>
      <c r="K141" s="467" t="s">
        <v>1168</v>
      </c>
    </row>
    <row r="142" spans="1:11" ht="15.75" customHeight="1" thickTop="1" x14ac:dyDescent="0.2">
      <c r="A142" s="1553" t="s">
        <v>669</v>
      </c>
      <c r="B142" s="1554"/>
      <c r="C142" s="541"/>
      <c r="D142" s="554"/>
      <c r="E142" s="549"/>
      <c r="F142" s="541"/>
      <c r="G142" s="541"/>
      <c r="H142" s="467"/>
      <c r="I142" s="467"/>
      <c r="J142" s="467"/>
      <c r="K142" s="467"/>
    </row>
    <row r="143" spans="1:11" ht="12.75" customHeight="1" x14ac:dyDescent="0.2">
      <c r="A143" s="463" t="s">
        <v>603</v>
      </c>
      <c r="B143" s="550">
        <v>3305</v>
      </c>
      <c r="C143" s="1924">
        <v>0</v>
      </c>
      <c r="D143" s="467"/>
      <c r="E143" s="549"/>
      <c r="F143" s="467"/>
      <c r="G143" s="1924">
        <v>0</v>
      </c>
      <c r="H143" s="467"/>
      <c r="I143" s="467"/>
      <c r="J143" s="467"/>
      <c r="K143" s="467"/>
    </row>
    <row r="144" spans="1:11" ht="12.75" customHeight="1" x14ac:dyDescent="0.2">
      <c r="A144" s="463" t="s">
        <v>346</v>
      </c>
      <c r="B144" s="550">
        <v>3310</v>
      </c>
      <c r="C144" s="1933">
        <v>0</v>
      </c>
      <c r="D144" s="467"/>
      <c r="E144" s="549"/>
      <c r="F144" s="467"/>
      <c r="G144" s="1924">
        <v>0</v>
      </c>
      <c r="H144" s="467"/>
      <c r="I144" s="467"/>
      <c r="J144" s="467"/>
      <c r="K144" s="467"/>
    </row>
    <row r="145" spans="1:11" s="202" customFormat="1" ht="13.5" thickBot="1" x14ac:dyDescent="0.25">
      <c r="A145" s="1661" t="s">
        <v>395</v>
      </c>
      <c r="B145" s="1673"/>
      <c r="C145" s="1641">
        <f>SUM(C143:C144)</f>
        <v>0</v>
      </c>
      <c r="D145" s="467"/>
      <c r="E145" s="502"/>
      <c r="F145" s="467"/>
      <c r="G145" s="1674">
        <f>SUM(G143:G144)</f>
        <v>0</v>
      </c>
      <c r="H145" s="467"/>
      <c r="I145" s="467"/>
      <c r="J145" s="467"/>
      <c r="K145" s="467"/>
    </row>
    <row r="146" spans="1:11" s="202" customFormat="1" ht="12.75" customHeight="1" thickTop="1" x14ac:dyDescent="0.2">
      <c r="A146" s="1451" t="s">
        <v>1055</v>
      </c>
      <c r="B146" s="556">
        <v>3360</v>
      </c>
      <c r="C146" s="1927">
        <v>9009</v>
      </c>
      <c r="D146" s="557"/>
      <c r="E146" s="502"/>
      <c r="F146" s="467"/>
      <c r="G146" s="558"/>
      <c r="H146" s="467"/>
      <c r="I146" s="467"/>
      <c r="J146" s="467"/>
      <c r="K146" s="467"/>
    </row>
    <row r="147" spans="1:11" ht="12.75" customHeight="1" thickBot="1" x14ac:dyDescent="0.25">
      <c r="A147" s="1452" t="s">
        <v>921</v>
      </c>
      <c r="B147" s="559">
        <v>3365</v>
      </c>
      <c r="C147" s="1934">
        <v>0</v>
      </c>
      <c r="D147" s="1931">
        <v>0</v>
      </c>
      <c r="E147" s="549"/>
      <c r="F147" s="467"/>
      <c r="G147" s="1931">
        <v>0</v>
      </c>
      <c r="H147" s="467"/>
      <c r="I147" s="467"/>
      <c r="J147" s="467"/>
      <c r="K147" s="467"/>
    </row>
    <row r="148" spans="1:11" ht="12.75" customHeight="1" thickTop="1" thickBot="1" x14ac:dyDescent="0.25">
      <c r="A148" s="1453" t="s">
        <v>138</v>
      </c>
      <c r="B148" s="560">
        <v>3370</v>
      </c>
      <c r="C148" s="1934">
        <v>0</v>
      </c>
      <c r="D148" s="1934">
        <v>0</v>
      </c>
      <c r="E148" s="502"/>
      <c r="F148" s="467"/>
      <c r="G148" s="467"/>
      <c r="H148" s="467"/>
      <c r="I148" s="467"/>
      <c r="J148" s="467"/>
      <c r="K148" s="467"/>
    </row>
    <row r="149" spans="1:11" ht="12.75" customHeight="1" thickTop="1" thickBot="1" x14ac:dyDescent="0.25">
      <c r="A149" s="1453" t="s">
        <v>766</v>
      </c>
      <c r="B149" s="560">
        <v>3410</v>
      </c>
      <c r="C149" s="1935">
        <v>0</v>
      </c>
      <c r="D149" s="1936">
        <v>0</v>
      </c>
      <c r="E149" s="1937">
        <v>0</v>
      </c>
      <c r="F149" s="1929">
        <v>0</v>
      </c>
      <c r="G149" s="1929">
        <v>0</v>
      </c>
      <c r="H149" s="1929">
        <v>0</v>
      </c>
      <c r="I149" s="1929">
        <v>0</v>
      </c>
      <c r="J149" s="1929">
        <v>0</v>
      </c>
      <c r="K149" s="1929"/>
    </row>
    <row r="150" spans="1:11" ht="12.75" customHeight="1" thickTop="1" thickBot="1" x14ac:dyDescent="0.25">
      <c r="A150" s="1453" t="s">
        <v>68</v>
      </c>
      <c r="B150" s="560">
        <v>3499</v>
      </c>
      <c r="C150" s="1935">
        <v>0</v>
      </c>
      <c r="D150" s="1936">
        <v>0</v>
      </c>
      <c r="E150" s="1931">
        <v>0</v>
      </c>
      <c r="F150" s="1931">
        <v>0</v>
      </c>
      <c r="G150" s="1931">
        <v>0</v>
      </c>
      <c r="H150" s="1931">
        <v>0</v>
      </c>
      <c r="I150" s="1931">
        <v>0</v>
      </c>
      <c r="J150" s="1931">
        <v>0</v>
      </c>
      <c r="K150" s="1931"/>
    </row>
    <row r="151" spans="1:11" ht="15.75" customHeight="1" thickTop="1" x14ac:dyDescent="0.2">
      <c r="A151" s="1553" t="s">
        <v>452</v>
      </c>
      <c r="B151" s="1555"/>
      <c r="C151" s="541"/>
      <c r="D151" s="467"/>
      <c r="E151" s="549"/>
      <c r="F151" s="467"/>
      <c r="G151" s="467"/>
      <c r="H151" s="467"/>
      <c r="I151" s="467"/>
      <c r="J151" s="467"/>
      <c r="K151" s="467"/>
    </row>
    <row r="152" spans="1:11" ht="12.75" customHeight="1" x14ac:dyDescent="0.2">
      <c r="A152" s="463" t="s">
        <v>1435</v>
      </c>
      <c r="B152" s="550">
        <v>3500</v>
      </c>
      <c r="C152" s="1933">
        <v>0</v>
      </c>
      <c r="D152" s="1924">
        <v>0</v>
      </c>
      <c r="E152" s="549"/>
      <c r="F152" s="1924">
        <v>589696</v>
      </c>
      <c r="G152" s="1925">
        <v>0</v>
      </c>
      <c r="H152" s="467"/>
      <c r="I152" s="467"/>
      <c r="J152" s="467"/>
      <c r="K152" s="467"/>
    </row>
    <row r="153" spans="1:11" ht="12.75" customHeight="1" x14ac:dyDescent="0.2">
      <c r="A153" s="463" t="s">
        <v>1056</v>
      </c>
      <c r="B153" s="550">
        <v>3510</v>
      </c>
      <c r="C153" s="1933">
        <v>0</v>
      </c>
      <c r="D153" s="1924">
        <v>0</v>
      </c>
      <c r="E153" s="549"/>
      <c r="F153" s="1924">
        <v>834422</v>
      </c>
      <c r="G153" s="1925">
        <v>0</v>
      </c>
      <c r="H153" s="467"/>
      <c r="I153" s="467"/>
      <c r="J153" s="467"/>
      <c r="K153" s="467"/>
    </row>
    <row r="154" spans="1:11" ht="12.75" customHeight="1" x14ac:dyDescent="0.2">
      <c r="A154" s="463" t="s">
        <v>69</v>
      </c>
      <c r="B154" s="550">
        <v>3599</v>
      </c>
      <c r="C154" s="1933">
        <v>0</v>
      </c>
      <c r="D154" s="1924">
        <v>0</v>
      </c>
      <c r="E154" s="549"/>
      <c r="F154" s="1924">
        <v>0</v>
      </c>
      <c r="G154" s="1925">
        <v>0</v>
      </c>
      <c r="H154" s="467"/>
      <c r="I154" s="467"/>
      <c r="J154" s="467"/>
      <c r="K154" s="467"/>
    </row>
    <row r="155" spans="1:11" ht="12.75" customHeight="1" thickBot="1" x14ac:dyDescent="0.25">
      <c r="A155" s="1661" t="s">
        <v>94</v>
      </c>
      <c r="B155" s="1673"/>
      <c r="C155" s="1660">
        <f>SUM(C152:C154)</f>
        <v>0</v>
      </c>
      <c r="D155" s="1660">
        <f>SUM(D152:D154)</f>
        <v>0</v>
      </c>
      <c r="E155" s="549"/>
      <c r="F155" s="1660">
        <f>SUM(F152:F154)</f>
        <v>1424118</v>
      </c>
      <c r="G155" s="1660">
        <f>SUM(G152:G154)</f>
        <v>0</v>
      </c>
      <c r="H155" s="467"/>
      <c r="I155" s="467"/>
      <c r="J155" s="467"/>
      <c r="K155" s="467"/>
    </row>
    <row r="156" spans="1:11" ht="12.75" customHeight="1" thickTop="1" thickBot="1" x14ac:dyDescent="0.25">
      <c r="A156" s="1453" t="s">
        <v>379</v>
      </c>
      <c r="B156" s="560">
        <v>3610</v>
      </c>
      <c r="C156" s="1936">
        <v>0</v>
      </c>
      <c r="D156" s="467"/>
      <c r="E156" s="502"/>
      <c r="F156" s="467"/>
      <c r="G156" s="467"/>
      <c r="H156" s="467"/>
      <c r="I156" s="467"/>
      <c r="J156" s="467"/>
      <c r="K156" s="467"/>
    </row>
    <row r="157" spans="1:11" ht="12.75" customHeight="1" thickTop="1" thickBot="1" x14ac:dyDescent="0.25">
      <c r="A157" s="1453" t="s">
        <v>50</v>
      </c>
      <c r="B157" s="560">
        <v>3660</v>
      </c>
      <c r="C157" s="1934">
        <v>0</v>
      </c>
      <c r="D157" s="1938">
        <v>0</v>
      </c>
      <c r="E157" s="549"/>
      <c r="F157" s="1938">
        <v>0</v>
      </c>
      <c r="G157" s="1938">
        <v>0</v>
      </c>
      <c r="H157" s="467"/>
      <c r="I157" s="467"/>
      <c r="J157" s="467"/>
      <c r="K157" s="467"/>
    </row>
    <row r="158" spans="1:11" ht="12.75" customHeight="1" thickTop="1" thickBot="1" x14ac:dyDescent="0.25">
      <c r="A158" s="1453" t="s">
        <v>999</v>
      </c>
      <c r="B158" s="560">
        <v>3695</v>
      </c>
      <c r="C158" s="1936">
        <v>0</v>
      </c>
      <c r="D158" s="467"/>
      <c r="E158" s="549"/>
      <c r="F158" s="1936">
        <v>0</v>
      </c>
      <c r="G158" s="1936">
        <v>0</v>
      </c>
      <c r="H158" s="467"/>
      <c r="I158" s="467"/>
      <c r="J158" s="467"/>
      <c r="K158" s="467"/>
    </row>
    <row r="159" spans="1:11" ht="12.75" customHeight="1" thickTop="1" thickBot="1" x14ac:dyDescent="0.25">
      <c r="A159" s="1453" t="s">
        <v>1050</v>
      </c>
      <c r="B159" s="560">
        <v>3705</v>
      </c>
      <c r="C159" s="1936">
        <v>524802</v>
      </c>
      <c r="D159" s="1938">
        <v>0</v>
      </c>
      <c r="E159" s="549"/>
      <c r="F159" s="1936">
        <v>0</v>
      </c>
      <c r="G159" s="1936">
        <v>0</v>
      </c>
      <c r="H159" s="467"/>
      <c r="I159" s="467"/>
      <c r="J159" s="467"/>
      <c r="K159" s="467"/>
    </row>
    <row r="160" spans="1:11" ht="12.75" customHeight="1" thickTop="1" thickBot="1" x14ac:dyDescent="0.25">
      <c r="A160" s="1453" t="s">
        <v>39</v>
      </c>
      <c r="B160" s="560">
        <v>3766</v>
      </c>
      <c r="C160" s="1936">
        <v>0</v>
      </c>
      <c r="D160" s="1938">
        <v>0</v>
      </c>
      <c r="E160" s="549"/>
      <c r="F160" s="1936">
        <v>0</v>
      </c>
      <c r="G160" s="1930">
        <v>0</v>
      </c>
      <c r="H160" s="467"/>
      <c r="I160" s="467"/>
      <c r="J160" s="467"/>
      <c r="K160" s="467"/>
    </row>
    <row r="161" spans="1:11" ht="12.75" customHeight="1" thickTop="1" thickBot="1" x14ac:dyDescent="0.25">
      <c r="A161" s="1453" t="s">
        <v>984</v>
      </c>
      <c r="B161" s="560">
        <v>3767</v>
      </c>
      <c r="C161" s="1936">
        <v>0</v>
      </c>
      <c r="D161" s="1930">
        <v>0</v>
      </c>
      <c r="E161" s="549"/>
      <c r="F161" s="1930">
        <v>0</v>
      </c>
      <c r="G161" s="1930">
        <v>0</v>
      </c>
      <c r="H161" s="467"/>
      <c r="I161" s="467"/>
      <c r="J161" s="467"/>
      <c r="K161" s="467"/>
    </row>
    <row r="162" spans="1:11" ht="12.75" customHeight="1" thickTop="1" thickBot="1" x14ac:dyDescent="0.25">
      <c r="A162" s="1453" t="s">
        <v>985</v>
      </c>
      <c r="B162" s="560">
        <v>3775</v>
      </c>
      <c r="C162" s="1936">
        <v>0</v>
      </c>
      <c r="D162" s="1934">
        <v>0</v>
      </c>
      <c r="E162" s="1929">
        <v>0</v>
      </c>
      <c r="F162" s="1934">
        <v>0</v>
      </c>
      <c r="G162" s="1931">
        <v>0</v>
      </c>
      <c r="H162" s="1929">
        <v>0</v>
      </c>
      <c r="I162" s="467"/>
      <c r="J162" s="467"/>
      <c r="K162" s="1929"/>
    </row>
    <row r="163" spans="1:11" ht="12.75" customHeight="1" thickTop="1" thickBot="1" x14ac:dyDescent="0.25">
      <c r="A163" s="1453" t="s">
        <v>1436</v>
      </c>
      <c r="B163" s="560">
        <v>3780</v>
      </c>
      <c r="C163" s="1930">
        <v>0</v>
      </c>
      <c r="D163" s="1929">
        <v>0</v>
      </c>
      <c r="E163" s="1930">
        <v>0</v>
      </c>
      <c r="F163" s="1930">
        <v>0</v>
      </c>
      <c r="G163" s="1930">
        <v>0</v>
      </c>
      <c r="H163" s="1930">
        <v>0</v>
      </c>
      <c r="I163" s="467"/>
      <c r="J163" s="467"/>
      <c r="K163" s="1930"/>
    </row>
    <row r="164" spans="1:11" ht="12.75" customHeight="1" thickTop="1" thickBot="1" x14ac:dyDescent="0.25">
      <c r="A164" s="1453" t="s">
        <v>857</v>
      </c>
      <c r="B164" s="560">
        <v>3815</v>
      </c>
      <c r="C164" s="1936">
        <v>0</v>
      </c>
      <c r="D164" s="467"/>
      <c r="E164" s="549"/>
      <c r="F164" s="1936">
        <v>0</v>
      </c>
      <c r="G164" s="467"/>
      <c r="H164" s="467"/>
      <c r="I164" s="467"/>
      <c r="J164" s="467"/>
      <c r="K164" s="467"/>
    </row>
    <row r="165" spans="1:11" ht="12.75" customHeight="1" thickTop="1" thickBot="1" x14ac:dyDescent="0.25">
      <c r="A165" s="1453" t="s">
        <v>396</v>
      </c>
      <c r="B165" s="560">
        <v>3825</v>
      </c>
      <c r="C165" s="1936">
        <v>0</v>
      </c>
      <c r="D165" s="467"/>
      <c r="E165" s="549"/>
      <c r="F165" s="1936">
        <v>0</v>
      </c>
      <c r="G165" s="467"/>
      <c r="H165" s="467"/>
      <c r="I165" s="467"/>
      <c r="J165" s="467"/>
      <c r="K165" s="467"/>
    </row>
    <row r="166" spans="1:11" ht="12.75" customHeight="1" thickTop="1" thickBot="1" x14ac:dyDescent="0.25">
      <c r="A166" s="1453" t="s">
        <v>347</v>
      </c>
      <c r="B166" s="560">
        <v>3920</v>
      </c>
      <c r="C166" s="554"/>
      <c r="D166" s="1938">
        <v>0</v>
      </c>
      <c r="E166" s="467"/>
      <c r="F166" s="554"/>
      <c r="G166" s="467"/>
      <c r="H166" s="1929">
        <v>0</v>
      </c>
      <c r="I166" s="467"/>
      <c r="J166" s="467"/>
      <c r="K166" s="467"/>
    </row>
    <row r="167" spans="1:11" ht="12.75" customHeight="1" thickTop="1" thickBot="1" x14ac:dyDescent="0.25">
      <c r="A167" s="1453" t="s">
        <v>348</v>
      </c>
      <c r="B167" s="560">
        <v>3925</v>
      </c>
      <c r="C167" s="514"/>
      <c r="D167" s="1936">
        <v>0</v>
      </c>
      <c r="E167" s="514"/>
      <c r="F167" s="514"/>
      <c r="G167" s="467"/>
      <c r="H167" s="1930">
        <v>0</v>
      </c>
      <c r="I167" s="467"/>
      <c r="J167" s="467"/>
      <c r="K167" s="1929"/>
    </row>
    <row r="168" spans="1:11" ht="14.25" thickTop="1" thickBot="1" x14ac:dyDescent="0.25">
      <c r="A168" s="1453" t="s">
        <v>70</v>
      </c>
      <c r="B168" s="560">
        <v>3999</v>
      </c>
      <c r="C168" s="1939">
        <v>6076</v>
      </c>
      <c r="D168" s="1940">
        <v>0</v>
      </c>
      <c r="E168" s="1940">
        <v>0</v>
      </c>
      <c r="F168" s="1940">
        <v>0</v>
      </c>
      <c r="G168" s="1941">
        <v>0</v>
      </c>
      <c r="H168" s="1942">
        <v>0</v>
      </c>
      <c r="I168" s="1941">
        <v>0</v>
      </c>
      <c r="J168" s="1941">
        <v>0</v>
      </c>
      <c r="K168" s="1942"/>
    </row>
    <row r="169" spans="1:11" ht="12.75" customHeight="1" thickTop="1" thickBot="1" x14ac:dyDescent="0.25">
      <c r="A169" s="2261" t="s">
        <v>397</v>
      </c>
      <c r="B169" s="2262"/>
      <c r="C169" s="1675">
        <f t="shared" ref="C169:K169" si="6">SUM(C132,C141,C145,C146:C150,C155,C156:C167,C168)</f>
        <v>978938</v>
      </c>
      <c r="D169" s="1675">
        <f t="shared" si="6"/>
        <v>0</v>
      </c>
      <c r="E169" s="1675">
        <f t="shared" si="6"/>
        <v>0</v>
      </c>
      <c r="F169" s="1675">
        <f t="shared" si="6"/>
        <v>1424118</v>
      </c>
      <c r="G169" s="1675">
        <f t="shared" si="6"/>
        <v>0</v>
      </c>
      <c r="H169" s="1675">
        <f t="shared" si="6"/>
        <v>0</v>
      </c>
      <c r="I169" s="1675">
        <f t="shared" si="6"/>
        <v>0</v>
      </c>
      <c r="J169" s="1675">
        <f t="shared" si="6"/>
        <v>0</v>
      </c>
      <c r="K169" s="1656">
        <f t="shared" si="6"/>
        <v>0</v>
      </c>
    </row>
    <row r="170" spans="1:11" ht="12.75" customHeight="1" thickTop="1" thickBot="1" x14ac:dyDescent="0.25">
      <c r="A170" s="1661" t="s">
        <v>398</v>
      </c>
      <c r="B170" s="1667" t="s">
        <v>574</v>
      </c>
      <c r="C170" s="1668">
        <f t="shared" ref="C170:K170" si="7">SUM(C122,C169)</f>
        <v>5063472</v>
      </c>
      <c r="D170" s="1668">
        <f t="shared" si="7"/>
        <v>0</v>
      </c>
      <c r="E170" s="1668">
        <f t="shared" si="7"/>
        <v>0</v>
      </c>
      <c r="F170" s="1668">
        <f t="shared" si="7"/>
        <v>1424118</v>
      </c>
      <c r="G170" s="1668">
        <f t="shared" si="7"/>
        <v>0</v>
      </c>
      <c r="H170" s="1668">
        <f t="shared" si="7"/>
        <v>0</v>
      </c>
      <c r="I170" s="1668">
        <f t="shared" si="7"/>
        <v>0</v>
      </c>
      <c r="J170" s="1668">
        <f t="shared" si="7"/>
        <v>0</v>
      </c>
      <c r="K170" s="1655">
        <f t="shared" si="7"/>
        <v>0</v>
      </c>
    </row>
    <row r="171" spans="1:11" ht="16.7" customHeight="1" thickTop="1" x14ac:dyDescent="0.2">
      <c r="A171" s="1542" t="s">
        <v>803</v>
      </c>
      <c r="B171" s="1520"/>
      <c r="C171" s="1523"/>
      <c r="D171" s="1524"/>
      <c r="E171" s="1524"/>
      <c r="F171" s="1524"/>
      <c r="G171" s="1524"/>
      <c r="H171" s="1524"/>
      <c r="I171" s="1524"/>
      <c r="J171" s="1524"/>
      <c r="K171" s="1525"/>
    </row>
    <row r="172" spans="1:11" ht="15.75" customHeight="1" x14ac:dyDescent="0.2">
      <c r="A172" s="2263" t="s">
        <v>1479</v>
      </c>
      <c r="B172" s="2264"/>
      <c r="C172" s="513"/>
      <c r="D172" s="513"/>
      <c r="E172" s="502"/>
      <c r="F172" s="467"/>
      <c r="G172" s="467"/>
      <c r="H172" s="467"/>
      <c r="I172" s="467"/>
      <c r="J172" s="467"/>
      <c r="K172" s="467"/>
    </row>
    <row r="173" spans="1:11" ht="12.6" customHeight="1" x14ac:dyDescent="0.2">
      <c r="A173" s="486" t="s">
        <v>1043</v>
      </c>
      <c r="B173" s="485">
        <v>4001</v>
      </c>
      <c r="C173" s="509">
        <v>0</v>
      </c>
      <c r="D173" s="477">
        <v>0</v>
      </c>
      <c r="E173" s="1925">
        <v>0</v>
      </c>
      <c r="F173" s="1924">
        <v>0</v>
      </c>
      <c r="G173" s="1924">
        <v>0</v>
      </c>
      <c r="H173" s="1925">
        <v>0</v>
      </c>
      <c r="I173" s="1925">
        <v>0</v>
      </c>
      <c r="J173" s="1925">
        <v>0</v>
      </c>
      <c r="K173" s="1925"/>
    </row>
    <row r="174" spans="1:11" ht="22.5" x14ac:dyDescent="0.2">
      <c r="A174" s="551" t="s">
        <v>804</v>
      </c>
      <c r="B174" s="563">
        <v>4009</v>
      </c>
      <c r="C174" s="1933">
        <v>0</v>
      </c>
      <c r="D174" s="1924">
        <v>0</v>
      </c>
      <c r="E174" s="1925">
        <v>0</v>
      </c>
      <c r="F174" s="1924">
        <v>0</v>
      </c>
      <c r="G174" s="1924">
        <v>0</v>
      </c>
      <c r="H174" s="1925">
        <v>0</v>
      </c>
      <c r="I174" s="1925">
        <v>0</v>
      </c>
      <c r="J174" s="1925">
        <v>0</v>
      </c>
      <c r="K174" s="1925"/>
    </row>
    <row r="175" spans="1:11" ht="13.5" thickBot="1" x14ac:dyDescent="0.25">
      <c r="A175" s="2267" t="s">
        <v>1652</v>
      </c>
      <c r="B175" s="2268"/>
      <c r="C175" s="1660">
        <f>SUM(C173:C174)</f>
        <v>0</v>
      </c>
      <c r="D175" s="1660">
        <f t="shared" ref="D175:K175" si="8">SUM(D173:D174)</f>
        <v>0</v>
      </c>
      <c r="E175" s="1660">
        <f t="shared" si="8"/>
        <v>0</v>
      </c>
      <c r="F175" s="1660">
        <f t="shared" si="8"/>
        <v>0</v>
      </c>
      <c r="G175" s="1660">
        <f t="shared" si="8"/>
        <v>0</v>
      </c>
      <c r="H175" s="1660">
        <f t="shared" si="8"/>
        <v>0</v>
      </c>
      <c r="I175" s="1660">
        <f t="shared" si="8"/>
        <v>0</v>
      </c>
      <c r="J175" s="1660">
        <f t="shared" si="8"/>
        <v>0</v>
      </c>
      <c r="K175" s="1641">
        <f t="shared" si="8"/>
        <v>0</v>
      </c>
    </row>
    <row r="176" spans="1:11" s="457" customFormat="1" ht="15.75" customHeight="1" thickTop="1" x14ac:dyDescent="0.2">
      <c r="A176" s="2271" t="s">
        <v>1651</v>
      </c>
      <c r="B176" s="2272"/>
      <c r="C176" s="575"/>
      <c r="D176" s="576"/>
      <c r="E176" s="577"/>
      <c r="F176" s="578"/>
      <c r="G176" s="578"/>
      <c r="H176" s="578"/>
      <c r="I176" s="578"/>
      <c r="J176" s="578"/>
      <c r="K176" s="578"/>
    </row>
    <row r="177" spans="1:11" ht="12.75" customHeight="1" x14ac:dyDescent="0.2">
      <c r="A177" s="463" t="s">
        <v>1044</v>
      </c>
      <c r="B177" s="469">
        <v>4045</v>
      </c>
      <c r="C177" s="1933">
        <v>0</v>
      </c>
      <c r="D177" s="467"/>
      <c r="E177" s="549"/>
      <c r="F177" s="467"/>
      <c r="G177" s="467"/>
      <c r="H177" s="467"/>
      <c r="I177" s="467"/>
      <c r="J177" s="467"/>
      <c r="K177" s="467"/>
    </row>
    <row r="178" spans="1:11" ht="12.75" customHeight="1" x14ac:dyDescent="0.2">
      <c r="A178" s="463" t="s">
        <v>1045</v>
      </c>
      <c r="B178" s="469">
        <v>4050</v>
      </c>
      <c r="C178" s="1933">
        <v>0</v>
      </c>
      <c r="D178" s="1925">
        <v>0</v>
      </c>
      <c r="E178" s="549"/>
      <c r="F178" s="467"/>
      <c r="G178" s="467"/>
      <c r="H178" s="1925">
        <v>0</v>
      </c>
      <c r="I178" s="467"/>
      <c r="J178" s="467"/>
      <c r="K178" s="467"/>
    </row>
    <row r="179" spans="1:11" ht="12.75" customHeight="1" x14ac:dyDescent="0.2">
      <c r="A179" s="463" t="s">
        <v>260</v>
      </c>
      <c r="B179" s="469">
        <v>4060</v>
      </c>
      <c r="C179" s="509">
        <v>0</v>
      </c>
      <c r="D179" s="1924">
        <v>0</v>
      </c>
      <c r="E179" s="467"/>
      <c r="F179" s="1924">
        <v>0</v>
      </c>
      <c r="G179" s="1924">
        <v>0</v>
      </c>
      <c r="H179" s="1924">
        <v>0</v>
      </c>
      <c r="I179" s="467"/>
      <c r="J179" s="467"/>
      <c r="K179" s="514"/>
    </row>
    <row r="180" spans="1:11" ht="22.5" x14ac:dyDescent="0.2">
      <c r="A180" s="551" t="s">
        <v>785</v>
      </c>
      <c r="B180" s="563">
        <v>4090</v>
      </c>
      <c r="C180" s="1933">
        <v>0</v>
      </c>
      <c r="D180" s="1924">
        <v>0</v>
      </c>
      <c r="E180" s="467"/>
      <c r="F180" s="1924">
        <v>0</v>
      </c>
      <c r="G180" s="1924">
        <v>0</v>
      </c>
      <c r="H180" s="1924">
        <v>0</v>
      </c>
      <c r="I180" s="467"/>
      <c r="J180" s="467"/>
      <c r="K180" s="1924"/>
    </row>
    <row r="181" spans="1:11" ht="13.5" thickBot="1" x14ac:dyDescent="0.25">
      <c r="A181" s="2269" t="s">
        <v>784</v>
      </c>
      <c r="B181" s="2270"/>
      <c r="C181" s="1660">
        <f>SUM(C177:C180)</f>
        <v>0</v>
      </c>
      <c r="D181" s="1660">
        <f>SUM(D177:D180)</f>
        <v>0</v>
      </c>
      <c r="E181" s="467"/>
      <c r="F181" s="1660">
        <f>SUM(F177:F180)</f>
        <v>0</v>
      </c>
      <c r="G181" s="1660">
        <f>SUM(G177:G180)</f>
        <v>0</v>
      </c>
      <c r="H181" s="1660">
        <f>SUM(H177:H180)</f>
        <v>0</v>
      </c>
      <c r="I181" s="467"/>
      <c r="J181" s="467"/>
      <c r="K181" s="1641">
        <f>SUM(K177:K180)</f>
        <v>0</v>
      </c>
    </row>
    <row r="182" spans="1:11" ht="22.5" customHeight="1" thickTop="1" x14ac:dyDescent="0.2">
      <c r="A182" s="2265" t="s">
        <v>1777</v>
      </c>
      <c r="B182" s="2266"/>
      <c r="C182" s="564"/>
      <c r="D182" s="554"/>
      <c r="E182" s="502"/>
      <c r="F182" s="554"/>
      <c r="G182" s="554"/>
      <c r="H182" s="467"/>
      <c r="I182" s="467"/>
      <c r="J182" s="467"/>
      <c r="K182" s="467"/>
    </row>
    <row r="183" spans="1:11" ht="15.75" customHeight="1" x14ac:dyDescent="0.2">
      <c r="A183" s="1556" t="s">
        <v>1589</v>
      </c>
      <c r="B183" s="1557"/>
      <c r="C183" s="515"/>
      <c r="D183" s="514"/>
      <c r="E183" s="502"/>
      <c r="F183" s="514"/>
      <c r="G183" s="514"/>
      <c r="H183" s="467"/>
      <c r="I183" s="467"/>
      <c r="J183" s="467"/>
      <c r="K183" s="467"/>
    </row>
    <row r="184" spans="1:11" ht="12.75" customHeight="1" x14ac:dyDescent="0.2">
      <c r="A184" s="463" t="s">
        <v>1590</v>
      </c>
      <c r="B184" s="469">
        <v>4100</v>
      </c>
      <c r="C184" s="509">
        <v>0</v>
      </c>
      <c r="D184" s="477">
        <v>0</v>
      </c>
      <c r="E184" s="549"/>
      <c r="F184" s="477">
        <v>0</v>
      </c>
      <c r="G184" s="477">
        <v>0</v>
      </c>
      <c r="H184" s="467"/>
      <c r="I184" s="467"/>
      <c r="J184" s="467"/>
      <c r="K184" s="467"/>
    </row>
    <row r="185" spans="1:11" ht="12.75" customHeight="1" x14ac:dyDescent="0.2">
      <c r="A185" s="463" t="s">
        <v>1591</v>
      </c>
      <c r="B185" s="469">
        <v>4105</v>
      </c>
      <c r="C185" s="1933">
        <v>0</v>
      </c>
      <c r="D185" s="1924">
        <v>0</v>
      </c>
      <c r="E185" s="549"/>
      <c r="F185" s="1924">
        <v>0</v>
      </c>
      <c r="G185" s="1924">
        <v>0</v>
      </c>
      <c r="H185" s="467"/>
      <c r="I185" s="467"/>
      <c r="J185" s="467"/>
      <c r="K185" s="467"/>
    </row>
    <row r="186" spans="1:11" ht="12.75" customHeight="1" x14ac:dyDescent="0.2">
      <c r="A186" s="463" t="s">
        <v>1593</v>
      </c>
      <c r="B186" s="469">
        <v>4107</v>
      </c>
      <c r="C186" s="1933">
        <v>0</v>
      </c>
      <c r="D186" s="1924">
        <v>0</v>
      </c>
      <c r="E186" s="549"/>
      <c r="F186" s="1924">
        <v>0</v>
      </c>
      <c r="G186" s="1924">
        <v>0</v>
      </c>
      <c r="H186" s="467"/>
      <c r="I186" s="467"/>
      <c r="J186" s="467"/>
      <c r="K186" s="467"/>
    </row>
    <row r="187" spans="1:11" ht="12.75" customHeight="1" x14ac:dyDescent="0.2">
      <c r="A187" s="463" t="s">
        <v>1592</v>
      </c>
      <c r="B187" s="469">
        <v>4199</v>
      </c>
      <c r="C187" s="1933">
        <v>0</v>
      </c>
      <c r="D187" s="1924">
        <v>0</v>
      </c>
      <c r="E187" s="549"/>
      <c r="F187" s="1924">
        <v>0</v>
      </c>
      <c r="G187" s="1924">
        <v>0</v>
      </c>
      <c r="H187" s="467"/>
      <c r="I187" s="467"/>
      <c r="J187" s="467"/>
      <c r="K187" s="467"/>
    </row>
    <row r="188" spans="1:11" ht="12.75" customHeight="1" thickBot="1" x14ac:dyDescent="0.25">
      <c r="A188" s="1661" t="s">
        <v>1594</v>
      </c>
      <c r="B188" s="1662"/>
      <c r="C188" s="1660">
        <f>SUM(C184:C187)</f>
        <v>0</v>
      </c>
      <c r="D188" s="1660">
        <f>SUM(D184:D187)</f>
        <v>0</v>
      </c>
      <c r="E188" s="549"/>
      <c r="F188" s="1660">
        <f>SUM(F184:F187)</f>
        <v>0</v>
      </c>
      <c r="G188" s="1660">
        <f>SUM(G184:G187)</f>
        <v>0</v>
      </c>
      <c r="H188" s="467"/>
      <c r="I188" s="467"/>
      <c r="J188" s="467"/>
      <c r="K188" s="467"/>
    </row>
    <row r="189" spans="1:11" ht="15.75" customHeight="1" thickTop="1" x14ac:dyDescent="0.2">
      <c r="A189" s="1553" t="s">
        <v>454</v>
      </c>
      <c r="B189" s="1558"/>
      <c r="C189" s="541"/>
      <c r="D189" s="554"/>
      <c r="E189" s="549"/>
      <c r="F189" s="541"/>
      <c r="G189" s="541"/>
      <c r="H189" s="467"/>
      <c r="I189" s="467"/>
      <c r="J189" s="467"/>
      <c r="K189" s="467"/>
    </row>
    <row r="190" spans="1:11" x14ac:dyDescent="0.2">
      <c r="A190" s="463" t="s">
        <v>1437</v>
      </c>
      <c r="B190" s="469">
        <v>4200</v>
      </c>
      <c r="C190" s="1925">
        <v>0</v>
      </c>
      <c r="D190" s="467"/>
      <c r="E190" s="549"/>
      <c r="F190" s="541"/>
      <c r="G190" s="1943">
        <v>0</v>
      </c>
      <c r="H190" s="467"/>
      <c r="I190" s="467"/>
      <c r="J190" s="467"/>
      <c r="K190" s="467"/>
    </row>
    <row r="191" spans="1:11" ht="12.75" customHeight="1" x14ac:dyDescent="0.2">
      <c r="A191" s="463" t="s">
        <v>1057</v>
      </c>
      <c r="B191" s="469">
        <v>4210</v>
      </c>
      <c r="C191" s="1924">
        <v>458728</v>
      </c>
      <c r="D191" s="467"/>
      <c r="E191" s="549"/>
      <c r="F191" s="467"/>
      <c r="G191" s="1943">
        <v>0</v>
      </c>
      <c r="H191" s="467"/>
      <c r="I191" s="467"/>
      <c r="J191" s="467"/>
      <c r="K191" s="467"/>
    </row>
    <row r="192" spans="1:11" ht="12.75" customHeight="1" x14ac:dyDescent="0.2">
      <c r="A192" s="463" t="s">
        <v>1046</v>
      </c>
      <c r="B192" s="469">
        <v>4215</v>
      </c>
      <c r="C192" s="1933">
        <v>0</v>
      </c>
      <c r="D192" s="467"/>
      <c r="E192" s="549"/>
      <c r="F192" s="467"/>
      <c r="G192" s="1943">
        <v>0</v>
      </c>
      <c r="H192" s="467"/>
      <c r="I192" s="467"/>
      <c r="J192" s="467"/>
      <c r="K192" s="467"/>
    </row>
    <row r="193" spans="1:11" ht="12.75" customHeight="1" x14ac:dyDescent="0.2">
      <c r="A193" s="463" t="s">
        <v>1058</v>
      </c>
      <c r="B193" s="469">
        <v>4220</v>
      </c>
      <c r="C193" s="1933">
        <v>76549</v>
      </c>
      <c r="D193" s="467"/>
      <c r="E193" s="549"/>
      <c r="F193" s="467"/>
      <c r="G193" s="1943">
        <v>0</v>
      </c>
      <c r="H193" s="467"/>
      <c r="I193" s="467"/>
      <c r="J193" s="467"/>
      <c r="K193" s="467"/>
    </row>
    <row r="194" spans="1:11" ht="12.75" customHeight="1" x14ac:dyDescent="0.2">
      <c r="A194" s="463" t="s">
        <v>1438</v>
      </c>
      <c r="B194" s="469">
        <v>4225</v>
      </c>
      <c r="C194" s="1933">
        <v>0</v>
      </c>
      <c r="D194" s="467"/>
      <c r="E194" s="549"/>
      <c r="F194" s="467"/>
      <c r="G194" s="1943">
        <v>0</v>
      </c>
      <c r="H194" s="467"/>
      <c r="I194" s="467"/>
      <c r="J194" s="467"/>
      <c r="K194" s="467"/>
    </row>
    <row r="195" spans="1:11" ht="12.75" customHeight="1" x14ac:dyDescent="0.2">
      <c r="A195" s="463" t="s">
        <v>1439</v>
      </c>
      <c r="B195" s="469">
        <v>4226</v>
      </c>
      <c r="C195" s="1933">
        <v>0</v>
      </c>
      <c r="D195" s="467"/>
      <c r="E195" s="549"/>
      <c r="F195" s="467"/>
      <c r="G195" s="1943">
        <v>0</v>
      </c>
      <c r="H195" s="467"/>
      <c r="I195" s="467"/>
      <c r="J195" s="467"/>
      <c r="K195" s="467"/>
    </row>
    <row r="196" spans="1:11" ht="12.75" customHeight="1" x14ac:dyDescent="0.2">
      <c r="A196" s="463" t="s">
        <v>791</v>
      </c>
      <c r="B196" s="469">
        <v>4240</v>
      </c>
      <c r="C196" s="1928">
        <v>0</v>
      </c>
      <c r="D196" s="467"/>
      <c r="E196" s="549"/>
      <c r="F196" s="467"/>
      <c r="G196" s="566"/>
      <c r="H196" s="467"/>
      <c r="I196" s="467"/>
      <c r="J196" s="467"/>
      <c r="K196" s="467"/>
    </row>
    <row r="197" spans="1:11" ht="12.75" customHeight="1" x14ac:dyDescent="0.2">
      <c r="A197" s="463" t="s">
        <v>71</v>
      </c>
      <c r="B197" s="469">
        <v>4299</v>
      </c>
      <c r="C197" s="1933">
        <v>0</v>
      </c>
      <c r="D197" s="467"/>
      <c r="E197" s="549"/>
      <c r="F197" s="467"/>
      <c r="G197" s="1943">
        <v>0</v>
      </c>
      <c r="H197" s="467"/>
      <c r="I197" s="467"/>
      <c r="J197" s="467"/>
      <c r="K197" s="467"/>
    </row>
    <row r="198" spans="1:11" ht="12.75" customHeight="1" thickBot="1" x14ac:dyDescent="0.25">
      <c r="A198" s="1661" t="s">
        <v>547</v>
      </c>
      <c r="B198" s="1662"/>
      <c r="C198" s="1641">
        <f>SUM(C190:C197)</f>
        <v>535277</v>
      </c>
      <c r="D198" s="467"/>
      <c r="E198" s="467"/>
      <c r="F198" s="467"/>
      <c r="G198" s="1641">
        <f>SUM(G190:G197)</f>
        <v>0</v>
      </c>
      <c r="H198" s="467"/>
      <c r="I198" s="467"/>
      <c r="J198" s="467"/>
      <c r="K198" s="467"/>
    </row>
    <row r="199" spans="1:11" ht="15.75" customHeight="1" thickTop="1" x14ac:dyDescent="0.2">
      <c r="A199" s="1553" t="s">
        <v>1137</v>
      </c>
      <c r="B199" s="1558"/>
      <c r="C199" s="541"/>
      <c r="D199" s="467"/>
      <c r="E199" s="467"/>
      <c r="F199" s="467"/>
      <c r="G199" s="467"/>
      <c r="H199" s="467"/>
      <c r="I199" s="467"/>
      <c r="J199" s="467"/>
      <c r="K199" s="467"/>
    </row>
    <row r="200" spans="1:11" ht="12.75" customHeight="1" x14ac:dyDescent="0.2">
      <c r="A200" s="463" t="s">
        <v>917</v>
      </c>
      <c r="B200" s="469">
        <v>4300</v>
      </c>
      <c r="C200" s="1924">
        <v>298564</v>
      </c>
      <c r="D200" s="1924">
        <v>0</v>
      </c>
      <c r="E200" s="467"/>
      <c r="F200" s="1924">
        <v>0</v>
      </c>
      <c r="G200" s="1924">
        <v>0</v>
      </c>
      <c r="H200" s="467"/>
      <c r="I200" s="467"/>
      <c r="J200" s="467"/>
      <c r="K200" s="467"/>
    </row>
    <row r="201" spans="1:11" ht="12.75" customHeight="1" x14ac:dyDescent="0.2">
      <c r="A201" s="463" t="s">
        <v>918</v>
      </c>
      <c r="B201" s="469">
        <v>4305</v>
      </c>
      <c r="C201" s="1933">
        <v>0</v>
      </c>
      <c r="D201" s="1924">
        <v>0</v>
      </c>
      <c r="E201" s="467"/>
      <c r="F201" s="1924">
        <v>0</v>
      </c>
      <c r="G201" s="1924">
        <v>0</v>
      </c>
      <c r="H201" s="467"/>
      <c r="I201" s="467"/>
      <c r="J201" s="467"/>
      <c r="K201" s="467"/>
    </row>
    <row r="202" spans="1:11" ht="12.75" customHeight="1" x14ac:dyDescent="0.2">
      <c r="A202" s="463" t="s">
        <v>1030</v>
      </c>
      <c r="B202" s="469">
        <v>4340</v>
      </c>
      <c r="C202" s="1933">
        <v>0</v>
      </c>
      <c r="D202" s="1924">
        <v>0</v>
      </c>
      <c r="E202" s="467"/>
      <c r="F202" s="1924">
        <v>0</v>
      </c>
      <c r="G202" s="1924">
        <v>0</v>
      </c>
      <c r="H202" s="467"/>
      <c r="I202" s="467"/>
      <c r="J202" s="467"/>
      <c r="K202" s="467"/>
    </row>
    <row r="203" spans="1:11" ht="12.75" customHeight="1" x14ac:dyDescent="0.2">
      <c r="A203" s="463" t="s">
        <v>72</v>
      </c>
      <c r="B203" s="469">
        <v>4399</v>
      </c>
      <c r="C203" s="1933">
        <v>0</v>
      </c>
      <c r="D203" s="1924">
        <v>0</v>
      </c>
      <c r="E203" s="467"/>
      <c r="F203" s="1924">
        <v>0</v>
      </c>
      <c r="G203" s="1924">
        <v>0</v>
      </c>
      <c r="H203" s="467"/>
      <c r="I203" s="467"/>
      <c r="J203" s="467"/>
      <c r="K203" s="467"/>
    </row>
    <row r="204" spans="1:11" ht="12.75" customHeight="1" thickBot="1" x14ac:dyDescent="0.25">
      <c r="A204" s="1661" t="s">
        <v>399</v>
      </c>
      <c r="B204" s="1662"/>
      <c r="C204" s="1660">
        <f>SUM(C200:C203)</f>
        <v>298564</v>
      </c>
      <c r="D204" s="1660">
        <f>SUM(D200:D203)</f>
        <v>0</v>
      </c>
      <c r="E204" s="467"/>
      <c r="F204" s="1660">
        <f>SUM(F200:F203)</f>
        <v>0</v>
      </c>
      <c r="G204" s="1660">
        <f>SUM(G200:G203)</f>
        <v>0</v>
      </c>
      <c r="H204" s="467"/>
      <c r="I204" s="467"/>
      <c r="J204" s="467"/>
      <c r="K204" s="467"/>
    </row>
    <row r="205" spans="1:11" ht="15.75" customHeight="1" thickTop="1" x14ac:dyDescent="0.2">
      <c r="A205" s="1553" t="s">
        <v>1138</v>
      </c>
      <c r="B205" s="1558"/>
      <c r="C205" s="541"/>
      <c r="D205" s="541"/>
      <c r="E205" s="467"/>
      <c r="F205" s="541"/>
      <c r="G205" s="541"/>
      <c r="H205" s="467"/>
      <c r="I205" s="467"/>
      <c r="J205" s="467"/>
      <c r="K205" s="467"/>
    </row>
    <row r="206" spans="1:11" ht="12.75" customHeight="1" x14ac:dyDescent="0.2">
      <c r="A206" s="463" t="s">
        <v>758</v>
      </c>
      <c r="B206" s="469">
        <v>4400</v>
      </c>
      <c r="C206" s="1933">
        <v>12050</v>
      </c>
      <c r="D206" s="1924">
        <v>0</v>
      </c>
      <c r="E206" s="467"/>
      <c r="F206" s="1924">
        <v>0</v>
      </c>
      <c r="G206" s="1924">
        <v>0</v>
      </c>
      <c r="H206" s="467"/>
      <c r="I206" s="467"/>
      <c r="J206" s="467"/>
      <c r="K206" s="467"/>
    </row>
    <row r="207" spans="1:11" ht="12.75" customHeight="1" x14ac:dyDescent="0.2">
      <c r="A207" s="463" t="s">
        <v>1440</v>
      </c>
      <c r="B207" s="469">
        <v>4421</v>
      </c>
      <c r="C207" s="1933">
        <v>0</v>
      </c>
      <c r="D207" s="1924">
        <v>0</v>
      </c>
      <c r="E207" s="467"/>
      <c r="F207" s="1924">
        <v>0</v>
      </c>
      <c r="G207" s="1924">
        <v>0</v>
      </c>
      <c r="H207" s="467"/>
      <c r="I207" s="467"/>
      <c r="J207" s="467"/>
      <c r="K207" s="467"/>
    </row>
    <row r="208" spans="1:11" ht="12.75" customHeight="1" x14ac:dyDescent="0.2">
      <c r="A208" s="463" t="s">
        <v>73</v>
      </c>
      <c r="B208" s="469">
        <v>4499</v>
      </c>
      <c r="C208" s="1933">
        <v>0</v>
      </c>
      <c r="D208" s="1924">
        <v>0</v>
      </c>
      <c r="E208" s="467"/>
      <c r="F208" s="1924">
        <v>0</v>
      </c>
      <c r="G208" s="1924">
        <v>0</v>
      </c>
      <c r="H208" s="467"/>
      <c r="I208" s="467"/>
      <c r="J208" s="467"/>
      <c r="K208" s="467"/>
    </row>
    <row r="209" spans="1:11" ht="12.75" customHeight="1" thickBot="1" x14ac:dyDescent="0.25">
      <c r="A209" s="1661" t="s">
        <v>888</v>
      </c>
      <c r="B209" s="1662"/>
      <c r="C209" s="1660">
        <f>SUM(C206:C208)</f>
        <v>12050</v>
      </c>
      <c r="D209" s="1660">
        <f>SUM(D206:D208)</f>
        <v>0</v>
      </c>
      <c r="E209" s="467" t="s">
        <v>1168</v>
      </c>
      <c r="F209" s="1660">
        <f>SUM(F206:F208)</f>
        <v>0</v>
      </c>
      <c r="G209" s="1660">
        <f>SUM(G206:G208)</f>
        <v>0</v>
      </c>
      <c r="H209" s="467"/>
      <c r="I209" s="467"/>
      <c r="J209" s="467"/>
      <c r="K209" s="467"/>
    </row>
    <row r="210" spans="1:11" ht="15.75" customHeight="1" thickTop="1" x14ac:dyDescent="0.2">
      <c r="A210" s="1553" t="s">
        <v>1091</v>
      </c>
      <c r="B210" s="1558"/>
      <c r="C210" s="541"/>
      <c r="D210" s="541"/>
      <c r="E210" s="467"/>
      <c r="F210" s="541"/>
      <c r="G210" s="541"/>
      <c r="H210" s="467"/>
      <c r="I210" s="467"/>
      <c r="J210" s="467"/>
      <c r="K210" s="467"/>
    </row>
    <row r="211" spans="1:11" ht="12.75" customHeight="1" x14ac:dyDescent="0.2">
      <c r="A211" s="463" t="s">
        <v>1051</v>
      </c>
      <c r="B211" s="469">
        <v>4600</v>
      </c>
      <c r="C211" s="1933">
        <v>7979</v>
      </c>
      <c r="D211" s="1924">
        <v>0</v>
      </c>
      <c r="E211" s="467"/>
      <c r="F211" s="1924">
        <v>0</v>
      </c>
      <c r="G211" s="1924">
        <v>0</v>
      </c>
      <c r="H211" s="467"/>
      <c r="I211" s="467"/>
      <c r="J211" s="467"/>
      <c r="K211" s="467"/>
    </row>
    <row r="212" spans="1:11" ht="12.75" customHeight="1" x14ac:dyDescent="0.2">
      <c r="A212" s="463" t="s">
        <v>1052</v>
      </c>
      <c r="B212" s="469">
        <v>4605</v>
      </c>
      <c r="C212" s="1933">
        <v>0</v>
      </c>
      <c r="D212" s="1924">
        <v>0</v>
      </c>
      <c r="E212" s="467"/>
      <c r="F212" s="1924">
        <v>0</v>
      </c>
      <c r="G212" s="1924">
        <v>0</v>
      </c>
      <c r="H212" s="467"/>
      <c r="I212" s="467"/>
      <c r="J212" s="467"/>
      <c r="K212" s="467"/>
    </row>
    <row r="213" spans="1:11" ht="12.75" customHeight="1" x14ac:dyDescent="0.2">
      <c r="A213" s="463" t="s">
        <v>1441</v>
      </c>
      <c r="B213" s="545">
        <v>4620</v>
      </c>
      <c r="C213" s="1933">
        <v>10685</v>
      </c>
      <c r="D213" s="1924">
        <v>0</v>
      </c>
      <c r="E213" s="467"/>
      <c r="F213" s="1924">
        <v>0</v>
      </c>
      <c r="G213" s="1924">
        <v>0</v>
      </c>
      <c r="H213" s="467"/>
      <c r="I213" s="467"/>
      <c r="J213" s="467"/>
      <c r="K213" s="467"/>
    </row>
    <row r="214" spans="1:11" ht="12.75" customHeight="1" x14ac:dyDescent="0.2">
      <c r="A214" s="463" t="s">
        <v>1053</v>
      </c>
      <c r="B214" s="469">
        <v>4625</v>
      </c>
      <c r="C214" s="1933">
        <v>130868</v>
      </c>
      <c r="D214" s="1924">
        <v>0</v>
      </c>
      <c r="E214" s="467"/>
      <c r="F214" s="1924">
        <v>0</v>
      </c>
      <c r="G214" s="1924">
        <v>0</v>
      </c>
      <c r="H214" s="467"/>
      <c r="I214" s="467"/>
      <c r="J214" s="467"/>
      <c r="K214" s="467"/>
    </row>
    <row r="215" spans="1:11" ht="12.75" customHeight="1" x14ac:dyDescent="0.2">
      <c r="A215" s="463" t="s">
        <v>1054</v>
      </c>
      <c r="B215" s="469">
        <v>4630</v>
      </c>
      <c r="C215" s="1933">
        <v>0</v>
      </c>
      <c r="D215" s="1924">
        <v>0</v>
      </c>
      <c r="E215" s="467"/>
      <c r="F215" s="1924">
        <v>0</v>
      </c>
      <c r="G215" s="1924">
        <v>0</v>
      </c>
      <c r="H215" s="467"/>
      <c r="I215" s="467"/>
      <c r="J215" s="467"/>
      <c r="K215" s="467"/>
    </row>
    <row r="216" spans="1:11" ht="12.75" customHeight="1" x14ac:dyDescent="0.2">
      <c r="A216" s="1454" t="s">
        <v>74</v>
      </c>
      <c r="B216" s="545">
        <v>4699</v>
      </c>
      <c r="C216" s="1933">
        <v>0</v>
      </c>
      <c r="D216" s="1924">
        <v>0</v>
      </c>
      <c r="E216" s="467"/>
      <c r="F216" s="1924">
        <v>0</v>
      </c>
      <c r="G216" s="1924">
        <v>0</v>
      </c>
      <c r="H216" s="467"/>
      <c r="I216" s="467"/>
      <c r="J216" s="467"/>
      <c r="K216" s="467"/>
    </row>
    <row r="217" spans="1:11" ht="12.75" customHeight="1" thickBot="1" x14ac:dyDescent="0.25">
      <c r="A217" s="1661" t="s">
        <v>446</v>
      </c>
      <c r="B217" s="1662"/>
      <c r="C217" s="1660">
        <f>SUM(C211:C216)</f>
        <v>149532</v>
      </c>
      <c r="D217" s="1660">
        <f>SUM(D211:D216)</f>
        <v>0</v>
      </c>
      <c r="E217" s="467"/>
      <c r="F217" s="1660">
        <f>SUM(F211:F216)</f>
        <v>0</v>
      </c>
      <c r="G217" s="1660">
        <f>SUM(G211:G216)</f>
        <v>0</v>
      </c>
      <c r="H217" s="467"/>
      <c r="I217" s="467"/>
      <c r="J217" s="467"/>
      <c r="K217" s="467"/>
    </row>
    <row r="218" spans="1:11" ht="15.75" customHeight="1" thickTop="1" x14ac:dyDescent="0.2">
      <c r="A218" s="1553" t="s">
        <v>1092</v>
      </c>
      <c r="B218" s="1558"/>
      <c r="C218" s="541"/>
      <c r="D218" s="541"/>
      <c r="E218" s="467"/>
      <c r="F218" s="541"/>
      <c r="G218" s="541"/>
      <c r="H218" s="467"/>
      <c r="I218" s="467"/>
      <c r="J218" s="467"/>
      <c r="K218" s="467"/>
    </row>
    <row r="219" spans="1:11" ht="12.75" customHeight="1" x14ac:dyDescent="0.2">
      <c r="A219" s="463" t="s">
        <v>786</v>
      </c>
      <c r="B219" s="469">
        <v>4770</v>
      </c>
      <c r="C219" s="1933">
        <v>0</v>
      </c>
      <c r="D219" s="1924">
        <v>0</v>
      </c>
      <c r="E219" s="467"/>
      <c r="F219" s="467"/>
      <c r="G219" s="1924">
        <v>0</v>
      </c>
      <c r="H219" s="467"/>
      <c r="I219" s="467"/>
      <c r="J219" s="467"/>
      <c r="K219" s="467"/>
    </row>
    <row r="220" spans="1:11" ht="12.75" customHeight="1" x14ac:dyDescent="0.2">
      <c r="A220" s="463" t="s">
        <v>67</v>
      </c>
      <c r="B220" s="469">
        <v>4799</v>
      </c>
      <c r="C220" s="1933">
        <v>0</v>
      </c>
      <c r="D220" s="1924">
        <v>0</v>
      </c>
      <c r="E220" s="467"/>
      <c r="F220" s="467"/>
      <c r="G220" s="1924">
        <v>0</v>
      </c>
      <c r="H220" s="467"/>
      <c r="I220" s="467"/>
      <c r="J220" s="467"/>
      <c r="K220" s="467"/>
    </row>
    <row r="221" spans="1:11" ht="12.75" customHeight="1" thickBot="1" x14ac:dyDescent="0.25">
      <c r="A221" s="1676" t="s">
        <v>1084</v>
      </c>
      <c r="B221" s="1677"/>
      <c r="C221" s="1660">
        <f>SUM(C219:C220)</f>
        <v>0</v>
      </c>
      <c r="D221" s="1660">
        <f>SUM(D219:D220)</f>
        <v>0</v>
      </c>
      <c r="E221" s="467"/>
      <c r="F221" s="467"/>
      <c r="G221" s="1660">
        <f>SUM(G219:G220)</f>
        <v>0</v>
      </c>
      <c r="H221" s="467"/>
      <c r="I221" s="467"/>
      <c r="J221" s="467"/>
      <c r="K221" s="467"/>
    </row>
    <row r="222" spans="1:11" ht="12.75" customHeight="1" thickTop="1" thickBot="1" x14ac:dyDescent="0.25">
      <c r="A222" s="486" t="s">
        <v>756</v>
      </c>
      <c r="B222" s="485">
        <v>4810</v>
      </c>
      <c r="C222" s="1935">
        <v>0</v>
      </c>
      <c r="D222" s="1936">
        <v>0</v>
      </c>
      <c r="E222" s="467"/>
      <c r="F222" s="467"/>
      <c r="G222" s="561">
        <v>0</v>
      </c>
      <c r="H222" s="467"/>
      <c r="I222" s="467"/>
      <c r="J222" s="467"/>
      <c r="K222" s="467"/>
    </row>
    <row r="223" spans="1:11" ht="12.75" customHeight="1" thickTop="1" x14ac:dyDescent="0.2">
      <c r="A223" s="486" t="s">
        <v>349</v>
      </c>
      <c r="B223" s="485">
        <v>4850</v>
      </c>
      <c r="C223" s="1928">
        <v>0</v>
      </c>
      <c r="D223" s="1925">
        <v>0</v>
      </c>
      <c r="E223" s="1925">
        <v>0</v>
      </c>
      <c r="F223" s="1925">
        <v>0</v>
      </c>
      <c r="G223" s="1925">
        <v>0</v>
      </c>
      <c r="H223" s="1925">
        <v>0</v>
      </c>
      <c r="I223" s="467"/>
      <c r="J223" s="1925">
        <v>0</v>
      </c>
      <c r="K223" s="1925"/>
    </row>
    <row r="224" spans="1:11" ht="12.75" customHeight="1" x14ac:dyDescent="0.2">
      <c r="A224" s="486" t="s">
        <v>350</v>
      </c>
      <c r="B224" s="485">
        <v>4851</v>
      </c>
      <c r="C224" s="1928">
        <v>0</v>
      </c>
      <c r="D224" s="1925">
        <v>0</v>
      </c>
      <c r="E224" s="467"/>
      <c r="F224" s="1926">
        <v>0</v>
      </c>
      <c r="G224" s="1925">
        <v>0</v>
      </c>
      <c r="H224" s="467"/>
      <c r="I224" s="467"/>
      <c r="J224" s="467"/>
      <c r="K224" s="467"/>
    </row>
    <row r="225" spans="1:11" ht="12.75" customHeight="1" x14ac:dyDescent="0.2">
      <c r="A225" s="486" t="s">
        <v>351</v>
      </c>
      <c r="B225" s="485">
        <v>4852</v>
      </c>
      <c r="C225" s="1928">
        <v>0</v>
      </c>
      <c r="D225" s="1925">
        <v>0</v>
      </c>
      <c r="E225" s="1925">
        <v>0</v>
      </c>
      <c r="F225" s="1925">
        <v>0</v>
      </c>
      <c r="G225" s="1925">
        <v>0</v>
      </c>
      <c r="H225" s="1925">
        <v>0</v>
      </c>
      <c r="I225" s="467"/>
      <c r="J225" s="1925">
        <v>0</v>
      </c>
      <c r="K225" s="1925"/>
    </row>
    <row r="226" spans="1:11" ht="12.75" customHeight="1" x14ac:dyDescent="0.2">
      <c r="A226" s="486" t="s">
        <v>352</v>
      </c>
      <c r="B226" s="485">
        <v>4853</v>
      </c>
      <c r="C226" s="1928">
        <v>0</v>
      </c>
      <c r="D226" s="1925">
        <v>0</v>
      </c>
      <c r="E226" s="1925">
        <v>0</v>
      </c>
      <c r="F226" s="1925">
        <v>0</v>
      </c>
      <c r="G226" s="1925">
        <v>0</v>
      </c>
      <c r="H226" s="1925">
        <v>0</v>
      </c>
      <c r="I226" s="467"/>
      <c r="J226" s="1925">
        <v>0</v>
      </c>
      <c r="K226" s="1925"/>
    </row>
    <row r="227" spans="1:11" ht="12.75" customHeight="1" x14ac:dyDescent="0.2">
      <c r="A227" s="486" t="s">
        <v>353</v>
      </c>
      <c r="B227" s="485">
        <v>4854</v>
      </c>
      <c r="C227" s="1928">
        <v>0</v>
      </c>
      <c r="D227" s="1925">
        <v>0</v>
      </c>
      <c r="E227" s="1925">
        <v>0</v>
      </c>
      <c r="F227" s="1925">
        <v>0</v>
      </c>
      <c r="G227" s="1925">
        <v>0</v>
      </c>
      <c r="H227" s="1925">
        <v>0</v>
      </c>
      <c r="I227" s="467"/>
      <c r="J227" s="1925">
        <v>0</v>
      </c>
      <c r="K227" s="1925"/>
    </row>
    <row r="228" spans="1:11" ht="12.75" customHeight="1" x14ac:dyDescent="0.2">
      <c r="A228" s="486" t="s">
        <v>463</v>
      </c>
      <c r="B228" s="485">
        <v>4855</v>
      </c>
      <c r="C228" s="1928">
        <v>0</v>
      </c>
      <c r="D228" s="1925">
        <v>0</v>
      </c>
      <c r="E228" s="1925">
        <v>0</v>
      </c>
      <c r="F228" s="1925">
        <v>0</v>
      </c>
      <c r="G228" s="1925">
        <v>0</v>
      </c>
      <c r="H228" s="1925">
        <v>0</v>
      </c>
      <c r="I228" s="467"/>
      <c r="J228" s="1925">
        <v>0</v>
      </c>
      <c r="K228" s="1925"/>
    </row>
    <row r="229" spans="1:11" ht="12.75" customHeight="1" x14ac:dyDescent="0.2">
      <c r="A229" s="486" t="s">
        <v>354</v>
      </c>
      <c r="B229" s="485">
        <v>4856</v>
      </c>
      <c r="C229" s="1928">
        <v>0</v>
      </c>
      <c r="D229" s="1925">
        <v>0</v>
      </c>
      <c r="E229" s="1925">
        <v>0</v>
      </c>
      <c r="F229" s="1925">
        <v>0</v>
      </c>
      <c r="G229" s="1925">
        <v>0</v>
      </c>
      <c r="H229" s="1925">
        <v>0</v>
      </c>
      <c r="I229" s="467"/>
      <c r="J229" s="1925">
        <v>0</v>
      </c>
      <c r="K229" s="1925"/>
    </row>
    <row r="230" spans="1:11" ht="12.75" customHeight="1" x14ac:dyDescent="0.2">
      <c r="A230" s="486" t="s">
        <v>355</v>
      </c>
      <c r="B230" s="485">
        <v>4857</v>
      </c>
      <c r="C230" s="1928">
        <v>0</v>
      </c>
      <c r="D230" s="1925">
        <v>0</v>
      </c>
      <c r="E230" s="1925">
        <v>0</v>
      </c>
      <c r="F230" s="1925">
        <v>0</v>
      </c>
      <c r="G230" s="1925">
        <v>0</v>
      </c>
      <c r="H230" s="1925">
        <v>0</v>
      </c>
      <c r="I230" s="467"/>
      <c r="J230" s="1925">
        <v>0</v>
      </c>
      <c r="K230" s="1925"/>
    </row>
    <row r="231" spans="1:11" ht="12.75" customHeight="1" x14ac:dyDescent="0.2">
      <c r="A231" s="486" t="s">
        <v>356</v>
      </c>
      <c r="B231" s="485">
        <v>4860</v>
      </c>
      <c r="C231" s="1928">
        <v>0</v>
      </c>
      <c r="D231" s="1925">
        <v>0</v>
      </c>
      <c r="E231" s="1925">
        <v>0</v>
      </c>
      <c r="F231" s="1925">
        <v>0</v>
      </c>
      <c r="G231" s="1925">
        <v>0</v>
      </c>
      <c r="H231" s="1925">
        <v>0</v>
      </c>
      <c r="I231" s="467"/>
      <c r="J231" s="1925">
        <v>0</v>
      </c>
      <c r="K231" s="1925"/>
    </row>
    <row r="232" spans="1:11" ht="12.75" customHeight="1" x14ac:dyDescent="0.2">
      <c r="A232" s="486" t="s">
        <v>357</v>
      </c>
      <c r="B232" s="485">
        <v>4861</v>
      </c>
      <c r="C232" s="1928">
        <v>0</v>
      </c>
      <c r="D232" s="1925">
        <v>0</v>
      </c>
      <c r="E232" s="1925">
        <v>0</v>
      </c>
      <c r="F232" s="1925">
        <v>0</v>
      </c>
      <c r="G232" s="1925">
        <v>0</v>
      </c>
      <c r="H232" s="1925">
        <v>0</v>
      </c>
      <c r="I232" s="467"/>
      <c r="J232" s="1925">
        <v>0</v>
      </c>
      <c r="K232" s="1925"/>
    </row>
    <row r="233" spans="1:11" ht="12.75" customHeight="1" x14ac:dyDescent="0.2">
      <c r="A233" s="486" t="s">
        <v>358</v>
      </c>
      <c r="B233" s="485">
        <v>4862</v>
      </c>
      <c r="C233" s="1928">
        <v>0</v>
      </c>
      <c r="D233" s="1925">
        <v>0</v>
      </c>
      <c r="E233" s="472"/>
      <c r="F233" s="1925">
        <v>0</v>
      </c>
      <c r="G233" s="1925">
        <v>0</v>
      </c>
      <c r="H233" s="472"/>
      <c r="I233" s="467"/>
      <c r="J233" s="472"/>
      <c r="K233" s="472"/>
    </row>
    <row r="234" spans="1:11" ht="12.75" customHeight="1" x14ac:dyDescent="0.2">
      <c r="A234" s="486" t="s">
        <v>359</v>
      </c>
      <c r="B234" s="485">
        <v>4863</v>
      </c>
      <c r="C234" s="1928">
        <v>0</v>
      </c>
      <c r="D234" s="1925">
        <v>0</v>
      </c>
      <c r="E234" s="467"/>
      <c r="F234" s="472"/>
      <c r="G234" s="519"/>
      <c r="H234" s="467"/>
      <c r="I234" s="467"/>
      <c r="J234" s="467"/>
      <c r="K234" s="467"/>
    </row>
    <row r="235" spans="1:11" ht="12.75" customHeight="1" x14ac:dyDescent="0.2">
      <c r="A235" s="486" t="s">
        <v>468</v>
      </c>
      <c r="B235" s="485">
        <v>4864</v>
      </c>
      <c r="C235" s="1928">
        <v>0</v>
      </c>
      <c r="D235" s="1925">
        <v>0</v>
      </c>
      <c r="E235" s="1925">
        <v>0</v>
      </c>
      <c r="F235" s="1925">
        <v>0</v>
      </c>
      <c r="G235" s="1925">
        <v>0</v>
      </c>
      <c r="H235" s="1925">
        <v>0</v>
      </c>
      <c r="I235" s="467"/>
      <c r="J235" s="1925">
        <v>0</v>
      </c>
      <c r="K235" s="1925"/>
    </row>
    <row r="236" spans="1:11" ht="12.75" customHeight="1" x14ac:dyDescent="0.2">
      <c r="A236" s="486" t="s">
        <v>469</v>
      </c>
      <c r="B236" s="485">
        <v>4865</v>
      </c>
      <c r="C236" s="1928">
        <v>0</v>
      </c>
      <c r="D236" s="1925">
        <v>0</v>
      </c>
      <c r="E236" s="1925">
        <v>0</v>
      </c>
      <c r="F236" s="1925">
        <v>0</v>
      </c>
      <c r="G236" s="1925">
        <v>0</v>
      </c>
      <c r="H236" s="1925">
        <v>0</v>
      </c>
      <c r="I236" s="467"/>
      <c r="J236" s="1925">
        <v>0</v>
      </c>
      <c r="K236" s="1925"/>
    </row>
    <row r="237" spans="1:11" ht="12.75" customHeight="1" x14ac:dyDescent="0.2">
      <c r="A237" s="486" t="s">
        <v>467</v>
      </c>
      <c r="B237" s="485">
        <v>4866</v>
      </c>
      <c r="C237" s="1928">
        <v>0</v>
      </c>
      <c r="D237" s="1925">
        <v>0</v>
      </c>
      <c r="E237" s="1925">
        <v>0</v>
      </c>
      <c r="F237" s="1925">
        <v>0</v>
      </c>
      <c r="G237" s="1925">
        <v>0</v>
      </c>
      <c r="H237" s="1925">
        <v>0</v>
      </c>
      <c r="I237" s="467"/>
      <c r="J237" s="1925">
        <v>0</v>
      </c>
      <c r="K237" s="1925"/>
    </row>
    <row r="238" spans="1:11" ht="12.75" customHeight="1" x14ac:dyDescent="0.2">
      <c r="A238" s="486" t="s">
        <v>466</v>
      </c>
      <c r="B238" s="485">
        <v>4867</v>
      </c>
      <c r="C238" s="1928">
        <v>0</v>
      </c>
      <c r="D238" s="1925">
        <v>0</v>
      </c>
      <c r="E238" s="1925">
        <v>0</v>
      </c>
      <c r="F238" s="1925">
        <v>0</v>
      </c>
      <c r="G238" s="1925">
        <v>0</v>
      </c>
      <c r="H238" s="1925">
        <v>0</v>
      </c>
      <c r="I238" s="467"/>
      <c r="J238" s="1925">
        <v>0</v>
      </c>
      <c r="K238" s="1925"/>
    </row>
    <row r="239" spans="1:11" ht="12.75" customHeight="1" x14ac:dyDescent="0.2">
      <c r="A239" s="486" t="s">
        <v>465</v>
      </c>
      <c r="B239" s="485">
        <v>4868</v>
      </c>
      <c r="C239" s="1928">
        <v>0</v>
      </c>
      <c r="D239" s="1925">
        <v>0</v>
      </c>
      <c r="E239" s="1925">
        <v>0</v>
      </c>
      <c r="F239" s="1925">
        <v>0</v>
      </c>
      <c r="G239" s="1925">
        <v>0</v>
      </c>
      <c r="H239" s="1925">
        <v>0</v>
      </c>
      <c r="I239" s="467"/>
      <c r="J239" s="1925">
        <v>0</v>
      </c>
      <c r="K239" s="1925"/>
    </row>
    <row r="240" spans="1:11" ht="12.75" customHeight="1" x14ac:dyDescent="0.2">
      <c r="A240" s="486" t="s">
        <v>464</v>
      </c>
      <c r="B240" s="485">
        <v>4869</v>
      </c>
      <c r="C240" s="1928">
        <v>0</v>
      </c>
      <c r="D240" s="1925">
        <v>0</v>
      </c>
      <c r="E240" s="1925">
        <v>0</v>
      </c>
      <c r="F240" s="1925">
        <v>0</v>
      </c>
      <c r="G240" s="1925">
        <v>0</v>
      </c>
      <c r="H240" s="1925">
        <v>0</v>
      </c>
      <c r="I240" s="467"/>
      <c r="J240" s="1925">
        <v>0</v>
      </c>
      <c r="K240" s="1925"/>
    </row>
    <row r="241" spans="1:11" ht="12.75" customHeight="1" x14ac:dyDescent="0.2">
      <c r="A241" s="486" t="s">
        <v>1127</v>
      </c>
      <c r="B241" s="485">
        <v>4870</v>
      </c>
      <c r="C241" s="1928">
        <v>0</v>
      </c>
      <c r="D241" s="1925">
        <v>0</v>
      </c>
      <c r="E241" s="1925">
        <v>0</v>
      </c>
      <c r="F241" s="1925">
        <v>0</v>
      </c>
      <c r="G241" s="1925">
        <v>0</v>
      </c>
      <c r="H241" s="1925">
        <v>0</v>
      </c>
      <c r="I241" s="467"/>
      <c r="J241" s="1925">
        <v>0</v>
      </c>
      <c r="K241" s="1925"/>
    </row>
    <row r="242" spans="1:11" ht="12.75" customHeight="1" x14ac:dyDescent="0.2">
      <c r="A242" s="486" t="s">
        <v>787</v>
      </c>
      <c r="B242" s="485">
        <v>4871</v>
      </c>
      <c r="C242" s="1928">
        <v>0</v>
      </c>
      <c r="D242" s="1925">
        <v>0</v>
      </c>
      <c r="E242" s="1925">
        <v>0</v>
      </c>
      <c r="F242" s="1925">
        <v>0</v>
      </c>
      <c r="G242" s="1925">
        <v>0</v>
      </c>
      <c r="H242" s="1925">
        <v>0</v>
      </c>
      <c r="I242" s="467"/>
      <c r="J242" s="1925">
        <v>0</v>
      </c>
      <c r="K242" s="1925"/>
    </row>
    <row r="243" spans="1:11" ht="12.75" customHeight="1" x14ac:dyDescent="0.2">
      <c r="A243" s="486" t="s">
        <v>788</v>
      </c>
      <c r="B243" s="485">
        <v>4872</v>
      </c>
      <c r="C243" s="1928">
        <v>0</v>
      </c>
      <c r="D243" s="1925">
        <v>0</v>
      </c>
      <c r="E243" s="1925">
        <v>0</v>
      </c>
      <c r="F243" s="1925">
        <v>0</v>
      </c>
      <c r="G243" s="1925">
        <v>0</v>
      </c>
      <c r="H243" s="1925">
        <v>0</v>
      </c>
      <c r="I243" s="467"/>
      <c r="J243" s="1925">
        <v>0</v>
      </c>
      <c r="K243" s="1925"/>
    </row>
    <row r="244" spans="1:11" ht="12.75" customHeight="1" x14ac:dyDescent="0.2">
      <c r="A244" s="486" t="s">
        <v>789</v>
      </c>
      <c r="B244" s="485">
        <v>4873</v>
      </c>
      <c r="C244" s="1928">
        <v>0</v>
      </c>
      <c r="D244" s="1925">
        <v>0</v>
      </c>
      <c r="E244" s="1925">
        <v>0</v>
      </c>
      <c r="F244" s="1925">
        <v>0</v>
      </c>
      <c r="G244" s="1925">
        <v>0</v>
      </c>
      <c r="H244" s="1925">
        <v>0</v>
      </c>
      <c r="I244" s="467"/>
      <c r="J244" s="1925">
        <v>0</v>
      </c>
      <c r="K244" s="1925"/>
    </row>
    <row r="245" spans="1:11" ht="12.75" customHeight="1" x14ac:dyDescent="0.2">
      <c r="A245" s="486" t="s">
        <v>790</v>
      </c>
      <c r="B245" s="485">
        <v>4874</v>
      </c>
      <c r="C245" s="1928">
        <v>0</v>
      </c>
      <c r="D245" s="1925">
        <v>0</v>
      </c>
      <c r="E245" s="1925">
        <v>0</v>
      </c>
      <c r="F245" s="1925">
        <v>0</v>
      </c>
      <c r="G245" s="1925">
        <v>0</v>
      </c>
      <c r="H245" s="1925">
        <v>0</v>
      </c>
      <c r="I245" s="467"/>
      <c r="J245" s="1925">
        <v>0</v>
      </c>
      <c r="K245" s="1925"/>
    </row>
    <row r="246" spans="1:11" ht="12.75" customHeight="1" x14ac:dyDescent="0.2">
      <c r="A246" s="486" t="s">
        <v>470</v>
      </c>
      <c r="B246" s="485">
        <v>4875</v>
      </c>
      <c r="C246" s="1928">
        <v>0</v>
      </c>
      <c r="D246" s="1925">
        <v>0</v>
      </c>
      <c r="E246" s="1925">
        <v>0</v>
      </c>
      <c r="F246" s="1925">
        <v>0</v>
      </c>
      <c r="G246" s="1925">
        <v>0</v>
      </c>
      <c r="H246" s="1925">
        <v>0</v>
      </c>
      <c r="I246" s="467"/>
      <c r="J246" s="1925">
        <v>0</v>
      </c>
      <c r="K246" s="1925"/>
    </row>
    <row r="247" spans="1:11" ht="12.75" customHeight="1" x14ac:dyDescent="0.2">
      <c r="A247" s="486" t="s">
        <v>769</v>
      </c>
      <c r="B247" s="485">
        <v>4876</v>
      </c>
      <c r="C247" s="1928">
        <v>0</v>
      </c>
      <c r="D247" s="1925">
        <v>0</v>
      </c>
      <c r="E247" s="1925">
        <v>0</v>
      </c>
      <c r="F247" s="1925">
        <v>0</v>
      </c>
      <c r="G247" s="1925">
        <v>0</v>
      </c>
      <c r="H247" s="1925">
        <v>0</v>
      </c>
      <c r="I247" s="467"/>
      <c r="J247" s="1925">
        <v>0</v>
      </c>
      <c r="K247" s="1925"/>
    </row>
    <row r="248" spans="1:11" ht="12.75" customHeight="1" x14ac:dyDescent="0.2">
      <c r="A248" s="486" t="s">
        <v>770</v>
      </c>
      <c r="B248" s="485">
        <v>4877</v>
      </c>
      <c r="C248" s="1928">
        <v>0</v>
      </c>
      <c r="D248" s="1925">
        <v>0</v>
      </c>
      <c r="E248" s="1925">
        <v>0</v>
      </c>
      <c r="F248" s="1925">
        <v>0</v>
      </c>
      <c r="G248" s="1925">
        <v>0</v>
      </c>
      <c r="H248" s="1925">
        <v>0</v>
      </c>
      <c r="I248" s="467"/>
      <c r="J248" s="1925">
        <v>0</v>
      </c>
      <c r="K248" s="1925"/>
    </row>
    <row r="249" spans="1:11" ht="12.75" customHeight="1" x14ac:dyDescent="0.2">
      <c r="A249" s="486" t="s">
        <v>771</v>
      </c>
      <c r="B249" s="485">
        <v>4878</v>
      </c>
      <c r="C249" s="1928">
        <v>0</v>
      </c>
      <c r="D249" s="1925">
        <v>0</v>
      </c>
      <c r="E249" s="1925">
        <v>0</v>
      </c>
      <c r="F249" s="1925">
        <v>0</v>
      </c>
      <c r="G249" s="1925">
        <v>0</v>
      </c>
      <c r="H249" s="1925">
        <v>0</v>
      </c>
      <c r="I249" s="467"/>
      <c r="J249" s="1925">
        <v>0</v>
      </c>
      <c r="K249" s="1925"/>
    </row>
    <row r="250" spans="1:11" ht="12.75" customHeight="1" x14ac:dyDescent="0.2">
      <c r="A250" s="486" t="s">
        <v>772</v>
      </c>
      <c r="B250" s="485">
        <v>4879</v>
      </c>
      <c r="C250" s="1928">
        <v>0</v>
      </c>
      <c r="D250" s="1925">
        <v>0</v>
      </c>
      <c r="E250" s="1925">
        <v>0</v>
      </c>
      <c r="F250" s="1925">
        <v>0</v>
      </c>
      <c r="G250" s="1925">
        <v>0</v>
      </c>
      <c r="H250" s="1925">
        <v>0</v>
      </c>
      <c r="I250" s="467"/>
      <c r="J250" s="1925">
        <v>0</v>
      </c>
      <c r="K250" s="1925"/>
    </row>
    <row r="251" spans="1:11" ht="12.75" customHeight="1" x14ac:dyDescent="0.2">
      <c r="A251" s="225" t="s">
        <v>1442</v>
      </c>
      <c r="B251" s="567">
        <v>4880</v>
      </c>
      <c r="C251" s="1928">
        <v>0</v>
      </c>
      <c r="D251" s="1925">
        <v>0</v>
      </c>
      <c r="E251" s="1925">
        <v>0</v>
      </c>
      <c r="F251" s="1925">
        <v>0</v>
      </c>
      <c r="G251" s="1925">
        <v>0</v>
      </c>
      <c r="H251" s="1925">
        <v>0</v>
      </c>
      <c r="I251" s="467"/>
      <c r="J251" s="1925">
        <v>0</v>
      </c>
      <c r="K251" s="1925"/>
    </row>
    <row r="252" spans="1:11" ht="12.75" customHeight="1" thickBot="1" x14ac:dyDescent="0.25">
      <c r="A252" s="1678" t="s">
        <v>773</v>
      </c>
      <c r="B252" s="1679"/>
      <c r="C252" s="1671">
        <f t="shared" ref="C252:H252" si="9">SUM(C223:C251)</f>
        <v>0</v>
      </c>
      <c r="D252" s="1660">
        <f t="shared" si="9"/>
        <v>0</v>
      </c>
      <c r="E252" s="1660">
        <f t="shared" si="9"/>
        <v>0</v>
      </c>
      <c r="F252" s="1660">
        <f t="shared" si="9"/>
        <v>0</v>
      </c>
      <c r="G252" s="1660">
        <f t="shared" si="9"/>
        <v>0</v>
      </c>
      <c r="H252" s="1660">
        <f t="shared" si="9"/>
        <v>0</v>
      </c>
      <c r="I252" s="541"/>
      <c r="J252" s="1660">
        <f>SUM(J223:J251)</f>
        <v>0</v>
      </c>
      <c r="K252" s="1641">
        <f>SUM(K223:K251)</f>
        <v>0</v>
      </c>
    </row>
    <row r="253" spans="1:11" ht="12.75" customHeight="1" thickTop="1" thickBot="1" x14ac:dyDescent="0.25">
      <c r="A253" s="1455" t="s">
        <v>1408</v>
      </c>
      <c r="B253" s="568">
        <v>4901</v>
      </c>
      <c r="C253" s="1944">
        <v>0</v>
      </c>
      <c r="D253" s="468"/>
      <c r="E253" s="467"/>
      <c r="F253" s="467"/>
      <c r="G253" s="467"/>
      <c r="H253" s="467"/>
      <c r="I253" s="467"/>
      <c r="J253" s="467"/>
      <c r="K253" s="467"/>
    </row>
    <row r="254" spans="1:11" ht="12.75" customHeight="1" thickTop="1" thickBot="1" x14ac:dyDescent="0.25">
      <c r="A254" s="1456" t="s">
        <v>1450</v>
      </c>
      <c r="B254" s="569">
        <v>4902</v>
      </c>
      <c r="C254" s="1945">
        <v>0</v>
      </c>
      <c r="D254" s="1961">
        <v>0</v>
      </c>
      <c r="E254" s="468"/>
      <c r="F254" s="1961">
        <v>0</v>
      </c>
      <c r="G254" s="1961">
        <v>0</v>
      </c>
      <c r="H254" s="468"/>
      <c r="I254" s="467"/>
      <c r="J254" s="468"/>
      <c r="K254" s="468"/>
    </row>
    <row r="255" spans="1:11" ht="12.75" customHeight="1" thickTop="1" thickBot="1" x14ac:dyDescent="0.25">
      <c r="A255" s="463" t="s">
        <v>1443</v>
      </c>
      <c r="B255" s="469">
        <v>4905</v>
      </c>
      <c r="C255" s="1934">
        <v>27745</v>
      </c>
      <c r="D255" s="467"/>
      <c r="E255" s="467"/>
      <c r="F255" s="1960">
        <v>0</v>
      </c>
      <c r="G255" s="1957">
        <v>0</v>
      </c>
      <c r="H255" s="467"/>
      <c r="I255" s="467"/>
      <c r="J255" s="467"/>
      <c r="K255" s="467"/>
    </row>
    <row r="256" spans="1:11" ht="12.75" customHeight="1" thickTop="1" thickBot="1" x14ac:dyDescent="0.25">
      <c r="A256" s="463" t="s">
        <v>1444</v>
      </c>
      <c r="B256" s="469">
        <v>4909</v>
      </c>
      <c r="C256" s="1936">
        <v>62316</v>
      </c>
      <c r="D256" s="467"/>
      <c r="E256" s="467"/>
      <c r="F256" s="1959">
        <v>0</v>
      </c>
      <c r="G256" s="1959">
        <v>0</v>
      </c>
      <c r="H256" s="467"/>
      <c r="I256" s="467"/>
      <c r="J256" s="467"/>
      <c r="K256" s="467"/>
    </row>
    <row r="257" spans="1:11" ht="12.75" customHeight="1" thickTop="1" thickBot="1" x14ac:dyDescent="0.25">
      <c r="A257" s="463" t="s">
        <v>193</v>
      </c>
      <c r="B257" s="469">
        <v>4920</v>
      </c>
      <c r="C257" s="1936">
        <v>0</v>
      </c>
      <c r="D257" s="1960">
        <v>0</v>
      </c>
      <c r="E257" s="467"/>
      <c r="F257" s="1957">
        <v>0</v>
      </c>
      <c r="G257" s="1957">
        <v>0</v>
      </c>
      <c r="H257" s="467"/>
      <c r="I257" s="467"/>
      <c r="J257" s="467"/>
      <c r="K257" s="467"/>
    </row>
    <row r="258" spans="1:11" ht="12.75" customHeight="1" thickTop="1" thickBot="1" x14ac:dyDescent="0.25">
      <c r="A258" s="463" t="s">
        <v>420</v>
      </c>
      <c r="B258" s="469">
        <v>4930</v>
      </c>
      <c r="C258" s="1936">
        <v>0</v>
      </c>
      <c r="D258" s="1959">
        <v>0</v>
      </c>
      <c r="E258" s="467"/>
      <c r="F258" s="1959">
        <v>0</v>
      </c>
      <c r="G258" s="1959">
        <v>0</v>
      </c>
      <c r="H258" s="467"/>
      <c r="I258" s="467"/>
      <c r="J258" s="467"/>
      <c r="K258" s="467"/>
    </row>
    <row r="259" spans="1:11" ht="12.75" customHeight="1" thickTop="1" thickBot="1" x14ac:dyDescent="0.25">
      <c r="A259" s="463" t="s">
        <v>757</v>
      </c>
      <c r="B259" s="469">
        <v>4932</v>
      </c>
      <c r="C259" s="1936">
        <v>54280</v>
      </c>
      <c r="D259" s="1959">
        <v>0</v>
      </c>
      <c r="E259" s="467"/>
      <c r="F259" s="1959">
        <v>0</v>
      </c>
      <c r="G259" s="1959">
        <v>0</v>
      </c>
      <c r="H259" s="467"/>
      <c r="I259" s="467"/>
      <c r="J259" s="467"/>
      <c r="K259" s="467"/>
    </row>
    <row r="260" spans="1:11" ht="12.75" customHeight="1" thickTop="1" thickBot="1" x14ac:dyDescent="0.25">
      <c r="A260" s="463" t="s">
        <v>889</v>
      </c>
      <c r="B260" s="469">
        <v>4960</v>
      </c>
      <c r="C260" s="1935">
        <v>0</v>
      </c>
      <c r="D260" s="1959">
        <v>0</v>
      </c>
      <c r="E260" s="467"/>
      <c r="F260" s="1959">
        <v>0</v>
      </c>
      <c r="G260" s="1959">
        <v>0</v>
      </c>
      <c r="H260" s="467"/>
      <c r="I260" s="467"/>
      <c r="J260" s="467"/>
      <c r="K260" s="467"/>
    </row>
    <row r="261" spans="1:11" ht="12.75" customHeight="1" thickTop="1" thickBot="1" x14ac:dyDescent="0.25">
      <c r="A261" s="1883" t="s">
        <v>1911</v>
      </c>
      <c r="B261" s="469">
        <v>4981</v>
      </c>
      <c r="C261" s="1965">
        <v>0</v>
      </c>
      <c r="D261" s="1966">
        <v>0</v>
      </c>
      <c r="E261" s="467"/>
      <c r="F261" s="1966">
        <v>0</v>
      </c>
      <c r="G261" s="1966">
        <v>0</v>
      </c>
      <c r="H261" s="467"/>
      <c r="I261" s="467"/>
      <c r="J261" s="467"/>
      <c r="K261" s="467"/>
    </row>
    <row r="262" spans="1:11" ht="12.75" customHeight="1" thickTop="1" thickBot="1" x14ac:dyDescent="0.25">
      <c r="A262" s="1884" t="s">
        <v>1912</v>
      </c>
      <c r="B262" s="469">
        <v>4982</v>
      </c>
      <c r="C262" s="1965">
        <v>0</v>
      </c>
      <c r="D262" s="1966">
        <v>0</v>
      </c>
      <c r="E262" s="467"/>
      <c r="F262" s="1966">
        <v>0</v>
      </c>
      <c r="G262" s="1966">
        <v>0</v>
      </c>
      <c r="H262" s="467"/>
      <c r="I262" s="467"/>
      <c r="J262" s="467"/>
      <c r="K262" s="467"/>
    </row>
    <row r="263" spans="1:11" ht="12.75" customHeight="1" thickTop="1" thickBot="1" x14ac:dyDescent="0.25">
      <c r="A263" s="463" t="s">
        <v>567</v>
      </c>
      <c r="B263" s="469">
        <v>4991</v>
      </c>
      <c r="C263" s="1958">
        <v>92968</v>
      </c>
      <c r="D263" s="1959">
        <v>0</v>
      </c>
      <c r="E263" s="467"/>
      <c r="F263" s="1959">
        <v>0</v>
      </c>
      <c r="G263" s="1959">
        <v>0</v>
      </c>
      <c r="H263" s="467"/>
      <c r="I263" s="467"/>
      <c r="J263" s="467"/>
      <c r="K263" s="467"/>
    </row>
    <row r="264" spans="1:11" ht="12.75" customHeight="1" thickTop="1" thickBot="1" x14ac:dyDescent="0.25">
      <c r="A264" s="463" t="s">
        <v>376</v>
      </c>
      <c r="B264" s="469">
        <v>4992</v>
      </c>
      <c r="C264" s="1958">
        <v>140130</v>
      </c>
      <c r="D264" s="1959">
        <v>0</v>
      </c>
      <c r="E264" s="467"/>
      <c r="F264" s="1959">
        <v>0</v>
      </c>
      <c r="G264" s="1959">
        <v>0</v>
      </c>
      <c r="H264" s="467"/>
      <c r="I264" s="467"/>
      <c r="J264" s="467"/>
      <c r="K264" s="467"/>
    </row>
    <row r="265" spans="1:11" s="570" customFormat="1" ht="12.75" customHeight="1" thickTop="1" thickBot="1" x14ac:dyDescent="0.25">
      <c r="A265" s="551" t="s">
        <v>75</v>
      </c>
      <c r="B265" s="545">
        <v>4999</v>
      </c>
      <c r="C265" s="1958">
        <v>0</v>
      </c>
      <c r="D265" s="1959">
        <v>0</v>
      </c>
      <c r="E265" s="467"/>
      <c r="F265" s="1959">
        <v>0</v>
      </c>
      <c r="G265" s="1959">
        <v>0</v>
      </c>
      <c r="H265" s="1953">
        <v>0</v>
      </c>
      <c r="I265" s="467"/>
      <c r="J265" s="467"/>
      <c r="K265" s="1953"/>
    </row>
    <row r="266" spans="1:11" ht="14.25" thickTop="1" thickBot="1" x14ac:dyDescent="0.25">
      <c r="A266" s="1661" t="s">
        <v>1653</v>
      </c>
      <c r="B266" s="1680"/>
      <c r="C266" s="1668">
        <f t="shared" ref="C266:H266" si="10">SUM(C188,C198,C204,C209,C217,C221,C222,C252:C265)</f>
        <v>1372862</v>
      </c>
      <c r="D266" s="1668">
        <f t="shared" si="10"/>
        <v>0</v>
      </c>
      <c r="E266" s="1668">
        <f t="shared" si="10"/>
        <v>0</v>
      </c>
      <c r="F266" s="1668">
        <f t="shared" si="10"/>
        <v>0</v>
      </c>
      <c r="G266" s="1668">
        <f t="shared" si="10"/>
        <v>0</v>
      </c>
      <c r="H266" s="1668">
        <f t="shared" si="10"/>
        <v>0</v>
      </c>
      <c r="I266" s="467"/>
      <c r="J266" s="1668">
        <f>SUM(J188,J198,J204,J209,J217,J221,J222,J252:J265)</f>
        <v>0</v>
      </c>
      <c r="K266" s="1655">
        <f>SUM(K188,K198,K204,K209,K217,K221,K222,K252:K265)</f>
        <v>0</v>
      </c>
    </row>
    <row r="267" spans="1:11" ht="14.25" thickTop="1" thickBot="1" x14ac:dyDescent="0.25">
      <c r="A267" s="1681" t="s">
        <v>1085</v>
      </c>
      <c r="B267" s="1682" t="s">
        <v>859</v>
      </c>
      <c r="C267" s="1668">
        <f>SUM(C175,C181,C266)</f>
        <v>1372862</v>
      </c>
      <c r="D267" s="1668">
        <f>SUM(D175,D181,D266)</f>
        <v>0</v>
      </c>
      <c r="E267" s="1668">
        <f>SUM(E175,E266)</f>
        <v>0</v>
      </c>
      <c r="F267" s="1668">
        <f t="shared" ref="F267:K267" si="11">SUM(F175,F181,F266)</f>
        <v>0</v>
      </c>
      <c r="G267" s="1668">
        <f t="shared" si="11"/>
        <v>0</v>
      </c>
      <c r="H267" s="1668">
        <f t="shared" si="11"/>
        <v>0</v>
      </c>
      <c r="I267" s="1668">
        <f t="shared" si="11"/>
        <v>0</v>
      </c>
      <c r="J267" s="1668">
        <f t="shared" si="11"/>
        <v>0</v>
      </c>
      <c r="K267" s="1655">
        <f t="shared" si="11"/>
        <v>0</v>
      </c>
    </row>
    <row r="268" spans="1:11" ht="14.25" thickTop="1" thickBot="1" x14ac:dyDescent="0.25">
      <c r="A268" s="1683" t="s">
        <v>251</v>
      </c>
      <c r="B268" s="1684"/>
      <c r="C268" s="1668">
        <f t="shared" ref="C268:K268" si="12">SUM(C109,C114,C170,C267)</f>
        <v>42611827</v>
      </c>
      <c r="D268" s="1668">
        <f t="shared" si="12"/>
        <v>4225862</v>
      </c>
      <c r="E268" s="1668">
        <f t="shared" si="12"/>
        <v>7627299</v>
      </c>
      <c r="F268" s="1668">
        <f t="shared" si="12"/>
        <v>3755847</v>
      </c>
      <c r="G268" s="1668">
        <f t="shared" si="12"/>
        <v>558413</v>
      </c>
      <c r="H268" s="1668">
        <f t="shared" si="12"/>
        <v>2516</v>
      </c>
      <c r="I268" s="1668">
        <f t="shared" si="12"/>
        <v>387825</v>
      </c>
      <c r="J268" s="1668">
        <f t="shared" si="12"/>
        <v>247682</v>
      </c>
      <c r="K268" s="1655">
        <f t="shared" si="12"/>
        <v>0</v>
      </c>
    </row>
    <row r="269" spans="1:11" ht="13.5" thickTop="1" x14ac:dyDescent="0.2">
      <c r="C269" s="573"/>
      <c r="D269" s="573"/>
      <c r="E269" s="573"/>
      <c r="F269" s="573"/>
      <c r="G269" s="573"/>
      <c r="H269" s="573"/>
      <c r="I269" s="573"/>
      <c r="J269" s="573"/>
      <c r="K269" s="573"/>
    </row>
    <row r="270" spans="1:11" x14ac:dyDescent="0.2">
      <c r="C270" s="573"/>
      <c r="D270" s="573"/>
      <c r="E270" s="573"/>
      <c r="F270" s="573"/>
      <c r="G270" s="573"/>
      <c r="H270" s="573"/>
      <c r="I270" s="573"/>
      <c r="J270" s="573"/>
      <c r="K270" s="573"/>
    </row>
    <row r="271" spans="1:11" x14ac:dyDescent="0.2">
      <c r="C271" s="573"/>
      <c r="D271" s="573"/>
      <c r="E271" s="573"/>
      <c r="F271" s="573"/>
      <c r="G271" s="573"/>
      <c r="H271" s="573"/>
      <c r="I271" s="573"/>
      <c r="J271" s="573"/>
      <c r="K271" s="573"/>
    </row>
    <row r="272" spans="1:11" x14ac:dyDescent="0.2">
      <c r="C272" s="573"/>
      <c r="D272" s="573"/>
      <c r="E272" s="573"/>
      <c r="F272" s="573"/>
      <c r="G272" s="573"/>
      <c r="H272" s="573"/>
      <c r="I272" s="573"/>
      <c r="J272" s="573"/>
      <c r="K272" s="573"/>
    </row>
    <row r="273" spans="1:11" x14ac:dyDescent="0.2">
      <c r="C273" s="573"/>
      <c r="D273" s="573"/>
      <c r="E273" s="573"/>
      <c r="F273" s="573"/>
      <c r="G273" s="573"/>
      <c r="H273" s="573"/>
      <c r="I273" s="573"/>
      <c r="J273" s="573"/>
      <c r="K273" s="573"/>
    </row>
    <row r="274" spans="1:11" x14ac:dyDescent="0.2">
      <c r="C274" s="573"/>
      <c r="D274" s="573"/>
      <c r="E274" s="573"/>
      <c r="F274" s="573"/>
      <c r="G274" s="573"/>
      <c r="H274" s="573"/>
      <c r="I274" s="573"/>
      <c r="J274" s="573"/>
      <c r="K274" s="573"/>
    </row>
    <row r="275" spans="1:11" s="329" customFormat="1" x14ac:dyDescent="0.2">
      <c r="A275" s="571"/>
      <c r="B275" s="572"/>
      <c r="C275" s="573"/>
      <c r="D275" s="573"/>
      <c r="E275" s="573"/>
      <c r="F275" s="573"/>
      <c r="G275" s="573"/>
      <c r="H275" s="573"/>
      <c r="I275" s="573"/>
      <c r="J275" s="573"/>
      <c r="K275" s="573"/>
    </row>
    <row r="276" spans="1:11" s="329" customFormat="1" x14ac:dyDescent="0.2">
      <c r="A276" s="571"/>
    </row>
    <row r="277" spans="1:11" s="329" customFormat="1" x14ac:dyDescent="0.2">
      <c r="A277" s="574"/>
    </row>
    <row r="278" spans="1:11" s="329" customFormat="1" x14ac:dyDescent="0.2">
      <c r="A278" s="574"/>
    </row>
    <row r="279" spans="1:11" s="329" customFormat="1" x14ac:dyDescent="0.2">
      <c r="A279" s="574"/>
    </row>
  </sheetData>
  <sheetProtection password="F60E" sheet="1" objects="1" scenarios="1"/>
  <mergeCells count="7">
    <mergeCell ref="A1:A2"/>
    <mergeCell ref="A169:B169"/>
    <mergeCell ref="A172:B172"/>
    <mergeCell ref="A182:B182"/>
    <mergeCell ref="A175:B175"/>
    <mergeCell ref="A181:B181"/>
    <mergeCell ref="A176:B176"/>
  </mergeCells>
  <phoneticPr fontId="19"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Normal="100" workbookViewId="0">
      <pane ySplit="2" topLeftCell="A225" activePane="bottomLeft" state="frozen"/>
      <selection activeCell="AF22" sqref="AF22"/>
      <selection pane="bottomLeft" activeCell="A3" sqref="A3:B3"/>
    </sheetView>
  </sheetViews>
  <sheetFormatPr defaultColWidth="9.140625" defaultRowHeight="12.75" x14ac:dyDescent="0.2"/>
  <cols>
    <col min="1" max="1" width="48.5703125" style="682" customWidth="1"/>
    <col min="2" max="2" width="5" style="683" customWidth="1"/>
    <col min="3" max="8" width="13.28515625" style="586" customWidth="1"/>
    <col min="9" max="10" width="13.28515625" style="343" customWidth="1"/>
    <col min="11" max="11" width="13.28515625" style="684" customWidth="1"/>
    <col min="12" max="12" width="11.85546875" style="343" customWidth="1"/>
    <col min="13" max="13" width="1.5703125" style="210" customWidth="1"/>
    <col min="14" max="14" width="9.140625" style="210"/>
    <col min="15" max="16384" width="9.140625" style="329"/>
  </cols>
  <sheetData>
    <row r="1" spans="1:14" x14ac:dyDescent="0.2">
      <c r="A1" s="2241" t="s">
        <v>1776</v>
      </c>
      <c r="B1" s="579"/>
      <c r="C1" s="580" t="s">
        <v>774</v>
      </c>
      <c r="D1" s="580" t="s">
        <v>1077</v>
      </c>
      <c r="E1" s="580" t="s">
        <v>1078</v>
      </c>
      <c r="F1" s="580" t="s">
        <v>1079</v>
      </c>
      <c r="G1" s="580" t="s">
        <v>1080</v>
      </c>
      <c r="H1" s="580" t="s">
        <v>1081</v>
      </c>
      <c r="I1" s="580" t="s">
        <v>1082</v>
      </c>
      <c r="J1" s="580" t="s">
        <v>1083</v>
      </c>
      <c r="K1" s="580" t="s">
        <v>252</v>
      </c>
      <c r="L1" s="581"/>
    </row>
    <row r="2" spans="1:14" s="585" customFormat="1" ht="28.5" customHeight="1" x14ac:dyDescent="0.2">
      <c r="A2" s="2273"/>
      <c r="B2" s="582" t="s">
        <v>45</v>
      </c>
      <c r="C2" s="583" t="s">
        <v>194</v>
      </c>
      <c r="D2" s="584" t="s">
        <v>49</v>
      </c>
      <c r="E2" s="584" t="s">
        <v>1099</v>
      </c>
      <c r="F2" s="584" t="s">
        <v>1093</v>
      </c>
      <c r="G2" s="583" t="s">
        <v>1094</v>
      </c>
      <c r="H2" s="583" t="s">
        <v>1095</v>
      </c>
      <c r="I2" s="584" t="s">
        <v>290</v>
      </c>
      <c r="J2" s="584" t="s">
        <v>291</v>
      </c>
      <c r="K2" s="583" t="s">
        <v>156</v>
      </c>
      <c r="L2" s="583" t="s">
        <v>30</v>
      </c>
      <c r="M2" s="257"/>
      <c r="N2" s="257"/>
    </row>
    <row r="3" spans="1:14" s="343" customFormat="1" ht="16.7" customHeight="1" x14ac:dyDescent="0.2">
      <c r="A3" s="2279" t="s">
        <v>296</v>
      </c>
      <c r="B3" s="2280"/>
      <c r="C3" s="1501"/>
      <c r="D3" s="1501"/>
      <c r="E3" s="1501"/>
      <c r="F3" s="1501"/>
      <c r="G3" s="1501"/>
      <c r="H3" s="1501"/>
      <c r="I3" s="1501"/>
      <c r="J3" s="1501"/>
      <c r="K3" s="1502"/>
      <c r="L3" s="1503"/>
      <c r="M3" s="586"/>
      <c r="N3" s="586"/>
    </row>
    <row r="4" spans="1:14" s="259" customFormat="1" ht="15.75" customHeight="1" x14ac:dyDescent="0.2">
      <c r="A4" s="1559" t="s">
        <v>44</v>
      </c>
      <c r="B4" s="1560" t="s">
        <v>569</v>
      </c>
      <c r="C4" s="587"/>
      <c r="D4" s="587"/>
      <c r="E4" s="587"/>
      <c r="F4" s="587"/>
      <c r="G4" s="587"/>
      <c r="H4" s="587"/>
      <c r="I4" s="588"/>
      <c r="J4" s="587"/>
      <c r="K4" s="589"/>
      <c r="L4" s="587"/>
      <c r="M4" s="590"/>
      <c r="N4" s="590"/>
    </row>
    <row r="5" spans="1:14" x14ac:dyDescent="0.2">
      <c r="A5" s="1457" t="s">
        <v>960</v>
      </c>
      <c r="B5" s="591">
        <v>1100</v>
      </c>
      <c r="C5" s="1946">
        <v>15805446</v>
      </c>
      <c r="D5" s="1946">
        <v>2543797</v>
      </c>
      <c r="E5" s="1946">
        <v>98124</v>
      </c>
      <c r="F5" s="1946">
        <v>740401</v>
      </c>
      <c r="G5" s="1946">
        <v>0</v>
      </c>
      <c r="H5" s="1946">
        <v>0</v>
      </c>
      <c r="I5" s="1947">
        <v>3653</v>
      </c>
      <c r="J5" s="1947">
        <v>0</v>
      </c>
      <c r="K5" s="1624">
        <f>SUM(C5:J5)</f>
        <v>19191421</v>
      </c>
      <c r="L5" s="1968">
        <v>20709592</v>
      </c>
    </row>
    <row r="6" spans="1:14" x14ac:dyDescent="0.2">
      <c r="A6" s="1457" t="s">
        <v>1420</v>
      </c>
      <c r="B6" s="591" t="s">
        <v>1418</v>
      </c>
      <c r="C6" s="473"/>
      <c r="D6" s="473"/>
      <c r="E6" s="1946">
        <v>0</v>
      </c>
      <c r="F6" s="473"/>
      <c r="G6" s="473"/>
      <c r="H6" s="473"/>
      <c r="I6" s="473"/>
      <c r="J6" s="473"/>
      <c r="K6" s="1624">
        <f>SUM(C6,E6)</f>
        <v>0</v>
      </c>
      <c r="L6" s="1968">
        <v>0</v>
      </c>
    </row>
    <row r="7" spans="1:14" x14ac:dyDescent="0.2">
      <c r="A7" s="1457" t="s">
        <v>163</v>
      </c>
      <c r="B7" s="591" t="s">
        <v>966</v>
      </c>
      <c r="C7" s="1947">
        <v>370588</v>
      </c>
      <c r="D7" s="1947">
        <v>108410</v>
      </c>
      <c r="E7" s="1947">
        <v>16607</v>
      </c>
      <c r="F7" s="1947">
        <v>33692</v>
      </c>
      <c r="G7" s="1947">
        <v>0</v>
      </c>
      <c r="H7" s="1947">
        <v>0</v>
      </c>
      <c r="I7" s="1947">
        <v>0</v>
      </c>
      <c r="J7" s="1947">
        <v>0</v>
      </c>
      <c r="K7" s="1624">
        <f t="shared" ref="K7:K32" si="0">SUM(C7:J7)</f>
        <v>529297</v>
      </c>
      <c r="L7" s="1968">
        <v>516317</v>
      </c>
    </row>
    <row r="8" spans="1:14" x14ac:dyDescent="0.2">
      <c r="A8" s="1457" t="s">
        <v>164</v>
      </c>
      <c r="B8" s="591">
        <v>1200</v>
      </c>
      <c r="C8" s="1946">
        <v>3384862</v>
      </c>
      <c r="D8" s="1946">
        <v>835058</v>
      </c>
      <c r="E8" s="1946">
        <v>103269</v>
      </c>
      <c r="F8" s="1946">
        <v>19099</v>
      </c>
      <c r="G8" s="1946">
        <v>0</v>
      </c>
      <c r="H8" s="1946">
        <v>1330</v>
      </c>
      <c r="I8" s="1947">
        <v>1232</v>
      </c>
      <c r="J8" s="1947">
        <v>0</v>
      </c>
      <c r="K8" s="1624">
        <f t="shared" si="0"/>
        <v>4344850</v>
      </c>
      <c r="L8" s="1968">
        <v>5900411</v>
      </c>
    </row>
    <row r="9" spans="1:14" x14ac:dyDescent="0.2">
      <c r="A9" s="1457" t="s">
        <v>720</v>
      </c>
      <c r="B9" s="591" t="s">
        <v>967</v>
      </c>
      <c r="C9" s="1947">
        <v>233763</v>
      </c>
      <c r="D9" s="1947">
        <v>51878</v>
      </c>
      <c r="E9" s="1947">
        <v>0</v>
      </c>
      <c r="F9" s="1947">
        <v>1574</v>
      </c>
      <c r="G9" s="1969">
        <v>0</v>
      </c>
      <c r="H9" s="1947">
        <v>0</v>
      </c>
      <c r="I9" s="1947">
        <v>0</v>
      </c>
      <c r="J9" s="1947">
        <v>0</v>
      </c>
      <c r="K9" s="1624">
        <f t="shared" si="0"/>
        <v>287215</v>
      </c>
      <c r="L9" s="1968">
        <v>358066</v>
      </c>
    </row>
    <row r="10" spans="1:14" x14ac:dyDescent="0.2">
      <c r="A10" s="1457" t="s">
        <v>721</v>
      </c>
      <c r="B10" s="591">
        <v>1250</v>
      </c>
      <c r="C10" s="1946">
        <v>380694</v>
      </c>
      <c r="D10" s="1946">
        <v>65069</v>
      </c>
      <c r="E10" s="1946">
        <v>0</v>
      </c>
      <c r="F10" s="1946">
        <v>626</v>
      </c>
      <c r="G10" s="1946">
        <v>0</v>
      </c>
      <c r="H10" s="1946">
        <v>0</v>
      </c>
      <c r="I10" s="1947">
        <v>0</v>
      </c>
      <c r="J10" s="1947">
        <v>0</v>
      </c>
      <c r="K10" s="1624">
        <f t="shared" si="0"/>
        <v>446389</v>
      </c>
      <c r="L10" s="1968">
        <v>401168</v>
      </c>
    </row>
    <row r="11" spans="1:14" x14ac:dyDescent="0.2">
      <c r="A11" s="1457" t="s">
        <v>1129</v>
      </c>
      <c r="B11" s="591" t="s">
        <v>161</v>
      </c>
      <c r="C11" s="1947">
        <v>0</v>
      </c>
      <c r="D11" s="1947">
        <v>0</v>
      </c>
      <c r="E11" s="1947">
        <v>0</v>
      </c>
      <c r="F11" s="1947">
        <v>0</v>
      </c>
      <c r="G11" s="1947">
        <v>0</v>
      </c>
      <c r="H11" s="1947">
        <v>0</v>
      </c>
      <c r="I11" s="1947">
        <v>0</v>
      </c>
      <c r="J11" s="1947">
        <v>0</v>
      </c>
      <c r="K11" s="1624">
        <f t="shared" si="0"/>
        <v>0</v>
      </c>
      <c r="L11" s="1968">
        <v>0</v>
      </c>
    </row>
    <row r="12" spans="1:14" x14ac:dyDescent="0.2">
      <c r="A12" s="1457" t="s">
        <v>961</v>
      </c>
      <c r="B12" s="591">
        <v>1300</v>
      </c>
      <c r="C12" s="1946">
        <v>0</v>
      </c>
      <c r="D12" s="1946">
        <v>0</v>
      </c>
      <c r="E12" s="1946">
        <v>0</v>
      </c>
      <c r="F12" s="1946">
        <v>0</v>
      </c>
      <c r="G12" s="1946">
        <v>0</v>
      </c>
      <c r="H12" s="1946">
        <v>0</v>
      </c>
      <c r="I12" s="1947">
        <v>0</v>
      </c>
      <c r="J12" s="1947">
        <v>0</v>
      </c>
      <c r="K12" s="1624">
        <f t="shared" si="0"/>
        <v>0</v>
      </c>
      <c r="L12" s="1968">
        <v>0</v>
      </c>
    </row>
    <row r="13" spans="1:14" x14ac:dyDescent="0.2">
      <c r="A13" s="1457" t="s">
        <v>722</v>
      </c>
      <c r="B13" s="591">
        <v>1400</v>
      </c>
      <c r="C13" s="1946">
        <v>0</v>
      </c>
      <c r="D13" s="1946">
        <v>0</v>
      </c>
      <c r="E13" s="1946">
        <v>0</v>
      </c>
      <c r="F13" s="1946">
        <v>0</v>
      </c>
      <c r="G13" s="1946">
        <v>0</v>
      </c>
      <c r="H13" s="1946">
        <v>0</v>
      </c>
      <c r="I13" s="1947">
        <v>0</v>
      </c>
      <c r="J13" s="1947">
        <v>0</v>
      </c>
      <c r="K13" s="1624">
        <f t="shared" si="0"/>
        <v>0</v>
      </c>
      <c r="L13" s="1968">
        <v>0</v>
      </c>
    </row>
    <row r="14" spans="1:14" x14ac:dyDescent="0.2">
      <c r="A14" s="1457" t="s">
        <v>962</v>
      </c>
      <c r="B14" s="591">
        <v>1500</v>
      </c>
      <c r="C14" s="1946">
        <v>353725</v>
      </c>
      <c r="D14" s="1946">
        <v>5241</v>
      </c>
      <c r="E14" s="1946">
        <v>12660</v>
      </c>
      <c r="F14" s="1946">
        <v>12722</v>
      </c>
      <c r="G14" s="1946">
        <v>0</v>
      </c>
      <c r="H14" s="1946">
        <v>1576</v>
      </c>
      <c r="I14" s="1947">
        <v>0</v>
      </c>
      <c r="J14" s="1947">
        <v>0</v>
      </c>
      <c r="K14" s="1624">
        <f t="shared" si="0"/>
        <v>385924</v>
      </c>
      <c r="L14" s="1968">
        <v>381405</v>
      </c>
    </row>
    <row r="15" spans="1:14" x14ac:dyDescent="0.2">
      <c r="A15" s="1457" t="s">
        <v>963</v>
      </c>
      <c r="B15" s="591">
        <v>1600</v>
      </c>
      <c r="C15" s="1946">
        <v>251419</v>
      </c>
      <c r="D15" s="1946">
        <v>2796</v>
      </c>
      <c r="E15" s="1946">
        <v>0</v>
      </c>
      <c r="F15" s="1946">
        <v>8068</v>
      </c>
      <c r="G15" s="1946">
        <v>0</v>
      </c>
      <c r="H15" s="1946">
        <v>0</v>
      </c>
      <c r="I15" s="1947">
        <v>0</v>
      </c>
      <c r="J15" s="1947">
        <v>0</v>
      </c>
      <c r="K15" s="1624">
        <f t="shared" si="0"/>
        <v>262283</v>
      </c>
      <c r="L15" s="1968">
        <v>259986</v>
      </c>
    </row>
    <row r="16" spans="1:14" x14ac:dyDescent="0.2">
      <c r="A16" s="1457" t="s">
        <v>986</v>
      </c>
      <c r="B16" s="591" t="s">
        <v>423</v>
      </c>
      <c r="C16" s="1946">
        <v>0</v>
      </c>
      <c r="D16" s="1946">
        <v>0</v>
      </c>
      <c r="E16" s="1946">
        <v>0</v>
      </c>
      <c r="F16" s="1946">
        <v>1392</v>
      </c>
      <c r="G16" s="1946">
        <v>0</v>
      </c>
      <c r="H16" s="1946">
        <v>0</v>
      </c>
      <c r="I16" s="1947">
        <v>0</v>
      </c>
      <c r="J16" s="1947">
        <v>0</v>
      </c>
      <c r="K16" s="1624">
        <f t="shared" si="0"/>
        <v>1392</v>
      </c>
      <c r="L16" s="1968">
        <v>1550</v>
      </c>
    </row>
    <row r="17" spans="1:12" x14ac:dyDescent="0.2">
      <c r="A17" s="1457" t="s">
        <v>723</v>
      </c>
      <c r="B17" s="591" t="s">
        <v>162</v>
      </c>
      <c r="C17" s="1947">
        <v>0</v>
      </c>
      <c r="D17" s="1947">
        <v>0</v>
      </c>
      <c r="E17" s="1947">
        <v>0</v>
      </c>
      <c r="F17" s="1947">
        <v>0</v>
      </c>
      <c r="G17" s="1947">
        <v>0</v>
      </c>
      <c r="H17" s="1947">
        <v>0</v>
      </c>
      <c r="I17" s="1947">
        <v>0</v>
      </c>
      <c r="J17" s="1947">
        <v>0</v>
      </c>
      <c r="K17" s="1624">
        <f t="shared" si="0"/>
        <v>0</v>
      </c>
      <c r="L17" s="1968">
        <v>0</v>
      </c>
    </row>
    <row r="18" spans="1:12" x14ac:dyDescent="0.2">
      <c r="A18" s="1457" t="s">
        <v>1086</v>
      </c>
      <c r="B18" s="591">
        <v>1800</v>
      </c>
      <c r="C18" s="1946">
        <v>1582965</v>
      </c>
      <c r="D18" s="1946">
        <v>350147</v>
      </c>
      <c r="E18" s="1946">
        <v>64600</v>
      </c>
      <c r="F18" s="1946">
        <v>16056</v>
      </c>
      <c r="G18" s="1946">
        <v>0</v>
      </c>
      <c r="H18" s="1946">
        <v>0</v>
      </c>
      <c r="I18" s="1947">
        <v>11509</v>
      </c>
      <c r="J18" s="1947">
        <v>0</v>
      </c>
      <c r="K18" s="1624">
        <f t="shared" si="0"/>
        <v>2025277</v>
      </c>
      <c r="L18" s="1968">
        <v>2319347</v>
      </c>
    </row>
    <row r="19" spans="1:12" x14ac:dyDescent="0.2">
      <c r="A19" s="1457" t="s">
        <v>134</v>
      </c>
      <c r="B19" s="591">
        <v>1900</v>
      </c>
      <c r="C19" s="1946">
        <v>0</v>
      </c>
      <c r="D19" s="1946">
        <v>0</v>
      </c>
      <c r="E19" s="1946">
        <v>0</v>
      </c>
      <c r="F19" s="1946">
        <v>0</v>
      </c>
      <c r="G19" s="1946">
        <v>0</v>
      </c>
      <c r="H19" s="1946">
        <v>0</v>
      </c>
      <c r="I19" s="1947">
        <v>0</v>
      </c>
      <c r="J19" s="1947">
        <v>0</v>
      </c>
      <c r="K19" s="1624">
        <f t="shared" si="0"/>
        <v>0</v>
      </c>
      <c r="L19" s="1968">
        <v>0</v>
      </c>
    </row>
    <row r="20" spans="1:12" x14ac:dyDescent="0.2">
      <c r="A20" s="1458" t="s">
        <v>737</v>
      </c>
      <c r="B20" s="579" t="s">
        <v>724</v>
      </c>
      <c r="C20" s="473"/>
      <c r="D20" s="473"/>
      <c r="E20" s="473"/>
      <c r="F20" s="473"/>
      <c r="G20" s="473"/>
      <c r="H20" s="1949">
        <v>0</v>
      </c>
      <c r="I20" s="593"/>
      <c r="J20" s="472"/>
      <c r="K20" s="1624">
        <f t="shared" si="0"/>
        <v>0</v>
      </c>
      <c r="L20" s="1970">
        <v>0</v>
      </c>
    </row>
    <row r="21" spans="1:12" x14ac:dyDescent="0.2">
      <c r="A21" s="1458" t="s">
        <v>738</v>
      </c>
      <c r="B21" s="579" t="s">
        <v>725</v>
      </c>
      <c r="C21" s="473"/>
      <c r="D21" s="473"/>
      <c r="E21" s="473"/>
      <c r="F21" s="473"/>
      <c r="G21" s="473"/>
      <c r="H21" s="1949">
        <v>0</v>
      </c>
      <c r="I21" s="593"/>
      <c r="J21" s="473"/>
      <c r="K21" s="1624">
        <f t="shared" si="0"/>
        <v>0</v>
      </c>
      <c r="L21" s="1970">
        <v>0</v>
      </c>
    </row>
    <row r="22" spans="1:12" x14ac:dyDescent="0.2">
      <c r="A22" s="1458" t="s">
        <v>739</v>
      </c>
      <c r="B22" s="579" t="s">
        <v>726</v>
      </c>
      <c r="C22" s="473"/>
      <c r="D22" s="473"/>
      <c r="E22" s="473"/>
      <c r="F22" s="473"/>
      <c r="G22" s="473"/>
      <c r="H22" s="1949">
        <v>1073815</v>
      </c>
      <c r="I22" s="593"/>
      <c r="J22" s="473"/>
      <c r="K22" s="1624">
        <f t="shared" si="0"/>
        <v>1073815</v>
      </c>
      <c r="L22" s="1970">
        <v>1200000</v>
      </c>
    </row>
    <row r="23" spans="1:12" x14ac:dyDescent="0.2">
      <c r="A23" s="1458" t="s">
        <v>740</v>
      </c>
      <c r="B23" s="579" t="s">
        <v>727</v>
      </c>
      <c r="C23" s="473"/>
      <c r="D23" s="473"/>
      <c r="E23" s="473"/>
      <c r="F23" s="473"/>
      <c r="G23" s="473"/>
      <c r="H23" s="1949">
        <v>0</v>
      </c>
      <c r="I23" s="593"/>
      <c r="J23" s="473"/>
      <c r="K23" s="1624">
        <f t="shared" si="0"/>
        <v>0</v>
      </c>
      <c r="L23" s="1970">
        <v>0</v>
      </c>
    </row>
    <row r="24" spans="1:12" ht="12.75" customHeight="1" x14ac:dyDescent="0.2">
      <c r="A24" s="1458" t="s">
        <v>741</v>
      </c>
      <c r="B24" s="579" t="s">
        <v>728</v>
      </c>
      <c r="C24" s="473"/>
      <c r="D24" s="473"/>
      <c r="E24" s="473"/>
      <c r="F24" s="473"/>
      <c r="G24" s="473"/>
      <c r="H24" s="1949">
        <v>0</v>
      </c>
      <c r="I24" s="593"/>
      <c r="J24" s="473"/>
      <c r="K24" s="1624">
        <f t="shared" si="0"/>
        <v>0</v>
      </c>
      <c r="L24" s="1970">
        <v>0</v>
      </c>
    </row>
    <row r="25" spans="1:12" ht="12.75" customHeight="1" x14ac:dyDescent="0.2">
      <c r="A25" s="1458" t="s">
        <v>801</v>
      </c>
      <c r="B25" s="579" t="s">
        <v>729</v>
      </c>
      <c r="C25" s="473"/>
      <c r="D25" s="473"/>
      <c r="E25" s="473"/>
      <c r="F25" s="473"/>
      <c r="G25" s="473"/>
      <c r="H25" s="1949">
        <v>0</v>
      </c>
      <c r="I25" s="593"/>
      <c r="J25" s="473"/>
      <c r="K25" s="1624">
        <f t="shared" si="0"/>
        <v>0</v>
      </c>
      <c r="L25" s="1970">
        <v>0</v>
      </c>
    </row>
    <row r="26" spans="1:12" x14ac:dyDescent="0.2">
      <c r="A26" s="1458" t="s">
        <v>621</v>
      </c>
      <c r="B26" s="579" t="s">
        <v>730</v>
      </c>
      <c r="C26" s="473"/>
      <c r="D26" s="473"/>
      <c r="E26" s="473"/>
      <c r="F26" s="473"/>
      <c r="G26" s="473"/>
      <c r="H26" s="1949">
        <v>0</v>
      </c>
      <c r="I26" s="593"/>
      <c r="J26" s="473"/>
      <c r="K26" s="1624">
        <f t="shared" si="0"/>
        <v>0</v>
      </c>
      <c r="L26" s="1970">
        <v>0</v>
      </c>
    </row>
    <row r="27" spans="1:12" x14ac:dyDescent="0.2">
      <c r="A27" s="1458" t="s">
        <v>622</v>
      </c>
      <c r="B27" s="579" t="s">
        <v>731</v>
      </c>
      <c r="C27" s="473"/>
      <c r="D27" s="473"/>
      <c r="E27" s="473"/>
      <c r="F27" s="473"/>
      <c r="G27" s="473"/>
      <c r="H27" s="1949">
        <v>0</v>
      </c>
      <c r="I27" s="593"/>
      <c r="J27" s="473"/>
      <c r="K27" s="1624">
        <f t="shared" si="0"/>
        <v>0</v>
      </c>
      <c r="L27" s="1970">
        <v>0</v>
      </c>
    </row>
    <row r="28" spans="1:12" x14ac:dyDescent="0.2">
      <c r="A28" s="1458" t="s">
        <v>150</v>
      </c>
      <c r="B28" s="579" t="s">
        <v>732</v>
      </c>
      <c r="C28" s="473"/>
      <c r="D28" s="473"/>
      <c r="E28" s="473"/>
      <c r="F28" s="473"/>
      <c r="G28" s="473"/>
      <c r="H28" s="1949">
        <v>0</v>
      </c>
      <c r="I28" s="593"/>
      <c r="J28" s="473"/>
      <c r="K28" s="1624">
        <f t="shared" si="0"/>
        <v>0</v>
      </c>
      <c r="L28" s="1970">
        <v>0</v>
      </c>
    </row>
    <row r="29" spans="1:12" x14ac:dyDescent="0.2">
      <c r="A29" s="1458" t="s">
        <v>151</v>
      </c>
      <c r="B29" s="579" t="s">
        <v>733</v>
      </c>
      <c r="C29" s="473"/>
      <c r="D29" s="473"/>
      <c r="E29" s="473"/>
      <c r="F29" s="473"/>
      <c r="G29" s="473"/>
      <c r="H29" s="1949">
        <v>0</v>
      </c>
      <c r="I29" s="593"/>
      <c r="J29" s="473"/>
      <c r="K29" s="1624">
        <f t="shared" si="0"/>
        <v>0</v>
      </c>
      <c r="L29" s="1970">
        <v>0</v>
      </c>
    </row>
    <row r="30" spans="1:12" x14ac:dyDescent="0.2">
      <c r="A30" s="1458" t="s">
        <v>152</v>
      </c>
      <c r="B30" s="579" t="s">
        <v>734</v>
      </c>
      <c r="C30" s="473"/>
      <c r="D30" s="473"/>
      <c r="E30" s="473"/>
      <c r="F30" s="473"/>
      <c r="G30" s="473"/>
      <c r="H30" s="1949">
        <v>0</v>
      </c>
      <c r="I30" s="593"/>
      <c r="J30" s="473"/>
      <c r="K30" s="1624">
        <f t="shared" si="0"/>
        <v>0</v>
      </c>
      <c r="L30" s="1970">
        <v>0</v>
      </c>
    </row>
    <row r="31" spans="1:12" x14ac:dyDescent="0.2">
      <c r="A31" s="1458" t="s">
        <v>153</v>
      </c>
      <c r="B31" s="579" t="s">
        <v>735</v>
      </c>
      <c r="C31" s="473"/>
      <c r="D31" s="473"/>
      <c r="E31" s="473"/>
      <c r="F31" s="473"/>
      <c r="G31" s="473"/>
      <c r="H31" s="1949">
        <v>0</v>
      </c>
      <c r="I31" s="593"/>
      <c r="J31" s="473"/>
      <c r="K31" s="1624">
        <f t="shared" si="0"/>
        <v>0</v>
      </c>
      <c r="L31" s="1970">
        <v>0</v>
      </c>
    </row>
    <row r="32" spans="1:12" x14ac:dyDescent="0.2">
      <c r="A32" s="1459" t="s">
        <v>1128</v>
      </c>
      <c r="B32" s="591" t="s">
        <v>736</v>
      </c>
      <c r="C32" s="473"/>
      <c r="D32" s="473"/>
      <c r="E32" s="473"/>
      <c r="F32" s="473"/>
      <c r="G32" s="473"/>
      <c r="H32" s="1949">
        <v>0</v>
      </c>
      <c r="I32" s="593"/>
      <c r="J32" s="476"/>
      <c r="K32" s="1624">
        <f t="shared" si="0"/>
        <v>0</v>
      </c>
      <c r="L32" s="1970">
        <v>0</v>
      </c>
    </row>
    <row r="33" spans="1:14" ht="12.75" customHeight="1" thickBot="1" x14ac:dyDescent="0.25">
      <c r="A33" s="1621" t="s">
        <v>1655</v>
      </c>
      <c r="B33" s="1622" t="s">
        <v>569</v>
      </c>
      <c r="C33" s="1623">
        <f>SUM(C5:C32)</f>
        <v>22363462</v>
      </c>
      <c r="D33" s="1623">
        <f t="shared" ref="D33:L33" si="1">SUM(D5:D32)</f>
        <v>3962396</v>
      </c>
      <c r="E33" s="1623">
        <f t="shared" si="1"/>
        <v>295260</v>
      </c>
      <c r="F33" s="1623">
        <f t="shared" si="1"/>
        <v>833630</v>
      </c>
      <c r="G33" s="1623">
        <f t="shared" si="1"/>
        <v>0</v>
      </c>
      <c r="H33" s="1623">
        <f t="shared" si="1"/>
        <v>1076721</v>
      </c>
      <c r="I33" s="1623">
        <f t="shared" si="1"/>
        <v>16394</v>
      </c>
      <c r="J33" s="1623">
        <f t="shared" si="1"/>
        <v>0</v>
      </c>
      <c r="K33" s="1623">
        <f t="shared" si="1"/>
        <v>28547863</v>
      </c>
      <c r="L33" s="1623">
        <f t="shared" si="1"/>
        <v>32047842</v>
      </c>
    </row>
    <row r="34" spans="1:14" s="597" customFormat="1" ht="15.75" customHeight="1" thickTop="1" x14ac:dyDescent="0.2">
      <c r="A34" s="1561" t="s">
        <v>46</v>
      </c>
      <c r="B34" s="1562" t="s">
        <v>568</v>
      </c>
      <c r="C34" s="595"/>
      <c r="D34" s="595"/>
      <c r="E34" s="595"/>
      <c r="F34" s="595"/>
      <c r="G34" s="595"/>
      <c r="H34" s="595"/>
      <c r="I34" s="593"/>
      <c r="J34" s="593"/>
      <c r="K34" s="593"/>
      <c r="L34" s="593"/>
      <c r="M34" s="596"/>
      <c r="N34" s="596"/>
    </row>
    <row r="35" spans="1:14" s="597" customFormat="1" ht="15.75" customHeight="1" x14ac:dyDescent="0.2">
      <c r="A35" s="598" t="s">
        <v>590</v>
      </c>
      <c r="B35" s="599"/>
      <c r="C35" s="600"/>
      <c r="D35" s="600"/>
      <c r="E35" s="600"/>
      <c r="F35" s="600"/>
      <c r="G35" s="600"/>
      <c r="H35" s="600"/>
      <c r="I35" s="593"/>
      <c r="J35" s="593"/>
      <c r="K35" s="593"/>
      <c r="L35" s="593"/>
      <c r="M35" s="596"/>
      <c r="N35" s="596"/>
    </row>
    <row r="36" spans="1:14" x14ac:dyDescent="0.2">
      <c r="A36" s="1457" t="s">
        <v>1088</v>
      </c>
      <c r="B36" s="591">
        <v>2110</v>
      </c>
      <c r="C36" s="477">
        <v>943838</v>
      </c>
      <c r="D36" s="477">
        <v>137221</v>
      </c>
      <c r="E36" s="477">
        <v>9840</v>
      </c>
      <c r="F36" s="477">
        <v>4361</v>
      </c>
      <c r="G36" s="477">
        <v>0</v>
      </c>
      <c r="H36" s="477">
        <v>0</v>
      </c>
      <c r="I36" s="1947">
        <v>0</v>
      </c>
      <c r="J36" s="1947">
        <v>0</v>
      </c>
      <c r="K36" s="1624">
        <f t="shared" ref="K36:K41" si="2">SUM(C36:J36)</f>
        <v>1095260</v>
      </c>
      <c r="L36" s="1968">
        <v>1116302</v>
      </c>
    </row>
    <row r="37" spans="1:14" x14ac:dyDescent="0.2">
      <c r="A37" s="1457" t="s">
        <v>1089</v>
      </c>
      <c r="B37" s="591">
        <v>2120</v>
      </c>
      <c r="C37" s="1946">
        <v>0</v>
      </c>
      <c r="D37" s="1946">
        <v>0</v>
      </c>
      <c r="E37" s="1946">
        <v>135339</v>
      </c>
      <c r="F37" s="1946">
        <v>0</v>
      </c>
      <c r="G37" s="1946">
        <v>0</v>
      </c>
      <c r="H37" s="1946">
        <v>0</v>
      </c>
      <c r="I37" s="1947">
        <v>0</v>
      </c>
      <c r="J37" s="1947">
        <v>0</v>
      </c>
      <c r="K37" s="1624">
        <f t="shared" si="2"/>
        <v>135339</v>
      </c>
      <c r="L37" s="1968">
        <v>163620</v>
      </c>
    </row>
    <row r="38" spans="1:14" x14ac:dyDescent="0.2">
      <c r="A38" s="1457" t="s">
        <v>198</v>
      </c>
      <c r="B38" s="591">
        <v>2130</v>
      </c>
      <c r="C38" s="1946">
        <v>283386</v>
      </c>
      <c r="D38" s="1946">
        <v>46135</v>
      </c>
      <c r="E38" s="1946">
        <v>64859</v>
      </c>
      <c r="F38" s="1946">
        <v>15611</v>
      </c>
      <c r="G38" s="1946">
        <v>0</v>
      </c>
      <c r="H38" s="1946">
        <v>0</v>
      </c>
      <c r="I38" s="1947">
        <v>0</v>
      </c>
      <c r="J38" s="1947">
        <v>0</v>
      </c>
      <c r="K38" s="1624">
        <f t="shared" si="2"/>
        <v>409991</v>
      </c>
      <c r="L38" s="1968">
        <v>465318</v>
      </c>
    </row>
    <row r="39" spans="1:14" x14ac:dyDescent="0.2">
      <c r="A39" s="1457" t="s">
        <v>199</v>
      </c>
      <c r="B39" s="591">
        <v>2140</v>
      </c>
      <c r="C39" s="1946">
        <v>408163</v>
      </c>
      <c r="D39" s="1946">
        <v>57446</v>
      </c>
      <c r="E39" s="1946">
        <v>2675</v>
      </c>
      <c r="F39" s="1946">
        <v>210</v>
      </c>
      <c r="G39" s="1946">
        <v>0</v>
      </c>
      <c r="H39" s="1946">
        <v>0</v>
      </c>
      <c r="I39" s="1947">
        <v>0</v>
      </c>
      <c r="J39" s="1947">
        <v>0</v>
      </c>
      <c r="K39" s="1624">
        <f t="shared" si="2"/>
        <v>468494</v>
      </c>
      <c r="L39" s="1968">
        <v>491510</v>
      </c>
    </row>
    <row r="40" spans="1:14" x14ac:dyDescent="0.2">
      <c r="A40" s="1457" t="s">
        <v>200</v>
      </c>
      <c r="B40" s="591">
        <v>2150</v>
      </c>
      <c r="C40" s="1946">
        <v>955407</v>
      </c>
      <c r="D40" s="1946">
        <v>158210</v>
      </c>
      <c r="E40" s="1946">
        <v>12158</v>
      </c>
      <c r="F40" s="1946">
        <v>420</v>
      </c>
      <c r="G40" s="1946">
        <v>0</v>
      </c>
      <c r="H40" s="1946">
        <v>0</v>
      </c>
      <c r="I40" s="1947">
        <v>0</v>
      </c>
      <c r="J40" s="1947">
        <v>0</v>
      </c>
      <c r="K40" s="1624">
        <f t="shared" si="2"/>
        <v>1126195</v>
      </c>
      <c r="L40" s="1968">
        <v>1319983</v>
      </c>
    </row>
    <row r="41" spans="1:14" x14ac:dyDescent="0.2">
      <c r="A41" s="1457" t="s">
        <v>1656</v>
      </c>
      <c r="B41" s="591">
        <v>2190</v>
      </c>
      <c r="C41" s="1946">
        <v>1185207</v>
      </c>
      <c r="D41" s="1946">
        <v>293998</v>
      </c>
      <c r="E41" s="1946">
        <v>83739</v>
      </c>
      <c r="F41" s="1946">
        <v>311</v>
      </c>
      <c r="G41" s="1946">
        <v>0</v>
      </c>
      <c r="H41" s="1946">
        <v>0</v>
      </c>
      <c r="I41" s="1947">
        <v>0</v>
      </c>
      <c r="J41" s="1947">
        <v>0</v>
      </c>
      <c r="K41" s="1624">
        <f t="shared" si="2"/>
        <v>1563255</v>
      </c>
      <c r="L41" s="1968">
        <v>221167</v>
      </c>
    </row>
    <row r="42" spans="1:14" ht="12.75" customHeight="1" thickBot="1" x14ac:dyDescent="0.25">
      <c r="A42" s="1621" t="s">
        <v>559</v>
      </c>
      <c r="B42" s="1622" t="s">
        <v>715</v>
      </c>
      <c r="C42" s="1623">
        <f>SUM(C36:C41)</f>
        <v>3776001</v>
      </c>
      <c r="D42" s="1623">
        <f t="shared" ref="D42:L42" si="3">SUM(D36:D41)</f>
        <v>693010</v>
      </c>
      <c r="E42" s="1623">
        <f t="shared" si="3"/>
        <v>308610</v>
      </c>
      <c r="F42" s="1623">
        <f t="shared" si="3"/>
        <v>20913</v>
      </c>
      <c r="G42" s="1623">
        <f t="shared" si="3"/>
        <v>0</v>
      </c>
      <c r="H42" s="1623">
        <f t="shared" si="3"/>
        <v>0</v>
      </c>
      <c r="I42" s="1623">
        <f t="shared" si="3"/>
        <v>0</v>
      </c>
      <c r="J42" s="1623">
        <f t="shared" si="3"/>
        <v>0</v>
      </c>
      <c r="K42" s="1623">
        <f t="shared" si="3"/>
        <v>4798534</v>
      </c>
      <c r="L42" s="1623">
        <f t="shared" si="3"/>
        <v>3777900</v>
      </c>
    </row>
    <row r="43" spans="1:14" ht="15.75" customHeight="1" thickTop="1" x14ac:dyDescent="0.2">
      <c r="A43" s="601" t="s">
        <v>591</v>
      </c>
      <c r="B43" s="602"/>
      <c r="C43" s="603"/>
      <c r="D43" s="603"/>
      <c r="E43" s="603"/>
      <c r="F43" s="603"/>
      <c r="G43" s="603"/>
      <c r="H43" s="603"/>
      <c r="I43" s="593"/>
      <c r="J43" s="593"/>
      <c r="K43" s="603"/>
      <c r="L43" s="603"/>
    </row>
    <row r="44" spans="1:14" x14ac:dyDescent="0.2">
      <c r="A44" s="1457" t="s">
        <v>813</v>
      </c>
      <c r="B44" s="591">
        <v>2210</v>
      </c>
      <c r="C44" s="477">
        <v>311278</v>
      </c>
      <c r="D44" s="477">
        <v>85803</v>
      </c>
      <c r="E44" s="477">
        <v>238046</v>
      </c>
      <c r="F44" s="477">
        <v>4918</v>
      </c>
      <c r="G44" s="477">
        <v>0</v>
      </c>
      <c r="H44" s="477">
        <v>1122</v>
      </c>
      <c r="I44" s="1947">
        <v>0</v>
      </c>
      <c r="J44" s="1947">
        <v>0</v>
      </c>
      <c r="K44" s="1625">
        <f>SUM(C44:J44)</f>
        <v>641167</v>
      </c>
      <c r="L44" s="477">
        <v>582792</v>
      </c>
    </row>
    <row r="45" spans="1:14" x14ac:dyDescent="0.2">
      <c r="A45" s="1457" t="s">
        <v>814</v>
      </c>
      <c r="B45" s="591">
        <v>2220</v>
      </c>
      <c r="C45" s="1946">
        <v>296889</v>
      </c>
      <c r="D45" s="1946">
        <v>71846</v>
      </c>
      <c r="E45" s="1946">
        <v>0</v>
      </c>
      <c r="F45" s="1946">
        <v>36209</v>
      </c>
      <c r="G45" s="1946">
        <v>0</v>
      </c>
      <c r="H45" s="1946">
        <v>0</v>
      </c>
      <c r="I45" s="1947">
        <v>0</v>
      </c>
      <c r="J45" s="1947">
        <v>0</v>
      </c>
      <c r="K45" s="1625">
        <f>SUM(C45:J45)</f>
        <v>404944</v>
      </c>
      <c r="L45" s="1968">
        <v>414886</v>
      </c>
    </row>
    <row r="46" spans="1:14" x14ac:dyDescent="0.2">
      <c r="A46" s="1457" t="s">
        <v>815</v>
      </c>
      <c r="B46" s="591">
        <v>2230</v>
      </c>
      <c r="C46" s="1946">
        <v>0</v>
      </c>
      <c r="D46" s="1946">
        <v>0</v>
      </c>
      <c r="E46" s="1946">
        <v>5488</v>
      </c>
      <c r="F46" s="1946">
        <v>25234</v>
      </c>
      <c r="G46" s="1946">
        <v>0</v>
      </c>
      <c r="H46" s="1946">
        <v>0</v>
      </c>
      <c r="I46" s="1947">
        <v>0</v>
      </c>
      <c r="J46" s="1947">
        <v>0</v>
      </c>
      <c r="K46" s="1625">
        <f>SUM(C46:J46)</f>
        <v>30722</v>
      </c>
      <c r="L46" s="1968">
        <v>42923</v>
      </c>
    </row>
    <row r="47" spans="1:14" ht="12.75" customHeight="1" thickBot="1" x14ac:dyDescent="0.25">
      <c r="A47" s="1621" t="s">
        <v>560</v>
      </c>
      <c r="B47" s="1622" t="s">
        <v>32</v>
      </c>
      <c r="C47" s="1623">
        <f>SUM(C44:C46)</f>
        <v>608167</v>
      </c>
      <c r="D47" s="1623">
        <f t="shared" ref="D47:K47" si="4">SUM(D44:D46)</f>
        <v>157649</v>
      </c>
      <c r="E47" s="1623">
        <f t="shared" si="4"/>
        <v>243534</v>
      </c>
      <c r="F47" s="1623">
        <f t="shared" si="4"/>
        <v>66361</v>
      </c>
      <c r="G47" s="1623">
        <f t="shared" si="4"/>
        <v>0</v>
      </c>
      <c r="H47" s="1623">
        <f t="shared" si="4"/>
        <v>1122</v>
      </c>
      <c r="I47" s="1623">
        <f t="shared" si="4"/>
        <v>0</v>
      </c>
      <c r="J47" s="1623">
        <f t="shared" si="4"/>
        <v>0</v>
      </c>
      <c r="K47" s="1623">
        <f t="shared" si="4"/>
        <v>1076833</v>
      </c>
      <c r="L47" s="1623">
        <f>SUM(L44:L46)</f>
        <v>1040601</v>
      </c>
    </row>
    <row r="48" spans="1:14" ht="15.75" customHeight="1" thickTop="1" x14ac:dyDescent="0.2">
      <c r="A48" s="601" t="s">
        <v>609</v>
      </c>
      <c r="B48" s="602"/>
      <c r="C48" s="603"/>
      <c r="D48" s="603"/>
      <c r="E48" s="603"/>
      <c r="F48" s="603"/>
      <c r="G48" s="603"/>
      <c r="H48" s="603"/>
      <c r="I48" s="593"/>
      <c r="J48" s="593"/>
      <c r="K48" s="603"/>
      <c r="L48" s="603"/>
    </row>
    <row r="49" spans="1:14" x14ac:dyDescent="0.2">
      <c r="A49" s="1457" t="s">
        <v>816</v>
      </c>
      <c r="B49" s="591">
        <v>2310</v>
      </c>
      <c r="C49" s="477">
        <v>0</v>
      </c>
      <c r="D49" s="477">
        <v>0</v>
      </c>
      <c r="E49" s="477">
        <v>324494</v>
      </c>
      <c r="F49" s="477">
        <v>348</v>
      </c>
      <c r="G49" s="477">
        <v>0</v>
      </c>
      <c r="H49" s="477">
        <v>15310</v>
      </c>
      <c r="I49" s="1947">
        <v>0</v>
      </c>
      <c r="J49" s="1947">
        <v>0</v>
      </c>
      <c r="K49" s="1625">
        <f>SUM(C49:J49)</f>
        <v>340152</v>
      </c>
      <c r="L49" s="477">
        <v>404836</v>
      </c>
    </row>
    <row r="50" spans="1:14" x14ac:dyDescent="0.2">
      <c r="A50" s="1457" t="s">
        <v>817</v>
      </c>
      <c r="B50" s="591">
        <v>2320</v>
      </c>
      <c r="C50" s="1946">
        <v>237700</v>
      </c>
      <c r="D50" s="1946">
        <v>316</v>
      </c>
      <c r="E50" s="1946">
        <v>1971</v>
      </c>
      <c r="F50" s="1946">
        <v>2470</v>
      </c>
      <c r="G50" s="1946">
        <v>0</v>
      </c>
      <c r="H50" s="1946">
        <v>764</v>
      </c>
      <c r="I50" s="1947">
        <v>0</v>
      </c>
      <c r="J50" s="1947">
        <v>0</v>
      </c>
      <c r="K50" s="1625">
        <f>SUM(C50:J50)</f>
        <v>243221</v>
      </c>
      <c r="L50" s="1968">
        <v>308711</v>
      </c>
    </row>
    <row r="51" spans="1:14" x14ac:dyDescent="0.2">
      <c r="A51" s="1457" t="s">
        <v>42</v>
      </c>
      <c r="B51" s="591">
        <v>2330</v>
      </c>
      <c r="C51" s="1946">
        <v>0</v>
      </c>
      <c r="D51" s="1946">
        <v>0</v>
      </c>
      <c r="E51" s="1946">
        <v>364</v>
      </c>
      <c r="F51" s="1946">
        <v>873</v>
      </c>
      <c r="G51" s="1946">
        <v>0</v>
      </c>
      <c r="H51" s="1946">
        <v>0</v>
      </c>
      <c r="I51" s="1947">
        <v>0</v>
      </c>
      <c r="J51" s="1947">
        <v>0</v>
      </c>
      <c r="K51" s="1625">
        <f>SUM(C51:J51)</f>
        <v>1237</v>
      </c>
      <c r="L51" s="1968">
        <v>7066</v>
      </c>
    </row>
    <row r="52" spans="1:14" ht="22.5" x14ac:dyDescent="0.2">
      <c r="A52" s="1458" t="s">
        <v>297</v>
      </c>
      <c r="B52" s="604" t="s">
        <v>365</v>
      </c>
      <c r="C52" s="1949">
        <v>0</v>
      </c>
      <c r="D52" s="1949">
        <v>0</v>
      </c>
      <c r="E52" s="1949">
        <v>0</v>
      </c>
      <c r="F52" s="1949">
        <v>0</v>
      </c>
      <c r="G52" s="1949">
        <v>0</v>
      </c>
      <c r="H52" s="1949">
        <v>0</v>
      </c>
      <c r="I52" s="1949">
        <v>0</v>
      </c>
      <c r="J52" s="1949">
        <v>0</v>
      </c>
      <c r="K52" s="1625">
        <f>SUM(C52:J52)</f>
        <v>0</v>
      </c>
      <c r="L52" s="1971">
        <v>1010</v>
      </c>
    </row>
    <row r="53" spans="1:14" ht="12.75" customHeight="1" thickBot="1" x14ac:dyDescent="0.25">
      <c r="A53" s="1621" t="s">
        <v>716</v>
      </c>
      <c r="B53" s="1622" t="s">
        <v>33</v>
      </c>
      <c r="C53" s="1623">
        <f>SUM(C49:C52)</f>
        <v>237700</v>
      </c>
      <c r="D53" s="1623">
        <f t="shared" ref="D53:L53" si="5">SUM(D49:D52)</f>
        <v>316</v>
      </c>
      <c r="E53" s="1623">
        <f t="shared" si="5"/>
        <v>326829</v>
      </c>
      <c r="F53" s="1623">
        <f t="shared" si="5"/>
        <v>3691</v>
      </c>
      <c r="G53" s="1623">
        <f t="shared" si="5"/>
        <v>0</v>
      </c>
      <c r="H53" s="1623">
        <f t="shared" si="5"/>
        <v>16074</v>
      </c>
      <c r="I53" s="1623">
        <f t="shared" si="5"/>
        <v>0</v>
      </c>
      <c r="J53" s="1623">
        <f t="shared" si="5"/>
        <v>0</v>
      </c>
      <c r="K53" s="1623">
        <f t="shared" si="5"/>
        <v>584610</v>
      </c>
      <c r="L53" s="1623">
        <f t="shared" si="5"/>
        <v>721623</v>
      </c>
    </row>
    <row r="54" spans="1:14" ht="15.75" customHeight="1" thickTop="1" x14ac:dyDescent="0.2">
      <c r="A54" s="601" t="s">
        <v>610</v>
      </c>
      <c r="B54" s="602"/>
      <c r="C54" s="603"/>
      <c r="D54" s="603"/>
      <c r="E54" s="603"/>
      <c r="F54" s="603"/>
      <c r="G54" s="603"/>
      <c r="H54" s="603"/>
      <c r="I54" s="593"/>
      <c r="J54" s="593"/>
      <c r="K54" s="603"/>
      <c r="L54" s="603"/>
    </row>
    <row r="55" spans="1:14" x14ac:dyDescent="0.2">
      <c r="A55" s="1457" t="s">
        <v>1066</v>
      </c>
      <c r="B55" s="591">
        <v>2410</v>
      </c>
      <c r="C55" s="477">
        <v>1969198</v>
      </c>
      <c r="D55" s="477">
        <v>504624</v>
      </c>
      <c r="E55" s="477">
        <v>25516</v>
      </c>
      <c r="F55" s="477">
        <v>16713</v>
      </c>
      <c r="G55" s="477">
        <v>0</v>
      </c>
      <c r="H55" s="477">
        <v>4964</v>
      </c>
      <c r="I55" s="1947">
        <v>0</v>
      </c>
      <c r="J55" s="1947">
        <v>0</v>
      </c>
      <c r="K55" s="1625">
        <f>SUM(C55:J55)</f>
        <v>2521015</v>
      </c>
      <c r="L55" s="477">
        <v>2649378</v>
      </c>
    </row>
    <row r="56" spans="1:14" ht="12.75" customHeight="1" x14ac:dyDescent="0.2">
      <c r="A56" s="1461" t="s">
        <v>375</v>
      </c>
      <c r="B56" s="605">
        <v>2490</v>
      </c>
      <c r="C56" s="1946">
        <v>0</v>
      </c>
      <c r="D56" s="1946">
        <v>0</v>
      </c>
      <c r="E56" s="1946">
        <v>0</v>
      </c>
      <c r="F56" s="1946">
        <v>0</v>
      </c>
      <c r="G56" s="1946">
        <v>0</v>
      </c>
      <c r="H56" s="1946">
        <v>0</v>
      </c>
      <c r="I56" s="1947">
        <v>0</v>
      </c>
      <c r="J56" s="1947">
        <v>0</v>
      </c>
      <c r="K56" s="1625">
        <f>SUM(C56:J56)</f>
        <v>0</v>
      </c>
      <c r="L56" s="1968">
        <v>0</v>
      </c>
    </row>
    <row r="57" spans="1:14" s="343" customFormat="1" ht="12.75" customHeight="1" thickBot="1" x14ac:dyDescent="0.25">
      <c r="A57" s="1621" t="s">
        <v>263</v>
      </c>
      <c r="B57" s="1626" t="s">
        <v>34</v>
      </c>
      <c r="C57" s="1627">
        <f>SUM(C55:C56)</f>
        <v>1969198</v>
      </c>
      <c r="D57" s="1627">
        <f t="shared" ref="D57:K57" si="6">SUM(D55:D56)</f>
        <v>504624</v>
      </c>
      <c r="E57" s="1627">
        <f t="shared" si="6"/>
        <v>25516</v>
      </c>
      <c r="F57" s="1627">
        <f t="shared" si="6"/>
        <v>16713</v>
      </c>
      <c r="G57" s="1627">
        <f t="shared" si="6"/>
        <v>0</v>
      </c>
      <c r="H57" s="1627">
        <f t="shared" si="6"/>
        <v>4964</v>
      </c>
      <c r="I57" s="1627">
        <f t="shared" si="6"/>
        <v>0</v>
      </c>
      <c r="J57" s="1627">
        <f t="shared" si="6"/>
        <v>0</v>
      </c>
      <c r="K57" s="1627">
        <f t="shared" si="6"/>
        <v>2521015</v>
      </c>
      <c r="L57" s="1623">
        <f>SUM(L55:L56)</f>
        <v>2649378</v>
      </c>
      <c r="M57" s="586"/>
      <c r="N57" s="586"/>
    </row>
    <row r="58" spans="1:14" s="343" customFormat="1" ht="15.75" customHeight="1" thickTop="1" x14ac:dyDescent="0.2">
      <c r="A58" s="601" t="s">
        <v>611</v>
      </c>
      <c r="B58" s="602"/>
      <c r="C58" s="606"/>
      <c r="D58" s="603"/>
      <c r="E58" s="603"/>
      <c r="F58" s="603"/>
      <c r="G58" s="603"/>
      <c r="H58" s="603"/>
      <c r="I58" s="593"/>
      <c r="J58" s="593"/>
      <c r="K58" s="603"/>
      <c r="L58" s="603"/>
      <c r="M58" s="586"/>
      <c r="N58" s="586"/>
    </row>
    <row r="59" spans="1:14" s="343" customFormat="1" x14ac:dyDescent="0.2">
      <c r="A59" s="1457" t="s">
        <v>1067</v>
      </c>
      <c r="B59" s="591">
        <v>2510</v>
      </c>
      <c r="C59" s="477">
        <v>160915</v>
      </c>
      <c r="D59" s="477">
        <v>32182</v>
      </c>
      <c r="E59" s="477">
        <v>9929</v>
      </c>
      <c r="F59" s="477">
        <v>6676</v>
      </c>
      <c r="G59" s="477">
        <v>0</v>
      </c>
      <c r="H59" s="477">
        <v>4583</v>
      </c>
      <c r="I59" s="1947">
        <v>0</v>
      </c>
      <c r="J59" s="1947">
        <v>0</v>
      </c>
      <c r="K59" s="1625">
        <f t="shared" ref="K59:K64" si="7">SUM(C59:J59)</f>
        <v>214285</v>
      </c>
      <c r="L59" s="477">
        <v>167712</v>
      </c>
      <c r="M59" s="586"/>
      <c r="N59" s="586"/>
    </row>
    <row r="60" spans="1:14" s="343" customFormat="1" x14ac:dyDescent="0.2">
      <c r="A60" s="1457" t="s">
        <v>462</v>
      </c>
      <c r="B60" s="591">
        <v>2520</v>
      </c>
      <c r="C60" s="1946">
        <v>603522</v>
      </c>
      <c r="D60" s="1946">
        <v>124139</v>
      </c>
      <c r="E60" s="1946">
        <v>29174</v>
      </c>
      <c r="F60" s="1946">
        <v>4528</v>
      </c>
      <c r="G60" s="1946">
        <v>0</v>
      </c>
      <c r="H60" s="1946">
        <v>0</v>
      </c>
      <c r="I60" s="1947">
        <v>0</v>
      </c>
      <c r="J60" s="1947">
        <v>0</v>
      </c>
      <c r="K60" s="1625">
        <f t="shared" si="7"/>
        <v>761363</v>
      </c>
      <c r="L60" s="1968">
        <v>443101</v>
      </c>
      <c r="M60" s="586"/>
      <c r="N60" s="586"/>
    </row>
    <row r="61" spans="1:14" s="343" customFormat="1" x14ac:dyDescent="0.2">
      <c r="A61" s="1457" t="s">
        <v>197</v>
      </c>
      <c r="B61" s="591">
        <v>2540</v>
      </c>
      <c r="C61" s="1946">
        <v>0</v>
      </c>
      <c r="D61" s="1946">
        <v>0</v>
      </c>
      <c r="E61" s="1946">
        <v>14</v>
      </c>
      <c r="F61" s="1946">
        <v>0</v>
      </c>
      <c r="G61" s="1946">
        <v>0</v>
      </c>
      <c r="H61" s="1946">
        <v>0</v>
      </c>
      <c r="I61" s="1947">
        <v>0</v>
      </c>
      <c r="J61" s="1947">
        <v>0</v>
      </c>
      <c r="K61" s="1625">
        <f t="shared" si="7"/>
        <v>14</v>
      </c>
      <c r="L61" s="1968">
        <v>0</v>
      </c>
      <c r="M61" s="586"/>
      <c r="N61" s="586"/>
    </row>
    <row r="62" spans="1:14" s="343" customFormat="1" x14ac:dyDescent="0.2">
      <c r="A62" s="1457" t="s">
        <v>952</v>
      </c>
      <c r="B62" s="591">
        <v>2550</v>
      </c>
      <c r="C62" s="1946">
        <v>15829</v>
      </c>
      <c r="D62" s="1946">
        <v>52</v>
      </c>
      <c r="E62" s="1946">
        <v>60281</v>
      </c>
      <c r="F62" s="1946">
        <v>0</v>
      </c>
      <c r="G62" s="1946">
        <v>0</v>
      </c>
      <c r="H62" s="1946">
        <v>0</v>
      </c>
      <c r="I62" s="1947">
        <v>0</v>
      </c>
      <c r="J62" s="1947">
        <v>0</v>
      </c>
      <c r="K62" s="1625">
        <f t="shared" si="7"/>
        <v>76162</v>
      </c>
      <c r="L62" s="1968">
        <v>80986</v>
      </c>
      <c r="M62" s="586"/>
      <c r="N62" s="586"/>
    </row>
    <row r="63" spans="1:14" s="586" customFormat="1" x14ac:dyDescent="0.2">
      <c r="A63" s="1457" t="s">
        <v>100</v>
      </c>
      <c r="B63" s="591">
        <v>2560</v>
      </c>
      <c r="C63" s="1946">
        <v>121885</v>
      </c>
      <c r="D63" s="1946">
        <v>243</v>
      </c>
      <c r="E63" s="1946">
        <v>0</v>
      </c>
      <c r="F63" s="1946">
        <v>697913</v>
      </c>
      <c r="G63" s="1946">
        <v>0</v>
      </c>
      <c r="H63" s="1946">
        <v>2018</v>
      </c>
      <c r="I63" s="1947">
        <v>0</v>
      </c>
      <c r="J63" s="1947">
        <v>0</v>
      </c>
      <c r="K63" s="1625">
        <f t="shared" si="7"/>
        <v>822059</v>
      </c>
      <c r="L63" s="1968">
        <v>889004</v>
      </c>
    </row>
    <row r="64" spans="1:14" s="586" customFormat="1" x14ac:dyDescent="0.2">
      <c r="A64" s="1462" t="s">
        <v>101</v>
      </c>
      <c r="B64" s="607">
        <v>2570</v>
      </c>
      <c r="C64" s="477">
        <v>0</v>
      </c>
      <c r="D64" s="477">
        <v>0</v>
      </c>
      <c r="E64" s="477">
        <v>0</v>
      </c>
      <c r="F64" s="477">
        <v>0</v>
      </c>
      <c r="G64" s="477">
        <v>0</v>
      </c>
      <c r="H64" s="477">
        <v>0</v>
      </c>
      <c r="I64" s="1947">
        <v>0</v>
      </c>
      <c r="J64" s="1947">
        <v>0</v>
      </c>
      <c r="K64" s="1625">
        <f t="shared" si="7"/>
        <v>0</v>
      </c>
      <c r="L64" s="477">
        <v>0</v>
      </c>
    </row>
    <row r="65" spans="1:14" s="343" customFormat="1" ht="12.75" customHeight="1" thickBot="1" x14ac:dyDescent="0.25">
      <c r="A65" s="1621" t="s">
        <v>718</v>
      </c>
      <c r="B65" s="1622" t="s">
        <v>35</v>
      </c>
      <c r="C65" s="1623">
        <f>SUM(C59:C64)</f>
        <v>902151</v>
      </c>
      <c r="D65" s="1623">
        <f t="shared" ref="D65:L65" si="8">SUM(D59:D64)</f>
        <v>156616</v>
      </c>
      <c r="E65" s="1623">
        <f t="shared" si="8"/>
        <v>99398</v>
      </c>
      <c r="F65" s="1623">
        <f t="shared" si="8"/>
        <v>709117</v>
      </c>
      <c r="G65" s="1623">
        <f t="shared" si="8"/>
        <v>0</v>
      </c>
      <c r="H65" s="1623">
        <f t="shared" si="8"/>
        <v>6601</v>
      </c>
      <c r="I65" s="1623">
        <f t="shared" si="8"/>
        <v>0</v>
      </c>
      <c r="J65" s="1623">
        <f t="shared" si="8"/>
        <v>0</v>
      </c>
      <c r="K65" s="1623">
        <f t="shared" si="8"/>
        <v>1873883</v>
      </c>
      <c r="L65" s="1623">
        <f t="shared" si="8"/>
        <v>1580803</v>
      </c>
      <c r="M65" s="586"/>
      <c r="N65" s="586"/>
    </row>
    <row r="66" spans="1:14" s="343" customFormat="1" ht="15.75" customHeight="1" thickTop="1" x14ac:dyDescent="0.2">
      <c r="A66" s="601" t="s">
        <v>612</v>
      </c>
      <c r="B66" s="608"/>
      <c r="C66" s="593"/>
      <c r="D66" s="593"/>
      <c r="E66" s="593"/>
      <c r="F66" s="593"/>
      <c r="G66" s="593"/>
      <c r="H66" s="593"/>
      <c r="I66" s="593"/>
      <c r="J66" s="593"/>
      <c r="K66" s="603"/>
      <c r="L66" s="603"/>
      <c r="M66" s="586"/>
      <c r="N66" s="586"/>
    </row>
    <row r="67" spans="1:14" s="343" customFormat="1" x14ac:dyDescent="0.2">
      <c r="A67" s="1457" t="s">
        <v>1059</v>
      </c>
      <c r="B67" s="591">
        <v>2610</v>
      </c>
      <c r="C67" s="1946">
        <v>0</v>
      </c>
      <c r="D67" s="1946">
        <v>0</v>
      </c>
      <c r="E67" s="1946">
        <v>0</v>
      </c>
      <c r="F67" s="1946">
        <v>0</v>
      </c>
      <c r="G67" s="1946">
        <v>0</v>
      </c>
      <c r="H67" s="1946">
        <v>0</v>
      </c>
      <c r="I67" s="1947">
        <v>0</v>
      </c>
      <c r="J67" s="1947">
        <v>0</v>
      </c>
      <c r="K67" s="1625">
        <f>SUM(C67:J67)</f>
        <v>0</v>
      </c>
      <c r="L67" s="477">
        <v>0</v>
      </c>
      <c r="M67" s="586"/>
      <c r="N67" s="586"/>
    </row>
    <row r="68" spans="1:14" s="343" customFormat="1" x14ac:dyDescent="0.2">
      <c r="A68" s="1457" t="s">
        <v>606</v>
      </c>
      <c r="B68" s="591">
        <v>2620</v>
      </c>
      <c r="C68" s="1946">
        <v>0</v>
      </c>
      <c r="D68" s="1946">
        <v>0</v>
      </c>
      <c r="E68" s="1946">
        <v>0</v>
      </c>
      <c r="F68" s="1946">
        <v>0</v>
      </c>
      <c r="G68" s="1946">
        <v>0</v>
      </c>
      <c r="H68" s="1946">
        <v>0</v>
      </c>
      <c r="I68" s="1947">
        <v>0</v>
      </c>
      <c r="J68" s="1947">
        <v>0</v>
      </c>
      <c r="K68" s="1625">
        <f>SUM(C68:J68)</f>
        <v>0</v>
      </c>
      <c r="L68" s="1968">
        <v>0</v>
      </c>
      <c r="M68" s="586"/>
      <c r="N68" s="586"/>
    </row>
    <row r="69" spans="1:14" s="343" customFormat="1" x14ac:dyDescent="0.2">
      <c r="A69" s="1457" t="s">
        <v>1060</v>
      </c>
      <c r="B69" s="591">
        <v>2630</v>
      </c>
      <c r="C69" s="1946">
        <v>676797</v>
      </c>
      <c r="D69" s="1946">
        <v>138329</v>
      </c>
      <c r="E69" s="1946">
        <v>257572</v>
      </c>
      <c r="F69" s="1946">
        <v>17495</v>
      </c>
      <c r="G69" s="1946">
        <v>0</v>
      </c>
      <c r="H69" s="1946">
        <v>0</v>
      </c>
      <c r="I69" s="1947">
        <v>58499</v>
      </c>
      <c r="J69" s="1947">
        <v>0</v>
      </c>
      <c r="K69" s="1625">
        <f>SUM(C69:J69)</f>
        <v>1148692</v>
      </c>
      <c r="L69" s="1968">
        <v>1689713</v>
      </c>
      <c r="M69" s="586"/>
      <c r="N69" s="586"/>
    </row>
    <row r="70" spans="1:14" s="343" customFormat="1" x14ac:dyDescent="0.2">
      <c r="A70" s="1457" t="s">
        <v>402</v>
      </c>
      <c r="B70" s="591">
        <v>2640</v>
      </c>
      <c r="C70" s="1946">
        <v>141934</v>
      </c>
      <c r="D70" s="1946">
        <v>48865</v>
      </c>
      <c r="E70" s="1946">
        <v>1747</v>
      </c>
      <c r="F70" s="1946">
        <v>60444</v>
      </c>
      <c r="G70" s="1946">
        <v>0</v>
      </c>
      <c r="H70" s="1946">
        <v>0</v>
      </c>
      <c r="I70" s="1947">
        <v>0</v>
      </c>
      <c r="J70" s="1947">
        <v>0</v>
      </c>
      <c r="K70" s="1625">
        <f>SUM(C70:J70)</f>
        <v>252990</v>
      </c>
      <c r="L70" s="1968">
        <v>399209</v>
      </c>
      <c r="M70" s="586"/>
      <c r="N70" s="586"/>
    </row>
    <row r="71" spans="1:14" s="343" customFormat="1" x14ac:dyDescent="0.2">
      <c r="A71" s="1457" t="s">
        <v>403</v>
      </c>
      <c r="B71" s="591">
        <v>2660</v>
      </c>
      <c r="C71" s="1946">
        <v>0</v>
      </c>
      <c r="D71" s="1946">
        <v>0</v>
      </c>
      <c r="E71" s="1946">
        <v>8793</v>
      </c>
      <c r="F71" s="1946">
        <v>0</v>
      </c>
      <c r="G71" s="1946">
        <v>0</v>
      </c>
      <c r="H71" s="1946">
        <v>0</v>
      </c>
      <c r="I71" s="1947">
        <v>0</v>
      </c>
      <c r="J71" s="1947">
        <v>0</v>
      </c>
      <c r="K71" s="1625">
        <f>SUM(C71:J71)</f>
        <v>8793</v>
      </c>
      <c r="L71" s="1968">
        <v>9090</v>
      </c>
      <c r="M71" s="586"/>
      <c r="N71" s="586"/>
    </row>
    <row r="72" spans="1:14" s="343" customFormat="1" ht="12.75" customHeight="1" thickBot="1" x14ac:dyDescent="0.25">
      <c r="A72" s="1621" t="s">
        <v>37</v>
      </c>
      <c r="B72" s="1628" t="s">
        <v>36</v>
      </c>
      <c r="C72" s="1623">
        <f>SUM(C67:C71)</f>
        <v>818731</v>
      </c>
      <c r="D72" s="1623">
        <f t="shared" ref="D72:K72" si="9">SUM(D67:D71)</f>
        <v>187194</v>
      </c>
      <c r="E72" s="1623">
        <f t="shared" si="9"/>
        <v>268112</v>
      </c>
      <c r="F72" s="1623">
        <f t="shared" si="9"/>
        <v>77939</v>
      </c>
      <c r="G72" s="1623">
        <f t="shared" si="9"/>
        <v>0</v>
      </c>
      <c r="H72" s="1623">
        <f t="shared" si="9"/>
        <v>0</v>
      </c>
      <c r="I72" s="1623">
        <f t="shared" si="9"/>
        <v>58499</v>
      </c>
      <c r="J72" s="1623">
        <f t="shared" si="9"/>
        <v>0</v>
      </c>
      <c r="K72" s="1623">
        <f t="shared" si="9"/>
        <v>1410475</v>
      </c>
      <c r="L72" s="1623">
        <f>SUM(L67:L71)</f>
        <v>2098012</v>
      </c>
      <c r="M72" s="586"/>
      <c r="N72" s="586"/>
    </row>
    <row r="73" spans="1:14" s="343" customFormat="1" ht="14.25" thickTop="1" thickBot="1" x14ac:dyDescent="0.25">
      <c r="A73" s="1463" t="s">
        <v>979</v>
      </c>
      <c r="B73" s="609" t="s">
        <v>573</v>
      </c>
      <c r="C73" s="1957">
        <v>2450</v>
      </c>
      <c r="D73" s="1957">
        <v>0</v>
      </c>
      <c r="E73" s="1957">
        <v>5909</v>
      </c>
      <c r="F73" s="1957">
        <v>0</v>
      </c>
      <c r="G73" s="1957">
        <v>0</v>
      </c>
      <c r="H73" s="1957">
        <v>0</v>
      </c>
      <c r="I73" s="1954">
        <v>0</v>
      </c>
      <c r="J73" s="1954">
        <v>0</v>
      </c>
      <c r="K73" s="1623">
        <f>SUM(C73:J73)</f>
        <v>8359</v>
      </c>
      <c r="L73" s="1981">
        <v>0</v>
      </c>
      <c r="M73" s="586"/>
      <c r="N73" s="586"/>
    </row>
    <row r="74" spans="1:14" ht="12.75" customHeight="1" thickTop="1" thickBot="1" x14ac:dyDescent="0.25">
      <c r="A74" s="1621" t="s">
        <v>810</v>
      </c>
      <c r="B74" s="1629">
        <v>2000</v>
      </c>
      <c r="C74" s="1630">
        <f>SUM(C42,C47,C53,C57,C65,C72,C73)</f>
        <v>8314398</v>
      </c>
      <c r="D74" s="1630">
        <f t="shared" ref="D74:K74" si="10">SUM(D42,D47,D53,D57,D65,D72,D73)</f>
        <v>1699409</v>
      </c>
      <c r="E74" s="1630">
        <f t="shared" si="10"/>
        <v>1277908</v>
      </c>
      <c r="F74" s="1630">
        <f t="shared" si="10"/>
        <v>894734</v>
      </c>
      <c r="G74" s="1630">
        <f t="shared" si="10"/>
        <v>0</v>
      </c>
      <c r="H74" s="1630">
        <f t="shared" si="10"/>
        <v>28761</v>
      </c>
      <c r="I74" s="1630">
        <f t="shared" si="10"/>
        <v>58499</v>
      </c>
      <c r="J74" s="1630">
        <f t="shared" si="10"/>
        <v>0</v>
      </c>
      <c r="K74" s="1630">
        <f t="shared" si="10"/>
        <v>12273709</v>
      </c>
      <c r="L74" s="1630">
        <f>SUM(L42,L47,L53,L57,L65,L72,L73)</f>
        <v>11868317</v>
      </c>
    </row>
    <row r="75" spans="1:14" s="259" customFormat="1" ht="15.75" customHeight="1" thickTop="1" thickBot="1" x14ac:dyDescent="0.25">
      <c r="A75" s="1563" t="s">
        <v>47</v>
      </c>
      <c r="B75" s="1564" t="s">
        <v>574</v>
      </c>
      <c r="C75" s="1957">
        <v>3605</v>
      </c>
      <c r="D75" s="1957">
        <v>397</v>
      </c>
      <c r="E75" s="1957">
        <v>6394</v>
      </c>
      <c r="F75" s="1957">
        <v>0</v>
      </c>
      <c r="G75" s="1957">
        <v>0</v>
      </c>
      <c r="H75" s="1957">
        <v>0</v>
      </c>
      <c r="I75" s="1954">
        <v>0</v>
      </c>
      <c r="J75" s="1954">
        <v>0</v>
      </c>
      <c r="K75" s="1623">
        <f>SUM(C75:J75)</f>
        <v>10396</v>
      </c>
      <c r="L75" s="1981">
        <v>14973</v>
      </c>
      <c r="M75" s="590"/>
      <c r="N75" s="590"/>
    </row>
    <row r="76" spans="1:14" s="610" customFormat="1" ht="15.75" customHeight="1" thickTop="1" x14ac:dyDescent="0.2">
      <c r="A76" s="1565" t="s">
        <v>364</v>
      </c>
      <c r="B76" s="1562" t="s">
        <v>859</v>
      </c>
      <c r="C76" s="595"/>
      <c r="D76" s="595"/>
      <c r="E76" s="593"/>
      <c r="F76" s="595"/>
      <c r="G76" s="595"/>
      <c r="H76" s="593"/>
      <c r="I76" s="593"/>
      <c r="J76" s="593"/>
      <c r="K76" s="593"/>
      <c r="L76" s="593"/>
      <c r="M76" s="184"/>
      <c r="N76" s="184"/>
    </row>
    <row r="77" spans="1:14" s="259" customFormat="1" ht="15.75" customHeight="1" x14ac:dyDescent="0.2">
      <c r="A77" s="598" t="s">
        <v>613</v>
      </c>
      <c r="B77" s="599"/>
      <c r="C77" s="593"/>
      <c r="D77" s="593"/>
      <c r="E77" s="600"/>
      <c r="F77" s="593"/>
      <c r="G77" s="593"/>
      <c r="H77" s="600"/>
      <c r="I77" s="593"/>
      <c r="J77" s="593"/>
      <c r="K77" s="600"/>
      <c r="L77" s="600"/>
      <c r="M77" s="590"/>
      <c r="N77" s="590"/>
    </row>
    <row r="78" spans="1:14" x14ac:dyDescent="0.2">
      <c r="A78" s="1457" t="s">
        <v>495</v>
      </c>
      <c r="B78" s="591">
        <v>4110</v>
      </c>
      <c r="C78" s="593"/>
      <c r="D78" s="593"/>
      <c r="E78" s="477">
        <v>0</v>
      </c>
      <c r="F78" s="593"/>
      <c r="G78" s="593"/>
      <c r="H78" s="611">
        <v>0</v>
      </c>
      <c r="I78" s="473"/>
      <c r="J78" s="473"/>
      <c r="K78" s="1624">
        <f t="shared" ref="K78:K83" si="11">SUM(C78:J78)</f>
        <v>0</v>
      </c>
      <c r="L78" s="477">
        <v>0</v>
      </c>
    </row>
    <row r="79" spans="1:14" x14ac:dyDescent="0.2">
      <c r="A79" s="1457" t="s">
        <v>303</v>
      </c>
      <c r="B79" s="591">
        <v>4120</v>
      </c>
      <c r="C79" s="593"/>
      <c r="D79" s="593"/>
      <c r="E79" s="1946">
        <v>0</v>
      </c>
      <c r="F79" s="593"/>
      <c r="G79" s="593"/>
      <c r="H79" s="1946">
        <v>593039</v>
      </c>
      <c r="I79" s="473"/>
      <c r="J79" s="473"/>
      <c r="K79" s="1624">
        <f t="shared" si="11"/>
        <v>593039</v>
      </c>
      <c r="L79" s="1968">
        <v>1026000</v>
      </c>
    </row>
    <row r="80" spans="1:14" x14ac:dyDescent="0.2">
      <c r="A80" s="1457" t="s">
        <v>304</v>
      </c>
      <c r="B80" s="591">
        <v>4130</v>
      </c>
      <c r="C80" s="593"/>
      <c r="D80" s="593"/>
      <c r="E80" s="1946">
        <v>0</v>
      </c>
      <c r="F80" s="593"/>
      <c r="G80" s="593"/>
      <c r="H80" s="1946">
        <v>0</v>
      </c>
      <c r="I80" s="473"/>
      <c r="J80" s="473"/>
      <c r="K80" s="1624">
        <f t="shared" si="11"/>
        <v>0</v>
      </c>
      <c r="L80" s="1968">
        <v>0</v>
      </c>
    </row>
    <row r="81" spans="1:12" x14ac:dyDescent="0.2">
      <c r="A81" s="1457" t="s">
        <v>696</v>
      </c>
      <c r="B81" s="591">
        <v>4140</v>
      </c>
      <c r="C81" s="593"/>
      <c r="D81" s="593"/>
      <c r="E81" s="1946">
        <v>0</v>
      </c>
      <c r="F81" s="593"/>
      <c r="G81" s="593"/>
      <c r="H81" s="1946">
        <v>0</v>
      </c>
      <c r="I81" s="473"/>
      <c r="J81" s="473"/>
      <c r="K81" s="1624">
        <f t="shared" si="11"/>
        <v>0</v>
      </c>
      <c r="L81" s="1968">
        <v>0</v>
      </c>
    </row>
    <row r="82" spans="1:12" x14ac:dyDescent="0.2">
      <c r="A82" s="1457" t="s">
        <v>86</v>
      </c>
      <c r="B82" s="591">
        <v>4170</v>
      </c>
      <c r="C82" s="593"/>
      <c r="D82" s="593"/>
      <c r="E82" s="1946">
        <v>0</v>
      </c>
      <c r="F82" s="593"/>
      <c r="G82" s="593"/>
      <c r="H82" s="1946">
        <v>0</v>
      </c>
      <c r="I82" s="473"/>
      <c r="J82" s="473"/>
      <c r="K82" s="1624">
        <f t="shared" si="11"/>
        <v>0</v>
      </c>
      <c r="L82" s="1968">
        <v>0</v>
      </c>
    </row>
    <row r="83" spans="1:12" x14ac:dyDescent="0.2">
      <c r="A83" s="1461" t="s">
        <v>697</v>
      </c>
      <c r="B83" s="605">
        <v>4190</v>
      </c>
      <c r="C83" s="593"/>
      <c r="D83" s="593"/>
      <c r="E83" s="1946">
        <v>0</v>
      </c>
      <c r="F83" s="593"/>
      <c r="G83" s="593"/>
      <c r="H83" s="1946">
        <v>600</v>
      </c>
      <c r="I83" s="473"/>
      <c r="J83" s="473"/>
      <c r="K83" s="1624">
        <f t="shared" si="11"/>
        <v>600</v>
      </c>
      <c r="L83" s="1968">
        <v>0</v>
      </c>
    </row>
    <row r="84" spans="1:12" ht="13.5" thickBot="1" x14ac:dyDescent="0.25">
      <c r="A84" s="1621" t="s">
        <v>1472</v>
      </c>
      <c r="B84" s="1631">
        <v>4100</v>
      </c>
      <c r="C84" s="593"/>
      <c r="D84" s="593"/>
      <c r="E84" s="1623">
        <f>SUM(E78:E83)</f>
        <v>0</v>
      </c>
      <c r="F84" s="593"/>
      <c r="G84" s="593"/>
      <c r="H84" s="1623">
        <f>SUM(H78:H83)</f>
        <v>593639</v>
      </c>
      <c r="I84" s="473"/>
      <c r="J84" s="473"/>
      <c r="K84" s="1623">
        <f>SUM(K78:K83)</f>
        <v>593639</v>
      </c>
      <c r="L84" s="1623">
        <f>SUM(L78:L83)</f>
        <v>1026000</v>
      </c>
    </row>
    <row r="85" spans="1:12" ht="12.75" customHeight="1" thickTop="1" thickBot="1" x14ac:dyDescent="0.25">
      <c r="A85" s="1464" t="s">
        <v>255</v>
      </c>
      <c r="B85" s="612">
        <v>4210</v>
      </c>
      <c r="C85" s="593"/>
      <c r="D85" s="593"/>
      <c r="E85" s="613"/>
      <c r="F85" s="593"/>
      <c r="G85" s="593"/>
      <c r="H85" s="1956">
        <v>0</v>
      </c>
      <c r="I85" s="473"/>
      <c r="J85" s="473"/>
      <c r="K85" s="1630">
        <f>H85</f>
        <v>0</v>
      </c>
      <c r="L85" s="1976">
        <v>0</v>
      </c>
    </row>
    <row r="86" spans="1:12" ht="12.75" customHeight="1" thickTop="1" thickBot="1" x14ac:dyDescent="0.25">
      <c r="A86" s="1465" t="s">
        <v>698</v>
      </c>
      <c r="B86" s="614">
        <v>4220</v>
      </c>
      <c r="C86" s="593"/>
      <c r="D86" s="593"/>
      <c r="E86" s="615"/>
      <c r="F86" s="593"/>
      <c r="G86" s="593"/>
      <c r="H86" s="1947">
        <v>1090716</v>
      </c>
      <c r="I86" s="473"/>
      <c r="J86" s="473"/>
      <c r="K86" s="1630">
        <f t="shared" ref="K86:K98" si="12">H86</f>
        <v>1090716</v>
      </c>
      <c r="L86" s="1976">
        <v>538000</v>
      </c>
    </row>
    <row r="87" spans="1:12" ht="14.25" thickTop="1" thickBot="1" x14ac:dyDescent="0.25">
      <c r="A87" s="1466" t="s">
        <v>699</v>
      </c>
      <c r="B87" s="616">
        <v>4230</v>
      </c>
      <c r="C87" s="593"/>
      <c r="D87" s="593"/>
      <c r="E87" s="615"/>
      <c r="F87" s="593"/>
      <c r="G87" s="593"/>
      <c r="H87" s="1947">
        <v>0</v>
      </c>
      <c r="I87" s="473"/>
      <c r="J87" s="473"/>
      <c r="K87" s="1630">
        <f t="shared" si="12"/>
        <v>0</v>
      </c>
      <c r="L87" s="1976">
        <v>0</v>
      </c>
    </row>
    <row r="88" spans="1:12" ht="12.75" customHeight="1" thickTop="1" thickBot="1" x14ac:dyDescent="0.25">
      <c r="A88" s="1466" t="s">
        <v>764</v>
      </c>
      <c r="B88" s="616">
        <v>4240</v>
      </c>
      <c r="C88" s="593"/>
      <c r="D88" s="593"/>
      <c r="E88" s="615"/>
      <c r="F88" s="593"/>
      <c r="G88" s="593"/>
      <c r="H88" s="1947">
        <v>0</v>
      </c>
      <c r="I88" s="473"/>
      <c r="J88" s="473"/>
      <c r="K88" s="1630">
        <f t="shared" si="12"/>
        <v>0</v>
      </c>
      <c r="L88" s="1976">
        <v>0</v>
      </c>
    </row>
    <row r="89" spans="1:12" ht="12.75" customHeight="1" thickTop="1" thickBot="1" x14ac:dyDescent="0.25">
      <c r="A89" s="1466" t="s">
        <v>700</v>
      </c>
      <c r="B89" s="616">
        <v>4270</v>
      </c>
      <c r="C89" s="593"/>
      <c r="D89" s="593"/>
      <c r="E89" s="615"/>
      <c r="F89" s="593"/>
      <c r="G89" s="593"/>
      <c r="H89" s="1947">
        <v>0</v>
      </c>
      <c r="I89" s="473"/>
      <c r="J89" s="473"/>
      <c r="K89" s="1630">
        <f t="shared" si="12"/>
        <v>0</v>
      </c>
      <c r="L89" s="1976">
        <v>0</v>
      </c>
    </row>
    <row r="90" spans="1:12" ht="12.75" customHeight="1" thickTop="1" thickBot="1" x14ac:dyDescent="0.25">
      <c r="A90" s="1466" t="s">
        <v>685</v>
      </c>
      <c r="B90" s="616">
        <v>4280</v>
      </c>
      <c r="C90" s="593"/>
      <c r="D90" s="593"/>
      <c r="E90" s="615"/>
      <c r="F90" s="593"/>
      <c r="G90" s="593"/>
      <c r="H90" s="1947">
        <v>0</v>
      </c>
      <c r="I90" s="473"/>
      <c r="J90" s="473"/>
      <c r="K90" s="1630">
        <f t="shared" si="12"/>
        <v>0</v>
      </c>
      <c r="L90" s="1976">
        <v>0</v>
      </c>
    </row>
    <row r="91" spans="1:12" ht="12.75" customHeight="1" thickTop="1" thickBot="1" x14ac:dyDescent="0.25">
      <c r="A91" s="1466" t="s">
        <v>686</v>
      </c>
      <c r="B91" s="616">
        <v>4290</v>
      </c>
      <c r="C91" s="593"/>
      <c r="D91" s="593"/>
      <c r="E91" s="615"/>
      <c r="F91" s="593"/>
      <c r="G91" s="593"/>
      <c r="H91" s="1947">
        <v>0</v>
      </c>
      <c r="I91" s="473"/>
      <c r="J91" s="473"/>
      <c r="K91" s="1630">
        <f t="shared" si="12"/>
        <v>0</v>
      </c>
      <c r="L91" s="1976">
        <v>0</v>
      </c>
    </row>
    <row r="92" spans="1:12" ht="14.25" thickTop="1" thickBot="1" x14ac:dyDescent="0.25">
      <c r="A92" s="1633" t="s">
        <v>1547</v>
      </c>
      <c r="B92" s="1631">
        <v>4200</v>
      </c>
      <c r="C92" s="593"/>
      <c r="D92" s="593"/>
      <c r="E92" s="615"/>
      <c r="F92" s="593"/>
      <c r="G92" s="593"/>
      <c r="H92" s="1623">
        <f>SUM(H85:H91)</f>
        <v>1090716</v>
      </c>
      <c r="I92" s="473"/>
      <c r="J92" s="473"/>
      <c r="K92" s="1630">
        <f t="shared" si="12"/>
        <v>1090716</v>
      </c>
      <c r="L92" s="1623">
        <f>SUM(L85:L91)</f>
        <v>538000</v>
      </c>
    </row>
    <row r="93" spans="1:12" ht="14.25" thickTop="1" thickBot="1" x14ac:dyDescent="0.25">
      <c r="A93" s="1465" t="s">
        <v>687</v>
      </c>
      <c r="B93" s="617">
        <v>4310</v>
      </c>
      <c r="C93" s="593"/>
      <c r="D93" s="593"/>
      <c r="E93" s="615"/>
      <c r="F93" s="593"/>
      <c r="G93" s="593"/>
      <c r="H93" s="1950">
        <v>0</v>
      </c>
      <c r="I93" s="473"/>
      <c r="J93" s="473"/>
      <c r="K93" s="1630">
        <f t="shared" si="12"/>
        <v>0</v>
      </c>
      <c r="L93" s="1978">
        <v>0</v>
      </c>
    </row>
    <row r="94" spans="1:12" ht="12.75" customHeight="1" thickTop="1" thickBot="1" x14ac:dyDescent="0.25">
      <c r="A94" s="1466" t="s">
        <v>688</v>
      </c>
      <c r="B94" s="616">
        <v>4320</v>
      </c>
      <c r="C94" s="593"/>
      <c r="D94" s="593"/>
      <c r="E94" s="615"/>
      <c r="F94" s="593"/>
      <c r="G94" s="593"/>
      <c r="H94" s="1947">
        <v>0</v>
      </c>
      <c r="I94" s="473"/>
      <c r="J94" s="473"/>
      <c r="K94" s="1630">
        <f t="shared" si="12"/>
        <v>0</v>
      </c>
      <c r="L94" s="1976">
        <v>0</v>
      </c>
    </row>
    <row r="95" spans="1:12" ht="15" customHeight="1" thickTop="1" thickBot="1" x14ac:dyDescent="0.25">
      <c r="A95" s="1466" t="s">
        <v>1475</v>
      </c>
      <c r="B95" s="616">
        <v>4330</v>
      </c>
      <c r="C95" s="593"/>
      <c r="D95" s="593"/>
      <c r="E95" s="615"/>
      <c r="F95" s="593"/>
      <c r="G95" s="593"/>
      <c r="H95" s="1947">
        <v>0</v>
      </c>
      <c r="I95" s="473"/>
      <c r="J95" s="473"/>
      <c r="K95" s="1630">
        <f t="shared" si="12"/>
        <v>0</v>
      </c>
      <c r="L95" s="1976">
        <v>0</v>
      </c>
    </row>
    <row r="96" spans="1:12" ht="14.25" thickTop="1" thickBot="1" x14ac:dyDescent="0.25">
      <c r="A96" s="1466" t="s">
        <v>689</v>
      </c>
      <c r="B96" s="616">
        <v>4340</v>
      </c>
      <c r="C96" s="593"/>
      <c r="D96" s="593"/>
      <c r="E96" s="615"/>
      <c r="F96" s="593"/>
      <c r="G96" s="593"/>
      <c r="H96" s="1947">
        <v>0</v>
      </c>
      <c r="I96" s="473"/>
      <c r="J96" s="473"/>
      <c r="K96" s="1630">
        <f t="shared" si="12"/>
        <v>0</v>
      </c>
      <c r="L96" s="1976">
        <v>0</v>
      </c>
    </row>
    <row r="97" spans="1:14" ht="12.75" customHeight="1" thickTop="1" thickBot="1" x14ac:dyDescent="0.25">
      <c r="A97" s="1466" t="s">
        <v>762</v>
      </c>
      <c r="B97" s="616">
        <v>4370</v>
      </c>
      <c r="C97" s="593"/>
      <c r="D97" s="593"/>
      <c r="E97" s="615"/>
      <c r="F97" s="593"/>
      <c r="G97" s="593"/>
      <c r="H97" s="1947">
        <v>0</v>
      </c>
      <c r="I97" s="473"/>
      <c r="J97" s="473"/>
      <c r="K97" s="1630">
        <f t="shared" si="12"/>
        <v>0</v>
      </c>
      <c r="L97" s="1976">
        <v>0</v>
      </c>
    </row>
    <row r="98" spans="1:14" ht="14.25" thickTop="1" thickBot="1" x14ac:dyDescent="0.25">
      <c r="A98" s="1466" t="s">
        <v>763</v>
      </c>
      <c r="B98" s="616">
        <v>4380</v>
      </c>
      <c r="C98" s="593"/>
      <c r="D98" s="593"/>
      <c r="E98" s="618"/>
      <c r="F98" s="593"/>
      <c r="G98" s="593"/>
      <c r="H98" s="1947">
        <v>0</v>
      </c>
      <c r="I98" s="473"/>
      <c r="J98" s="473"/>
      <c r="K98" s="1630">
        <f t="shared" si="12"/>
        <v>0</v>
      </c>
      <c r="L98" s="1976">
        <v>0</v>
      </c>
    </row>
    <row r="99" spans="1:14" ht="14.25" thickTop="1" thickBot="1" x14ac:dyDescent="0.25">
      <c r="A99" s="1466" t="s">
        <v>366</v>
      </c>
      <c r="B99" s="616">
        <v>4390</v>
      </c>
      <c r="C99" s="593"/>
      <c r="D99" s="593"/>
      <c r="E99" s="1955">
        <v>0</v>
      </c>
      <c r="F99" s="593"/>
      <c r="G99" s="593"/>
      <c r="H99" s="1947">
        <v>0</v>
      </c>
      <c r="I99" s="473"/>
      <c r="J99" s="473"/>
      <c r="K99" s="1630">
        <f>SUM(E99,H99)</f>
        <v>0</v>
      </c>
      <c r="L99" s="1976">
        <v>0</v>
      </c>
    </row>
    <row r="100" spans="1:14" ht="14.25" thickTop="1" thickBot="1" x14ac:dyDescent="0.25">
      <c r="A100" s="1633" t="s">
        <v>1473</v>
      </c>
      <c r="B100" s="1634">
        <v>4300</v>
      </c>
      <c r="C100" s="593"/>
      <c r="D100" s="593"/>
      <c r="E100" s="1630">
        <f>SUM(E93:E99)</f>
        <v>0</v>
      </c>
      <c r="F100" s="593"/>
      <c r="G100" s="593"/>
      <c r="H100" s="1630">
        <f>SUM(H93:H99)</f>
        <v>0</v>
      </c>
      <c r="I100" s="473"/>
      <c r="J100" s="473"/>
      <c r="K100" s="1630">
        <f>SUM(K93:K99)</f>
        <v>0</v>
      </c>
      <c r="L100" s="1630">
        <f>SUM(L93:L99)</f>
        <v>0</v>
      </c>
    </row>
    <row r="101" spans="1:14" ht="12.75" customHeight="1" thickTop="1" thickBot="1" x14ac:dyDescent="0.25">
      <c r="A101" s="1463" t="s">
        <v>1476</v>
      </c>
      <c r="B101" s="619" t="s">
        <v>930</v>
      </c>
      <c r="C101" s="593"/>
      <c r="D101" s="593"/>
      <c r="E101" s="1954">
        <v>0</v>
      </c>
      <c r="F101" s="593"/>
      <c r="G101" s="593"/>
      <c r="H101" s="1954">
        <v>0</v>
      </c>
      <c r="I101" s="473"/>
      <c r="J101" s="473"/>
      <c r="K101" s="1632">
        <f>SUM(C101:J101)</f>
        <v>0</v>
      </c>
      <c r="L101" s="1976">
        <v>0</v>
      </c>
    </row>
    <row r="102" spans="1:14" ht="12.75" customHeight="1" thickTop="1" thickBot="1" x14ac:dyDescent="0.25">
      <c r="A102" s="1621" t="s">
        <v>1474</v>
      </c>
      <c r="B102" s="1631">
        <v>4000</v>
      </c>
      <c r="C102" s="593"/>
      <c r="D102" s="593"/>
      <c r="E102" s="1630">
        <f>SUM(E84,E92,E100,E101)</f>
        <v>0</v>
      </c>
      <c r="F102" s="593"/>
      <c r="G102" s="593"/>
      <c r="H102" s="1630">
        <f>SUM(H84,H92,H100,H101)</f>
        <v>1684355</v>
      </c>
      <c r="I102" s="473"/>
      <c r="J102" s="473"/>
      <c r="K102" s="1630">
        <f>SUM(K84,K92,K100,K101)</f>
        <v>1684355</v>
      </c>
      <c r="L102" s="1630">
        <f>SUM(L84,L92,L100,L101)</f>
        <v>1564000</v>
      </c>
    </row>
    <row r="103" spans="1:14" s="610" customFormat="1" ht="15.75" customHeight="1" thickTop="1" x14ac:dyDescent="0.2">
      <c r="A103" s="1565" t="s">
        <v>512</v>
      </c>
      <c r="B103" s="1562" t="s">
        <v>491</v>
      </c>
      <c r="C103" s="593"/>
      <c r="D103" s="593"/>
      <c r="E103" s="593"/>
      <c r="F103" s="593"/>
      <c r="G103" s="593"/>
      <c r="H103" s="595"/>
      <c r="I103" s="467"/>
      <c r="J103" s="467"/>
      <c r="K103" s="595"/>
      <c r="L103" s="595"/>
      <c r="M103" s="184"/>
      <c r="N103" s="184"/>
    </row>
    <row r="104" spans="1:14" s="622" customFormat="1" ht="15.75" customHeight="1" x14ac:dyDescent="0.2">
      <c r="A104" s="620" t="s">
        <v>614</v>
      </c>
      <c r="B104" s="621"/>
      <c r="C104" s="593"/>
      <c r="D104" s="593"/>
      <c r="E104" s="593"/>
      <c r="F104" s="593"/>
      <c r="G104" s="593"/>
      <c r="H104" s="600"/>
      <c r="I104" s="467"/>
      <c r="J104" s="467"/>
      <c r="K104" s="600"/>
      <c r="L104" s="600"/>
      <c r="M104" s="590"/>
      <c r="N104" s="590"/>
    </row>
    <row r="105" spans="1:14" s="574" customFormat="1" x14ac:dyDescent="0.2">
      <c r="A105" s="1457" t="s">
        <v>87</v>
      </c>
      <c r="B105" s="591">
        <v>5110</v>
      </c>
      <c r="C105" s="593"/>
      <c r="D105" s="593"/>
      <c r="E105" s="593"/>
      <c r="F105" s="593"/>
      <c r="G105" s="593"/>
      <c r="H105" s="477">
        <v>0</v>
      </c>
      <c r="I105" s="467"/>
      <c r="J105" s="467"/>
      <c r="K105" s="1624">
        <f>H105</f>
        <v>0</v>
      </c>
      <c r="L105" s="477">
        <v>0</v>
      </c>
      <c r="M105" s="210"/>
      <c r="N105" s="210"/>
    </row>
    <row r="106" spans="1:14" s="574" customFormat="1" x14ac:dyDescent="0.2">
      <c r="A106" s="1457" t="s">
        <v>88</v>
      </c>
      <c r="B106" s="591">
        <v>5120</v>
      </c>
      <c r="C106" s="593"/>
      <c r="D106" s="593"/>
      <c r="E106" s="593"/>
      <c r="F106" s="593"/>
      <c r="G106" s="593"/>
      <c r="H106" s="1946">
        <v>0</v>
      </c>
      <c r="I106" s="467"/>
      <c r="J106" s="467"/>
      <c r="K106" s="1624">
        <f>H106</f>
        <v>0</v>
      </c>
      <c r="L106" s="1968">
        <v>0</v>
      </c>
      <c r="M106" s="210"/>
      <c r="N106" s="210"/>
    </row>
    <row r="107" spans="1:14" s="574" customFormat="1" ht="12.75" customHeight="1" x14ac:dyDescent="0.2">
      <c r="A107" s="1457" t="s">
        <v>1169</v>
      </c>
      <c r="B107" s="591">
        <v>5130</v>
      </c>
      <c r="C107" s="593"/>
      <c r="D107" s="593"/>
      <c r="E107" s="593"/>
      <c r="F107" s="593"/>
      <c r="G107" s="593"/>
      <c r="H107" s="1946">
        <v>0</v>
      </c>
      <c r="I107" s="467"/>
      <c r="J107" s="467"/>
      <c r="K107" s="1624">
        <f>H107</f>
        <v>0</v>
      </c>
      <c r="L107" s="1968">
        <v>0</v>
      </c>
      <c r="M107" s="210"/>
      <c r="N107" s="210"/>
    </row>
    <row r="108" spans="1:14" s="574" customFormat="1" x14ac:dyDescent="0.2">
      <c r="A108" s="1457" t="s">
        <v>89</v>
      </c>
      <c r="B108" s="591" t="s">
        <v>588</v>
      </c>
      <c r="C108" s="593"/>
      <c r="D108" s="593"/>
      <c r="E108" s="593"/>
      <c r="F108" s="593"/>
      <c r="G108" s="593"/>
      <c r="H108" s="1946">
        <v>0</v>
      </c>
      <c r="I108" s="467"/>
      <c r="J108" s="467"/>
      <c r="K108" s="1624">
        <f>H108</f>
        <v>0</v>
      </c>
      <c r="L108" s="1968">
        <v>0</v>
      </c>
      <c r="M108" s="210"/>
      <c r="N108" s="210"/>
    </row>
    <row r="109" spans="1:14" s="574" customFormat="1" x14ac:dyDescent="0.2">
      <c r="A109" s="1457" t="s">
        <v>254</v>
      </c>
      <c r="B109" s="605">
        <v>5150</v>
      </c>
      <c r="C109" s="593"/>
      <c r="D109" s="593"/>
      <c r="E109" s="593"/>
      <c r="F109" s="593"/>
      <c r="G109" s="593"/>
      <c r="H109" s="1946">
        <v>0</v>
      </c>
      <c r="I109" s="467"/>
      <c r="J109" s="467"/>
      <c r="K109" s="1624">
        <f>H109</f>
        <v>0</v>
      </c>
      <c r="L109" s="1968">
        <v>0</v>
      </c>
      <c r="M109" s="210"/>
      <c r="N109" s="210"/>
    </row>
    <row r="110" spans="1:14" s="574" customFormat="1" ht="12.75" customHeight="1" thickBot="1" x14ac:dyDescent="0.25">
      <c r="A110" s="1621" t="s">
        <v>1101</v>
      </c>
      <c r="B110" s="1628" t="s">
        <v>717</v>
      </c>
      <c r="C110" s="593"/>
      <c r="D110" s="593"/>
      <c r="E110" s="593"/>
      <c r="F110" s="593"/>
      <c r="G110" s="593"/>
      <c r="H110" s="1623">
        <f>SUM(H105:H109)</f>
        <v>0</v>
      </c>
      <c r="I110" s="467"/>
      <c r="J110" s="467"/>
      <c r="K110" s="1623">
        <f>SUM(K105:K109)</f>
        <v>0</v>
      </c>
      <c r="L110" s="1623">
        <f>SUM(L105:L109)</f>
        <v>0</v>
      </c>
      <c r="M110" s="210"/>
      <c r="N110" s="210"/>
    </row>
    <row r="111" spans="1:14" s="574" customFormat="1" ht="12.75" customHeight="1" thickTop="1" thickBot="1" x14ac:dyDescent="0.25">
      <c r="A111" s="1467" t="s">
        <v>367</v>
      </c>
      <c r="B111" s="623" t="s">
        <v>38</v>
      </c>
      <c r="C111" s="593"/>
      <c r="D111" s="593"/>
      <c r="E111" s="593"/>
      <c r="F111" s="593"/>
      <c r="G111" s="593"/>
      <c r="H111" s="1956">
        <v>0</v>
      </c>
      <c r="I111" s="467"/>
      <c r="J111" s="467"/>
      <c r="K111" s="1636">
        <f>H111</f>
        <v>0</v>
      </c>
      <c r="L111" s="1978">
        <v>0</v>
      </c>
      <c r="M111" s="210"/>
      <c r="N111" s="210"/>
    </row>
    <row r="112" spans="1:14" s="574" customFormat="1" ht="12.75" customHeight="1" thickTop="1" thickBot="1" x14ac:dyDescent="0.25">
      <c r="A112" s="1621" t="s">
        <v>637</v>
      </c>
      <c r="B112" s="1622" t="s">
        <v>491</v>
      </c>
      <c r="C112" s="593"/>
      <c r="D112" s="593"/>
      <c r="E112" s="593"/>
      <c r="F112" s="593"/>
      <c r="G112" s="593"/>
      <c r="H112" s="1623">
        <f>SUM(H110:H111)</f>
        <v>0</v>
      </c>
      <c r="I112" s="467"/>
      <c r="J112" s="467"/>
      <c r="K112" s="1623">
        <f>SUM(K110:K111)</f>
        <v>0</v>
      </c>
      <c r="L112" s="1630">
        <f>SUM(L110,L111)</f>
        <v>0</v>
      </c>
      <c r="M112" s="210"/>
      <c r="N112" s="210"/>
    </row>
    <row r="113" spans="1:14" s="259" customFormat="1" ht="15.75" customHeight="1" thickTop="1" thickBot="1" x14ac:dyDescent="0.25">
      <c r="A113" s="1559" t="s">
        <v>513</v>
      </c>
      <c r="B113" s="1566" t="s">
        <v>860</v>
      </c>
      <c r="C113" s="600"/>
      <c r="D113" s="600"/>
      <c r="E113" s="593"/>
      <c r="F113" s="593"/>
      <c r="G113" s="593"/>
      <c r="H113" s="600"/>
      <c r="I113" s="467"/>
      <c r="J113" s="467"/>
      <c r="K113" s="600"/>
      <c r="L113" s="1977">
        <v>0</v>
      </c>
      <c r="M113" s="590"/>
      <c r="N113" s="590"/>
    </row>
    <row r="114" spans="1:14" ht="12.75" customHeight="1" thickTop="1" thickBot="1" x14ac:dyDescent="0.25">
      <c r="A114" s="1621" t="s">
        <v>48</v>
      </c>
      <c r="B114" s="1635"/>
      <c r="C114" s="1623">
        <f>SUM(C33,C74,C75,C102,C112,C113)</f>
        <v>30681465</v>
      </c>
      <c r="D114" s="1623">
        <f t="shared" ref="D114:K114" si="13">SUM(D33,D74,D75,D102,D112,D113)</f>
        <v>5662202</v>
      </c>
      <c r="E114" s="1623">
        <f t="shared" si="13"/>
        <v>1579562</v>
      </c>
      <c r="F114" s="1623">
        <f t="shared" si="13"/>
        <v>1728364</v>
      </c>
      <c r="G114" s="1623">
        <f t="shared" si="13"/>
        <v>0</v>
      </c>
      <c r="H114" s="1623">
        <f>SUM(H33,H74,H75,H102,H112,H113)</f>
        <v>2789837</v>
      </c>
      <c r="I114" s="1623">
        <f t="shared" si="13"/>
        <v>74893</v>
      </c>
      <c r="J114" s="1623">
        <f t="shared" si="13"/>
        <v>0</v>
      </c>
      <c r="K114" s="1623">
        <f t="shared" si="13"/>
        <v>42516323</v>
      </c>
      <c r="L114" s="1623">
        <f>SUM(L33,L74,L75,L102,L112,L113)</f>
        <v>45495132</v>
      </c>
    </row>
    <row r="115" spans="1:14" ht="13.5" thickTop="1" x14ac:dyDescent="0.2">
      <c r="A115" s="2298" t="s">
        <v>995</v>
      </c>
      <c r="B115" s="2299"/>
      <c r="C115" s="595"/>
      <c r="D115" s="595"/>
      <c r="E115" s="595"/>
      <c r="F115" s="595"/>
      <c r="G115" s="595"/>
      <c r="H115" s="595"/>
      <c r="I115" s="595"/>
      <c r="J115" s="595"/>
      <c r="K115" s="1637">
        <f>'Revenues 9-14'!C268-'Expenditures 15-22'!K114</f>
        <v>95504</v>
      </c>
      <c r="L115" s="595"/>
    </row>
    <row r="116" spans="1:14" s="180" customFormat="1" ht="9" customHeight="1" x14ac:dyDescent="0.2">
      <c r="A116" s="624"/>
      <c r="B116" s="625"/>
      <c r="C116" s="626"/>
      <c r="D116" s="626"/>
      <c r="E116" s="626"/>
      <c r="F116" s="626"/>
      <c r="G116" s="626"/>
      <c r="H116" s="626"/>
      <c r="I116" s="626"/>
      <c r="J116" s="626"/>
      <c r="K116" s="626"/>
      <c r="L116" s="626"/>
      <c r="M116" s="210"/>
      <c r="N116" s="210"/>
    </row>
    <row r="117" spans="1:14" s="627" customFormat="1" ht="16.7" customHeight="1" x14ac:dyDescent="0.2">
      <c r="A117" s="2276" t="s">
        <v>295</v>
      </c>
      <c r="B117" s="2277"/>
      <c r="C117" s="1579"/>
      <c r="D117" s="1580"/>
      <c r="E117" s="1580"/>
      <c r="F117" s="1580"/>
      <c r="G117" s="1580"/>
      <c r="H117" s="1580"/>
      <c r="I117" s="1580"/>
      <c r="J117" s="1580"/>
      <c r="K117" s="1580"/>
      <c r="L117" s="1581"/>
      <c r="M117" s="175"/>
      <c r="N117" s="175"/>
    </row>
    <row r="118" spans="1:14" ht="15.75" customHeight="1" x14ac:dyDescent="0.2">
      <c r="A118" s="1567" t="s">
        <v>1034</v>
      </c>
      <c r="B118" s="1568" t="s">
        <v>568</v>
      </c>
      <c r="C118" s="593"/>
      <c r="D118" s="593"/>
      <c r="E118" s="593"/>
      <c r="F118" s="593"/>
      <c r="G118" s="593"/>
      <c r="H118" s="593"/>
      <c r="I118" s="593"/>
      <c r="J118" s="593"/>
      <c r="K118" s="593"/>
      <c r="L118" s="593"/>
    </row>
    <row r="119" spans="1:14" ht="15.75" customHeight="1" x14ac:dyDescent="0.2">
      <c r="A119" s="628" t="s">
        <v>590</v>
      </c>
      <c r="B119" s="599"/>
      <c r="C119" s="600"/>
      <c r="D119" s="600"/>
      <c r="E119" s="600"/>
      <c r="F119" s="593"/>
      <c r="G119" s="593"/>
      <c r="H119" s="600"/>
      <c r="I119" s="593"/>
      <c r="J119" s="593"/>
      <c r="K119" s="600"/>
      <c r="L119" s="600"/>
    </row>
    <row r="120" spans="1:14" ht="12.75" customHeight="1" x14ac:dyDescent="0.2">
      <c r="A120" s="1461" t="s">
        <v>2034</v>
      </c>
      <c r="B120" s="605" t="s">
        <v>715</v>
      </c>
      <c r="C120" s="465">
        <v>0</v>
      </c>
      <c r="D120" s="465">
        <v>0</v>
      </c>
      <c r="E120" s="1968">
        <v>0</v>
      </c>
      <c r="F120" s="1968">
        <v>0</v>
      </c>
      <c r="G120" s="1968">
        <v>0</v>
      </c>
      <c r="H120" s="1968">
        <v>0</v>
      </c>
      <c r="I120" s="1968">
        <v>0</v>
      </c>
      <c r="J120" s="1968">
        <v>0</v>
      </c>
      <c r="K120" s="1624">
        <f>SUM(C120:J120)</f>
        <v>0</v>
      </c>
      <c r="L120" s="1968">
        <v>0</v>
      </c>
    </row>
    <row r="121" spans="1:14" ht="15.75" customHeight="1" x14ac:dyDescent="0.2">
      <c r="A121" s="629" t="s">
        <v>611</v>
      </c>
      <c r="B121" s="599"/>
      <c r="C121" s="514"/>
      <c r="D121" s="514"/>
      <c r="E121" s="514"/>
      <c r="F121" s="514"/>
      <c r="G121" s="514"/>
      <c r="H121" s="514"/>
      <c r="I121" s="593"/>
      <c r="J121" s="593"/>
      <c r="K121" s="600"/>
      <c r="L121" s="514"/>
    </row>
    <row r="122" spans="1:14" ht="13.5" thickBot="1" x14ac:dyDescent="0.25">
      <c r="A122" s="1457" t="s">
        <v>1067</v>
      </c>
      <c r="B122" s="591">
        <v>2510</v>
      </c>
      <c r="C122" s="1946">
        <v>2291</v>
      </c>
      <c r="D122" s="1946">
        <v>471</v>
      </c>
      <c r="E122" s="1946">
        <v>0</v>
      </c>
      <c r="F122" s="1946">
        <v>0</v>
      </c>
      <c r="G122" s="1946">
        <v>0</v>
      </c>
      <c r="H122" s="1946">
        <v>0</v>
      </c>
      <c r="I122" s="1947">
        <v>0</v>
      </c>
      <c r="J122" s="1947">
        <v>0</v>
      </c>
      <c r="K122" s="1623">
        <f>SUM(C122:J122)</f>
        <v>2762</v>
      </c>
      <c r="L122" s="1968">
        <v>37800</v>
      </c>
    </row>
    <row r="123" spans="1:14" ht="14.25" thickTop="1" thickBot="1" x14ac:dyDescent="0.25">
      <c r="A123" s="1457" t="s">
        <v>4</v>
      </c>
      <c r="B123" s="591">
        <v>2530</v>
      </c>
      <c r="C123" s="1946">
        <v>0</v>
      </c>
      <c r="D123" s="1946">
        <v>0</v>
      </c>
      <c r="E123" s="1946">
        <v>0</v>
      </c>
      <c r="F123" s="1946">
        <v>0</v>
      </c>
      <c r="G123" s="1946">
        <v>0</v>
      </c>
      <c r="H123" s="1946">
        <v>0</v>
      </c>
      <c r="I123" s="1947">
        <v>0</v>
      </c>
      <c r="J123" s="1947">
        <v>0</v>
      </c>
      <c r="K123" s="1623">
        <f>SUM(C123:J123)</f>
        <v>0</v>
      </c>
      <c r="L123" s="1968">
        <v>0</v>
      </c>
    </row>
    <row r="124" spans="1:14" ht="14.25" thickTop="1" thickBot="1" x14ac:dyDescent="0.25">
      <c r="A124" s="1457" t="s">
        <v>197</v>
      </c>
      <c r="B124" s="591">
        <v>2540</v>
      </c>
      <c r="C124" s="1946">
        <v>917063</v>
      </c>
      <c r="D124" s="1946">
        <v>163722</v>
      </c>
      <c r="E124" s="1946">
        <v>1098344</v>
      </c>
      <c r="F124" s="1946">
        <v>1150381</v>
      </c>
      <c r="G124" s="1946">
        <v>67095</v>
      </c>
      <c r="H124" s="1946">
        <v>880</v>
      </c>
      <c r="I124" s="1947">
        <v>288645</v>
      </c>
      <c r="J124" s="1947">
        <v>0</v>
      </c>
      <c r="K124" s="1623">
        <f>SUM(C124:J124)</f>
        <v>3686130</v>
      </c>
      <c r="L124" s="1968">
        <v>3553291</v>
      </c>
    </row>
    <row r="125" spans="1:14" ht="14.25" thickTop="1" thickBot="1" x14ac:dyDescent="0.25">
      <c r="A125" s="1457" t="s">
        <v>952</v>
      </c>
      <c r="B125" s="591">
        <v>2550</v>
      </c>
      <c r="C125" s="1946">
        <v>0</v>
      </c>
      <c r="D125" s="1946">
        <v>0</v>
      </c>
      <c r="E125" s="1946">
        <v>0</v>
      </c>
      <c r="F125" s="1946">
        <v>0</v>
      </c>
      <c r="G125" s="1946">
        <v>0</v>
      </c>
      <c r="H125" s="1946">
        <v>0</v>
      </c>
      <c r="I125" s="1947">
        <v>0</v>
      </c>
      <c r="J125" s="1947">
        <v>0</v>
      </c>
      <c r="K125" s="1623">
        <f>SUM(C125:J125)</f>
        <v>0</v>
      </c>
      <c r="L125" s="1968">
        <v>0</v>
      </c>
    </row>
    <row r="126" spans="1:14" ht="14.25" thickTop="1" thickBot="1" x14ac:dyDescent="0.25">
      <c r="A126" s="1457" t="s">
        <v>100</v>
      </c>
      <c r="B126" s="591">
        <v>2560</v>
      </c>
      <c r="C126" s="630"/>
      <c r="D126" s="630"/>
      <c r="E126" s="630"/>
      <c r="F126" s="630"/>
      <c r="G126" s="1946">
        <v>0</v>
      </c>
      <c r="H126" s="630"/>
      <c r="I126" s="1949">
        <v>0</v>
      </c>
      <c r="J126" s="593"/>
      <c r="K126" s="1623">
        <f>SUM(C126:J126)</f>
        <v>0</v>
      </c>
      <c r="L126" s="1968">
        <v>0</v>
      </c>
    </row>
    <row r="127" spans="1:14" ht="12.75" customHeight="1" thickTop="1" thickBot="1" x14ac:dyDescent="0.25">
      <c r="A127" s="1621" t="s">
        <v>718</v>
      </c>
      <c r="B127" s="1622" t="s">
        <v>35</v>
      </c>
      <c r="C127" s="1623">
        <f>SUM(C122:C126)</f>
        <v>919354</v>
      </c>
      <c r="D127" s="1623">
        <f t="shared" ref="D127:L127" si="14">SUM(D122:D126)</f>
        <v>164193</v>
      </c>
      <c r="E127" s="1623">
        <f t="shared" si="14"/>
        <v>1098344</v>
      </c>
      <c r="F127" s="1623">
        <f t="shared" si="14"/>
        <v>1150381</v>
      </c>
      <c r="G127" s="1623">
        <f t="shared" si="14"/>
        <v>67095</v>
      </c>
      <c r="H127" s="1623">
        <f t="shared" si="14"/>
        <v>880</v>
      </c>
      <c r="I127" s="1623">
        <f t="shared" si="14"/>
        <v>288645</v>
      </c>
      <c r="J127" s="1623">
        <f t="shared" si="14"/>
        <v>0</v>
      </c>
      <c r="K127" s="1623">
        <f t="shared" si="14"/>
        <v>3688892</v>
      </c>
      <c r="L127" s="1623">
        <f t="shared" si="14"/>
        <v>3591091</v>
      </c>
    </row>
    <row r="128" spans="1:14" ht="12.75" customHeight="1" thickTop="1" x14ac:dyDescent="0.2">
      <c r="A128" s="1464" t="s">
        <v>979</v>
      </c>
      <c r="B128" s="631" t="s">
        <v>573</v>
      </c>
      <c r="C128" s="1962">
        <v>0</v>
      </c>
      <c r="D128" s="1962">
        <v>0</v>
      </c>
      <c r="E128" s="1962">
        <v>0</v>
      </c>
      <c r="F128" s="1962">
        <v>0</v>
      </c>
      <c r="G128" s="1962">
        <v>0</v>
      </c>
      <c r="H128" s="1962">
        <v>0</v>
      </c>
      <c r="I128" s="1956">
        <v>0</v>
      </c>
      <c r="J128" s="1956">
        <v>0</v>
      </c>
      <c r="K128" s="1638">
        <f>SUM(C128:J128)</f>
        <v>0</v>
      </c>
      <c r="L128" s="1983">
        <v>0</v>
      </c>
    </row>
    <row r="129" spans="1:14" ht="12.75" customHeight="1" thickBot="1" x14ac:dyDescent="0.25">
      <c r="A129" s="1639" t="s">
        <v>810</v>
      </c>
      <c r="B129" s="1640" t="s">
        <v>568</v>
      </c>
      <c r="C129" s="1630">
        <f>SUM(C120,C127,C128)</f>
        <v>919354</v>
      </c>
      <c r="D129" s="1630">
        <f t="shared" ref="D129:L129" si="15">SUM(D120,D127,D128)</f>
        <v>164193</v>
      </c>
      <c r="E129" s="1630">
        <f t="shared" si="15"/>
        <v>1098344</v>
      </c>
      <c r="F129" s="1630">
        <f t="shared" si="15"/>
        <v>1150381</v>
      </c>
      <c r="G129" s="1630">
        <f t="shared" si="15"/>
        <v>67095</v>
      </c>
      <c r="H129" s="1630">
        <f t="shared" si="15"/>
        <v>880</v>
      </c>
      <c r="I129" s="1630">
        <f t="shared" si="15"/>
        <v>288645</v>
      </c>
      <c r="J129" s="1630">
        <f t="shared" si="15"/>
        <v>0</v>
      </c>
      <c r="K129" s="1630">
        <f t="shared" si="15"/>
        <v>3688892</v>
      </c>
      <c r="L129" s="1630">
        <f t="shared" si="15"/>
        <v>3591091</v>
      </c>
    </row>
    <row r="130" spans="1:14" ht="15.75" customHeight="1" thickTop="1" thickBot="1" x14ac:dyDescent="0.25">
      <c r="A130" s="1563" t="s">
        <v>1035</v>
      </c>
      <c r="B130" s="1564" t="s">
        <v>574</v>
      </c>
      <c r="C130" s="1959">
        <v>0</v>
      </c>
      <c r="D130" s="1959">
        <v>0</v>
      </c>
      <c r="E130" s="1959">
        <v>0</v>
      </c>
      <c r="F130" s="1959">
        <v>0</v>
      </c>
      <c r="G130" s="1959">
        <v>0</v>
      </c>
      <c r="H130" s="1959">
        <v>0</v>
      </c>
      <c r="I130" s="1954">
        <v>0</v>
      </c>
      <c r="J130" s="1954">
        <v>0</v>
      </c>
      <c r="K130" s="1623">
        <f>SUM(C130:J130)</f>
        <v>0</v>
      </c>
      <c r="L130" s="1981">
        <v>0</v>
      </c>
    </row>
    <row r="131" spans="1:14" ht="15.75" customHeight="1" thickTop="1" x14ac:dyDescent="0.2">
      <c r="A131" s="1569" t="s">
        <v>615</v>
      </c>
      <c r="B131" s="1562" t="s">
        <v>859</v>
      </c>
      <c r="C131" s="467"/>
      <c r="D131" s="467"/>
      <c r="E131" s="554"/>
      <c r="F131" s="467"/>
      <c r="G131" s="467"/>
      <c r="H131" s="554"/>
      <c r="I131" s="467"/>
      <c r="J131" s="467"/>
      <c r="K131" s="554"/>
      <c r="L131" s="554"/>
    </row>
    <row r="132" spans="1:14" s="384" customFormat="1" ht="13.5" customHeight="1" x14ac:dyDescent="0.2">
      <c r="A132" s="632" t="s">
        <v>613</v>
      </c>
      <c r="B132" s="633"/>
      <c r="C132" s="467"/>
      <c r="D132" s="467"/>
      <c r="E132" s="514"/>
      <c r="F132" s="467"/>
      <c r="G132" s="467"/>
      <c r="H132" s="514"/>
      <c r="I132" s="467"/>
      <c r="J132" s="467"/>
      <c r="K132" s="514"/>
      <c r="L132" s="514"/>
      <c r="M132" s="206"/>
      <c r="N132" s="206"/>
    </row>
    <row r="133" spans="1:14" s="384" customFormat="1" ht="13.5" customHeight="1" x14ac:dyDescent="0.2">
      <c r="A133" s="1443" t="s">
        <v>495</v>
      </c>
      <c r="B133" s="1794" t="s">
        <v>1819</v>
      </c>
      <c r="C133" s="467"/>
      <c r="D133" s="467"/>
      <c r="E133" s="1950">
        <v>0</v>
      </c>
      <c r="F133" s="467"/>
      <c r="G133" s="467"/>
      <c r="H133" s="1950">
        <v>0</v>
      </c>
      <c r="I133" s="467"/>
      <c r="J133" s="467"/>
      <c r="K133" s="1774">
        <f>SUM(E133,H133)</f>
        <v>0</v>
      </c>
      <c r="L133" s="1972">
        <v>0</v>
      </c>
      <c r="M133" s="206"/>
      <c r="N133" s="206"/>
    </row>
    <row r="134" spans="1:14" x14ac:dyDescent="0.2">
      <c r="A134" s="1457" t="s">
        <v>303</v>
      </c>
      <c r="B134" s="591">
        <v>4120</v>
      </c>
      <c r="C134" s="593"/>
      <c r="D134" s="593"/>
      <c r="E134" s="474">
        <v>0</v>
      </c>
      <c r="F134" s="593"/>
      <c r="G134" s="593"/>
      <c r="H134" s="477">
        <v>0</v>
      </c>
      <c r="I134" s="473"/>
      <c r="J134" s="593"/>
      <c r="K134" s="1625">
        <f>SUM(E134,H134)</f>
        <v>0</v>
      </c>
      <c r="L134" s="477">
        <v>0</v>
      </c>
    </row>
    <row r="135" spans="1:14" x14ac:dyDescent="0.2">
      <c r="A135" s="1457" t="s">
        <v>696</v>
      </c>
      <c r="B135" s="591">
        <v>4140</v>
      </c>
      <c r="C135" s="593"/>
      <c r="D135" s="593"/>
      <c r="E135" s="1947">
        <v>0</v>
      </c>
      <c r="F135" s="593"/>
      <c r="G135" s="593"/>
      <c r="H135" s="1946">
        <v>0</v>
      </c>
      <c r="I135" s="473"/>
      <c r="J135" s="593"/>
      <c r="K135" s="1625">
        <f>SUM(E135,H135)</f>
        <v>0</v>
      </c>
      <c r="L135" s="1968">
        <v>0</v>
      </c>
    </row>
    <row r="136" spans="1:14" x14ac:dyDescent="0.2">
      <c r="A136" s="1461" t="s">
        <v>697</v>
      </c>
      <c r="B136" s="605">
        <v>4190</v>
      </c>
      <c r="C136" s="593"/>
      <c r="D136" s="593"/>
      <c r="E136" s="1947">
        <v>0</v>
      </c>
      <c r="F136" s="593"/>
      <c r="G136" s="593"/>
      <c r="H136" s="1946">
        <v>0</v>
      </c>
      <c r="I136" s="473"/>
      <c r="J136" s="593"/>
      <c r="K136" s="1625">
        <f>SUM(E136,H136)</f>
        <v>0</v>
      </c>
      <c r="L136" s="1968">
        <v>0</v>
      </c>
    </row>
    <row r="137" spans="1:14" ht="12.75" customHeight="1" thickBot="1" x14ac:dyDescent="0.25">
      <c r="A137" s="1621" t="s">
        <v>479</v>
      </c>
      <c r="B137" s="1631">
        <v>4100</v>
      </c>
      <c r="C137" s="593"/>
      <c r="D137" s="593"/>
      <c r="E137" s="1623">
        <f>SUM(E133:E136)</f>
        <v>0</v>
      </c>
      <c r="F137" s="593"/>
      <c r="G137" s="593"/>
      <c r="H137" s="1623">
        <f>SUM(H133:H136)</f>
        <v>0</v>
      </c>
      <c r="I137" s="473"/>
      <c r="J137" s="593"/>
      <c r="K137" s="1623">
        <f>SUM(K133:K136)</f>
        <v>0</v>
      </c>
      <c r="L137" s="1623">
        <f>SUM(L133:L136)</f>
        <v>0</v>
      </c>
    </row>
    <row r="138" spans="1:14" ht="12.75" customHeight="1" thickTop="1" thickBot="1" x14ac:dyDescent="0.25">
      <c r="A138" s="1463" t="s">
        <v>96</v>
      </c>
      <c r="B138" s="619" t="s">
        <v>930</v>
      </c>
      <c r="C138" s="593"/>
      <c r="D138" s="593"/>
      <c r="E138" s="475"/>
      <c r="F138" s="593"/>
      <c r="G138" s="593"/>
      <c r="H138" s="1959">
        <v>0</v>
      </c>
      <c r="I138" s="473"/>
      <c r="J138" s="593"/>
      <c r="K138" s="1625">
        <f>SUM(E138,H138)</f>
        <v>0</v>
      </c>
      <c r="L138" s="1981">
        <v>0</v>
      </c>
    </row>
    <row r="139" spans="1:14" ht="12.75" customHeight="1" thickTop="1" thickBot="1" x14ac:dyDescent="0.25">
      <c r="A139" s="1621" t="s">
        <v>1474</v>
      </c>
      <c r="B139" s="1631">
        <v>4000</v>
      </c>
      <c r="C139" s="593"/>
      <c r="D139" s="593"/>
      <c r="E139" s="1623">
        <f>SUM(E137,E138)</f>
        <v>0</v>
      </c>
      <c r="F139" s="593"/>
      <c r="G139" s="593"/>
      <c r="H139" s="1632">
        <f>SUM(H137:H138)</f>
        <v>0</v>
      </c>
      <c r="I139" s="473"/>
      <c r="J139" s="593"/>
      <c r="K139" s="1625">
        <f>SUM(K137,K138)</f>
        <v>0</v>
      </c>
      <c r="L139" s="1632">
        <f>SUM(L137,L138)</f>
        <v>0</v>
      </c>
    </row>
    <row r="140" spans="1:14" ht="15.75" customHeight="1" thickTop="1" x14ac:dyDescent="0.2">
      <c r="A140" s="1565" t="s">
        <v>1036</v>
      </c>
      <c r="B140" s="1566" t="s">
        <v>491</v>
      </c>
      <c r="C140" s="593"/>
      <c r="D140" s="593"/>
      <c r="E140" s="615"/>
      <c r="F140" s="615"/>
      <c r="G140" s="615"/>
      <c r="H140" s="613"/>
      <c r="I140" s="473"/>
      <c r="J140" s="615"/>
      <c r="K140" s="613"/>
      <c r="L140" s="613"/>
    </row>
    <row r="141" spans="1:14" ht="15.75" customHeight="1" x14ac:dyDescent="0.2">
      <c r="A141" s="629" t="s">
        <v>614</v>
      </c>
      <c r="B141" s="599"/>
      <c r="C141" s="593"/>
      <c r="D141" s="593"/>
      <c r="E141" s="593"/>
      <c r="F141" s="593"/>
      <c r="G141" s="593"/>
      <c r="H141" s="600"/>
      <c r="I141" s="467"/>
      <c r="J141" s="593"/>
      <c r="K141" s="600"/>
      <c r="L141" s="600"/>
    </row>
    <row r="142" spans="1:14" x14ac:dyDescent="0.2">
      <c r="A142" s="1457" t="s">
        <v>87</v>
      </c>
      <c r="B142" s="591">
        <v>5110</v>
      </c>
      <c r="C142" s="593"/>
      <c r="D142" s="593"/>
      <c r="E142" s="593"/>
      <c r="F142" s="593"/>
      <c r="G142" s="593"/>
      <c r="H142" s="477">
        <v>0</v>
      </c>
      <c r="I142" s="467"/>
      <c r="J142" s="593"/>
      <c r="K142" s="1625">
        <f>SUM(H142)</f>
        <v>0</v>
      </c>
      <c r="L142" s="477">
        <v>0</v>
      </c>
    </row>
    <row r="143" spans="1:14" x14ac:dyDescent="0.2">
      <c r="A143" s="1457" t="s">
        <v>88</v>
      </c>
      <c r="B143" s="591">
        <v>5120</v>
      </c>
      <c r="C143" s="593"/>
      <c r="D143" s="593"/>
      <c r="E143" s="593"/>
      <c r="F143" s="593"/>
      <c r="G143" s="593"/>
      <c r="H143" s="1946">
        <v>0</v>
      </c>
      <c r="I143" s="467"/>
      <c r="J143" s="593"/>
      <c r="K143" s="1625">
        <f>SUM(H143)</f>
        <v>0</v>
      </c>
      <c r="L143" s="1968">
        <v>0</v>
      </c>
    </row>
    <row r="144" spans="1:14" ht="12.75" customHeight="1" x14ac:dyDescent="0.2">
      <c r="A144" s="1457" t="s">
        <v>1169</v>
      </c>
      <c r="B144" s="605" t="s">
        <v>616</v>
      </c>
      <c r="C144" s="593"/>
      <c r="D144" s="593"/>
      <c r="E144" s="593"/>
      <c r="F144" s="593"/>
      <c r="G144" s="593"/>
      <c r="H144" s="1946">
        <v>0</v>
      </c>
      <c r="I144" s="467"/>
      <c r="J144" s="593"/>
      <c r="K144" s="1625">
        <f>SUM(H144)</f>
        <v>0</v>
      </c>
      <c r="L144" s="1968">
        <v>0</v>
      </c>
    </row>
    <row r="145" spans="1:14" x14ac:dyDescent="0.2">
      <c r="A145" s="1457" t="s">
        <v>89</v>
      </c>
      <c r="B145" s="591" t="s">
        <v>588</v>
      </c>
      <c r="C145" s="593"/>
      <c r="D145" s="593"/>
      <c r="E145" s="593"/>
      <c r="F145" s="593"/>
      <c r="G145" s="593"/>
      <c r="H145" s="1946">
        <v>0</v>
      </c>
      <c r="I145" s="467"/>
      <c r="J145" s="593"/>
      <c r="K145" s="1625">
        <f>SUM(H145)</f>
        <v>0</v>
      </c>
      <c r="L145" s="1968">
        <v>0</v>
      </c>
    </row>
    <row r="146" spans="1:14" ht="12.75" customHeight="1" x14ac:dyDescent="0.2">
      <c r="A146" s="1457" t="s">
        <v>618</v>
      </c>
      <c r="B146" s="591" t="s">
        <v>617</v>
      </c>
      <c r="C146" s="593"/>
      <c r="D146" s="593"/>
      <c r="E146" s="593"/>
      <c r="F146" s="593"/>
      <c r="G146" s="593"/>
      <c r="H146" s="1946">
        <v>0</v>
      </c>
      <c r="I146" s="467"/>
      <c r="J146" s="593"/>
      <c r="K146" s="1625">
        <f>SUM(H146)</f>
        <v>0</v>
      </c>
      <c r="L146" s="1968">
        <v>0</v>
      </c>
    </row>
    <row r="147" spans="1:14" ht="12.75" customHeight="1" thickBot="1" x14ac:dyDescent="0.25">
      <c r="A147" s="1468" t="s">
        <v>625</v>
      </c>
      <c r="B147" s="634" t="s">
        <v>717</v>
      </c>
      <c r="C147" s="593"/>
      <c r="D147" s="593"/>
      <c r="E147" s="593"/>
      <c r="F147" s="593"/>
      <c r="G147" s="593"/>
      <c r="H147" s="1641">
        <f>SUM(H142:H146)</f>
        <v>0</v>
      </c>
      <c r="I147" s="467"/>
      <c r="J147" s="593"/>
      <c r="K147" s="1623">
        <f>SUM(K142:K146)</f>
        <v>0</v>
      </c>
      <c r="L147" s="1641">
        <f>SUM(L142:L146)</f>
        <v>0</v>
      </c>
    </row>
    <row r="148" spans="1:14" ht="15.75" customHeight="1" thickTop="1" x14ac:dyDescent="0.2">
      <c r="A148" s="635" t="s">
        <v>1102</v>
      </c>
      <c r="B148" s="636" t="s">
        <v>38</v>
      </c>
      <c r="C148" s="593"/>
      <c r="D148" s="593"/>
      <c r="E148" s="593"/>
      <c r="F148" s="593"/>
      <c r="G148" s="593"/>
      <c r="H148" s="1951">
        <v>0</v>
      </c>
      <c r="I148" s="467"/>
      <c r="J148" s="593"/>
      <c r="K148" s="1625">
        <f>SUM(H148)</f>
        <v>0</v>
      </c>
      <c r="L148" s="1975">
        <v>0</v>
      </c>
    </row>
    <row r="149" spans="1:14" ht="12.75" customHeight="1" thickBot="1" x14ac:dyDescent="0.25">
      <c r="A149" s="1460" t="s">
        <v>637</v>
      </c>
      <c r="B149" s="594" t="s">
        <v>491</v>
      </c>
      <c r="C149" s="593"/>
      <c r="D149" s="593"/>
      <c r="E149" s="593"/>
      <c r="F149" s="593"/>
      <c r="G149" s="593"/>
      <c r="H149" s="1623">
        <f>SUM(H147,H148)</f>
        <v>0</v>
      </c>
      <c r="I149" s="467"/>
      <c r="J149" s="593"/>
      <c r="K149" s="1623">
        <f>SUM(K147:K148)</f>
        <v>0</v>
      </c>
      <c r="L149" s="1623">
        <f>SUM(L142:L146,L148)</f>
        <v>0</v>
      </c>
    </row>
    <row r="150" spans="1:14" ht="15.75" customHeight="1" thickTop="1" thickBot="1" x14ac:dyDescent="0.25">
      <c r="A150" s="1559" t="s">
        <v>1037</v>
      </c>
      <c r="B150" s="1566" t="s">
        <v>860</v>
      </c>
      <c r="C150" s="593"/>
      <c r="D150" s="593"/>
      <c r="E150" s="593"/>
      <c r="F150" s="593"/>
      <c r="G150" s="593"/>
      <c r="H150" s="637"/>
      <c r="I150" s="514"/>
      <c r="J150" s="593"/>
      <c r="K150" s="600"/>
      <c r="L150" s="1980">
        <v>0</v>
      </c>
    </row>
    <row r="151" spans="1:14" ht="12.75" customHeight="1" thickTop="1" thickBot="1" x14ac:dyDescent="0.25">
      <c r="A151" s="2288" t="s">
        <v>619</v>
      </c>
      <c r="B151" s="2270"/>
      <c r="C151" s="1623">
        <f>SUM(C129,C130,C139,C149,C150)</f>
        <v>919354</v>
      </c>
      <c r="D151" s="1623">
        <f t="shared" ref="D151:K151" si="16">SUM(D129,D130,D139,D149,D150)</f>
        <v>164193</v>
      </c>
      <c r="E151" s="1623">
        <f t="shared" si="16"/>
        <v>1098344</v>
      </c>
      <c r="F151" s="1623">
        <f t="shared" si="16"/>
        <v>1150381</v>
      </c>
      <c r="G151" s="1623">
        <f t="shared" si="16"/>
        <v>67095</v>
      </c>
      <c r="H151" s="1623">
        <f t="shared" si="16"/>
        <v>880</v>
      </c>
      <c r="I151" s="1623">
        <f t="shared" si="16"/>
        <v>288645</v>
      </c>
      <c r="J151" s="1623">
        <f t="shared" si="16"/>
        <v>0</v>
      </c>
      <c r="K151" s="1623">
        <f t="shared" si="16"/>
        <v>3688892</v>
      </c>
      <c r="L151" s="1623">
        <f>SUM(L129,L130,L139,L149,L150)</f>
        <v>3591091</v>
      </c>
    </row>
    <row r="152" spans="1:14" ht="12.75" customHeight="1" thickTop="1" x14ac:dyDescent="0.2">
      <c r="A152" s="2291" t="s">
        <v>1177</v>
      </c>
      <c r="B152" s="2292"/>
      <c r="C152" s="595"/>
      <c r="D152" s="595"/>
      <c r="E152" s="595"/>
      <c r="F152" s="595"/>
      <c r="G152" s="595"/>
      <c r="H152" s="595"/>
      <c r="I152" s="595"/>
      <c r="J152" s="593"/>
      <c r="K152" s="1637">
        <f>'Revenues 9-14'!D268-'Expenditures 15-22'!K151</f>
        <v>536970</v>
      </c>
      <c r="L152" s="595"/>
    </row>
    <row r="153" spans="1:14" s="641" customFormat="1" ht="9" customHeight="1" x14ac:dyDescent="0.2">
      <c r="A153" s="638"/>
      <c r="B153" s="639"/>
      <c r="C153" s="626"/>
      <c r="D153" s="626"/>
      <c r="E153" s="626"/>
      <c r="F153" s="626"/>
      <c r="G153" s="626"/>
      <c r="H153" s="626"/>
      <c r="I153" s="626"/>
      <c r="J153" s="626"/>
      <c r="K153" s="626"/>
      <c r="L153" s="626"/>
      <c r="M153" s="640"/>
      <c r="N153" s="640"/>
    </row>
    <row r="154" spans="1:14" s="643" customFormat="1" ht="16.7" customHeight="1" x14ac:dyDescent="0.2">
      <c r="A154" s="2276" t="s">
        <v>620</v>
      </c>
      <c r="B154" s="2278"/>
      <c r="C154" s="1579"/>
      <c r="D154" s="1580"/>
      <c r="E154" s="1580"/>
      <c r="F154" s="1580"/>
      <c r="G154" s="1580"/>
      <c r="H154" s="1580"/>
      <c r="I154" s="1580"/>
      <c r="J154" s="1580"/>
      <c r="K154" s="1580"/>
      <c r="L154" s="1581"/>
      <c r="M154" s="642"/>
      <c r="N154" s="642"/>
    </row>
    <row r="155" spans="1:14" s="597" customFormat="1" ht="15.75" customHeight="1" thickBot="1" x14ac:dyDescent="0.25">
      <c r="A155" s="1570" t="s">
        <v>81</v>
      </c>
      <c r="B155" s="1571" t="s">
        <v>859</v>
      </c>
      <c r="C155" s="593"/>
      <c r="D155" s="593"/>
      <c r="E155" s="593"/>
      <c r="F155" s="593"/>
      <c r="G155" s="593"/>
      <c r="H155" s="1795"/>
      <c r="I155" s="593"/>
      <c r="J155" s="593"/>
      <c r="K155" s="1778"/>
      <c r="L155" s="1795"/>
      <c r="M155" s="596"/>
      <c r="N155" s="596"/>
    </row>
    <row r="156" spans="1:14" s="597" customFormat="1" ht="15.75" customHeight="1" thickTop="1" x14ac:dyDescent="0.2">
      <c r="A156" s="1775" t="s">
        <v>1820</v>
      </c>
      <c r="B156" s="1776"/>
      <c r="C156" s="593"/>
      <c r="D156" s="593"/>
      <c r="E156" s="593"/>
      <c r="F156" s="593"/>
      <c r="G156" s="593"/>
      <c r="H156" s="1796"/>
      <c r="I156" s="593"/>
      <c r="J156" s="593"/>
      <c r="K156" s="1777"/>
      <c r="L156" s="1796"/>
      <c r="M156" s="596"/>
      <c r="N156" s="596"/>
    </row>
    <row r="157" spans="1:14" s="597" customFormat="1" ht="12" x14ac:dyDescent="0.2">
      <c r="A157" s="1779" t="s">
        <v>495</v>
      </c>
      <c r="B157" s="1780" t="s">
        <v>1819</v>
      </c>
      <c r="C157" s="593"/>
      <c r="D157" s="593"/>
      <c r="E157" s="593"/>
      <c r="F157" s="593"/>
      <c r="G157" s="593"/>
      <c r="H157" s="1950">
        <v>0</v>
      </c>
      <c r="I157" s="593"/>
      <c r="J157" s="593"/>
      <c r="K157" s="1624">
        <f>H157</f>
        <v>0</v>
      </c>
      <c r="L157" s="1969">
        <v>0</v>
      </c>
      <c r="M157" s="596"/>
      <c r="N157" s="596"/>
    </row>
    <row r="158" spans="1:14" s="597" customFormat="1" ht="12" x14ac:dyDescent="0.2">
      <c r="A158" s="1779" t="s">
        <v>303</v>
      </c>
      <c r="B158" s="1780" t="s">
        <v>1821</v>
      </c>
      <c r="C158" s="593"/>
      <c r="D158" s="593"/>
      <c r="E158" s="593"/>
      <c r="F158" s="593"/>
      <c r="G158" s="593"/>
      <c r="H158" s="1947">
        <v>0</v>
      </c>
      <c r="I158" s="593"/>
      <c r="J158" s="593"/>
      <c r="K158" s="1624">
        <f>H158</f>
        <v>0</v>
      </c>
      <c r="L158" s="1969">
        <v>0</v>
      </c>
      <c r="M158" s="596"/>
      <c r="N158" s="596"/>
    </row>
    <row r="159" spans="1:14" s="597" customFormat="1" ht="12" x14ac:dyDescent="0.2">
      <c r="A159" s="1779" t="s">
        <v>1822</v>
      </c>
      <c r="B159" s="1780" t="s">
        <v>557</v>
      </c>
      <c r="C159" s="593"/>
      <c r="D159" s="593"/>
      <c r="E159" s="593"/>
      <c r="F159" s="593"/>
      <c r="G159" s="593"/>
      <c r="H159" s="1947">
        <v>0</v>
      </c>
      <c r="I159" s="593"/>
      <c r="J159" s="593"/>
      <c r="K159" s="1624">
        <f>H159</f>
        <v>0</v>
      </c>
      <c r="L159" s="1969">
        <v>0</v>
      </c>
      <c r="M159" s="596"/>
      <c r="N159" s="596"/>
    </row>
    <row r="160" spans="1:14" s="597" customFormat="1" ht="15.75" customHeight="1" thickBot="1" x14ac:dyDescent="0.25">
      <c r="A160" s="1781" t="s">
        <v>1823</v>
      </c>
      <c r="B160" s="1782" t="s">
        <v>859</v>
      </c>
      <c r="C160" s="593"/>
      <c r="D160" s="593"/>
      <c r="E160" s="593"/>
      <c r="F160" s="593"/>
      <c r="G160" s="593"/>
      <c r="H160" s="1641">
        <f>SUM(H157:H159)</f>
        <v>0</v>
      </c>
      <c r="I160" s="593"/>
      <c r="J160" s="593"/>
      <c r="K160" s="1623">
        <f>SUM(K157:K159)</f>
        <v>0</v>
      </c>
      <c r="L160" s="1641">
        <f>SUM(L157:L159)</f>
        <v>0</v>
      </c>
      <c r="M160" s="596"/>
      <c r="N160" s="596"/>
    </row>
    <row r="161" spans="1:14" s="259" customFormat="1" ht="15.75" customHeight="1" thickTop="1" x14ac:dyDescent="0.2">
      <c r="A161" s="1565" t="s">
        <v>82</v>
      </c>
      <c r="B161" s="1566" t="s">
        <v>491</v>
      </c>
      <c r="C161" s="593"/>
      <c r="D161" s="593"/>
      <c r="E161" s="593"/>
      <c r="F161" s="593"/>
      <c r="G161" s="593"/>
      <c r="H161" s="593"/>
      <c r="I161" s="593"/>
      <c r="J161" s="593"/>
      <c r="K161" s="593"/>
      <c r="L161" s="593"/>
      <c r="M161" s="590"/>
      <c r="N161" s="590"/>
    </row>
    <row r="162" spans="1:14" s="259" customFormat="1" ht="15.75" customHeight="1" x14ac:dyDescent="0.2">
      <c r="A162" s="629" t="s">
        <v>614</v>
      </c>
      <c r="B162" s="599"/>
      <c r="C162" s="593"/>
      <c r="D162" s="593"/>
      <c r="E162" s="593"/>
      <c r="F162" s="593"/>
      <c r="G162" s="593"/>
      <c r="H162" s="593"/>
      <c r="I162" s="593"/>
      <c r="J162" s="593"/>
      <c r="K162" s="600"/>
      <c r="L162" s="600"/>
      <c r="M162" s="590"/>
      <c r="N162" s="590"/>
    </row>
    <row r="163" spans="1:14" x14ac:dyDescent="0.2">
      <c r="A163" s="1457" t="s">
        <v>87</v>
      </c>
      <c r="B163" s="591">
        <v>5110</v>
      </c>
      <c r="C163" s="593"/>
      <c r="D163" s="593"/>
      <c r="E163" s="593"/>
      <c r="F163" s="593"/>
      <c r="G163" s="593"/>
      <c r="H163" s="1946">
        <v>0</v>
      </c>
      <c r="I163" s="593"/>
      <c r="J163" s="593"/>
      <c r="K163" s="1624">
        <f>SUM(C163:J163)</f>
        <v>0</v>
      </c>
      <c r="L163" s="1968">
        <v>0</v>
      </c>
    </row>
    <row r="164" spans="1:14" x14ac:dyDescent="0.2">
      <c r="A164" s="1457" t="s">
        <v>88</v>
      </c>
      <c r="B164" s="591">
        <v>5120</v>
      </c>
      <c r="C164" s="593"/>
      <c r="D164" s="593"/>
      <c r="E164" s="593"/>
      <c r="F164" s="593"/>
      <c r="G164" s="593"/>
      <c r="H164" s="1946">
        <v>0</v>
      </c>
      <c r="I164" s="593"/>
      <c r="J164" s="593"/>
      <c r="K164" s="1624">
        <f>SUM(C164:J164)</f>
        <v>0</v>
      </c>
      <c r="L164" s="1968">
        <v>0</v>
      </c>
    </row>
    <row r="165" spans="1:14" ht="12.75" customHeight="1" x14ac:dyDescent="0.2">
      <c r="A165" s="1457" t="s">
        <v>1169</v>
      </c>
      <c r="B165" s="591" t="s">
        <v>616</v>
      </c>
      <c r="C165" s="593"/>
      <c r="D165" s="593"/>
      <c r="E165" s="593"/>
      <c r="F165" s="593"/>
      <c r="G165" s="593"/>
      <c r="H165" s="1946">
        <v>0</v>
      </c>
      <c r="I165" s="593"/>
      <c r="J165" s="593"/>
      <c r="K165" s="1624">
        <f>SUM(C165:J165)</f>
        <v>0</v>
      </c>
      <c r="L165" s="1968">
        <v>0</v>
      </c>
    </row>
    <row r="166" spans="1:14" x14ac:dyDescent="0.2">
      <c r="A166" s="1457" t="s">
        <v>89</v>
      </c>
      <c r="B166" s="605" t="s">
        <v>588</v>
      </c>
      <c r="C166" s="593"/>
      <c r="D166" s="593"/>
      <c r="E166" s="593"/>
      <c r="F166" s="593"/>
      <c r="G166" s="593"/>
      <c r="H166" s="1946">
        <v>0</v>
      </c>
      <c r="I166" s="593"/>
      <c r="J166" s="593"/>
      <c r="K166" s="1624">
        <f>SUM(C166:J166)</f>
        <v>0</v>
      </c>
      <c r="L166" s="1968">
        <v>0</v>
      </c>
    </row>
    <row r="167" spans="1:14" ht="12.75" customHeight="1" x14ac:dyDescent="0.2">
      <c r="A167" s="1457" t="s">
        <v>618</v>
      </c>
      <c r="B167" s="591" t="s">
        <v>617</v>
      </c>
      <c r="C167" s="593"/>
      <c r="D167" s="593"/>
      <c r="E167" s="593"/>
      <c r="F167" s="593"/>
      <c r="G167" s="593"/>
      <c r="H167" s="1946">
        <v>0</v>
      </c>
      <c r="I167" s="593"/>
      <c r="J167" s="593"/>
      <c r="K167" s="1624">
        <f>SUM(C167:J167)</f>
        <v>0</v>
      </c>
      <c r="L167" s="1968">
        <v>0</v>
      </c>
    </row>
    <row r="168" spans="1:14" ht="13.5" thickBot="1" x14ac:dyDescent="0.25">
      <c r="A168" s="1621" t="s">
        <v>275</v>
      </c>
      <c r="B168" s="1628" t="s">
        <v>717</v>
      </c>
      <c r="C168" s="593"/>
      <c r="D168" s="593"/>
      <c r="E168" s="593"/>
      <c r="F168" s="593"/>
      <c r="G168" s="593"/>
      <c r="H168" s="1623">
        <f>SUM(H163:H167)</f>
        <v>0</v>
      </c>
      <c r="I168" s="593"/>
      <c r="J168" s="593"/>
      <c r="K168" s="1623">
        <f>SUM(K163:K167)</f>
        <v>0</v>
      </c>
      <c r="L168" s="1623">
        <f>SUM(L163:L167)</f>
        <v>0</v>
      </c>
    </row>
    <row r="169" spans="1:14" ht="15.75" customHeight="1" thickTop="1" x14ac:dyDescent="0.2">
      <c r="A169" s="644" t="s">
        <v>83</v>
      </c>
      <c r="B169" s="645" t="s">
        <v>38</v>
      </c>
      <c r="C169" s="593"/>
      <c r="D169" s="593"/>
      <c r="E169" s="593"/>
      <c r="F169" s="593"/>
      <c r="G169" s="593"/>
      <c r="H169" s="1962">
        <v>5201500</v>
      </c>
      <c r="I169" s="593"/>
      <c r="J169" s="593"/>
      <c r="K169" s="1624">
        <f>SUM(C169:H169)</f>
        <v>5201500</v>
      </c>
      <c r="L169" s="1983">
        <v>6325000</v>
      </c>
    </row>
    <row r="170" spans="1:14" ht="33.75" customHeight="1" x14ac:dyDescent="0.2">
      <c r="A170" s="644" t="s">
        <v>1657</v>
      </c>
      <c r="B170" s="646" t="s">
        <v>31</v>
      </c>
      <c r="C170" s="593"/>
      <c r="D170" s="593"/>
      <c r="E170" s="593"/>
      <c r="F170" s="593"/>
      <c r="G170" s="593"/>
      <c r="H170" s="1952">
        <v>2154448</v>
      </c>
      <c r="I170" s="593"/>
      <c r="J170" s="593"/>
      <c r="K170" s="1624">
        <f>SUM(C170:J170)</f>
        <v>2154448</v>
      </c>
      <c r="L170" s="1974">
        <v>1344606</v>
      </c>
    </row>
    <row r="171" spans="1:14" ht="15.75" customHeight="1" x14ac:dyDescent="0.2">
      <c r="A171" s="598" t="s">
        <v>765</v>
      </c>
      <c r="B171" s="647" t="s">
        <v>84</v>
      </c>
      <c r="C171" s="593"/>
      <c r="D171" s="593"/>
      <c r="E171" s="1946">
        <v>258858</v>
      </c>
      <c r="F171" s="593"/>
      <c r="G171" s="593"/>
      <c r="H171" s="1952">
        <v>3250</v>
      </c>
      <c r="I171" s="473"/>
      <c r="J171" s="593"/>
      <c r="K171" s="1624">
        <f>SUM(C171:J171)</f>
        <v>262108</v>
      </c>
      <c r="L171" s="1974">
        <v>0</v>
      </c>
    </row>
    <row r="172" spans="1:14" ht="12.75" customHeight="1" thickBot="1" x14ac:dyDescent="0.25">
      <c r="A172" s="1621" t="s">
        <v>637</v>
      </c>
      <c r="B172" s="1622" t="s">
        <v>491</v>
      </c>
      <c r="C172" s="593"/>
      <c r="D172" s="593"/>
      <c r="E172" s="1630">
        <f>SUM(E168,E169,E170,E171)</f>
        <v>258858</v>
      </c>
      <c r="F172" s="593"/>
      <c r="G172" s="593"/>
      <c r="H172" s="1630">
        <f>SUM(H168,H169,H170,H171)</f>
        <v>7359198</v>
      </c>
      <c r="I172" s="615"/>
      <c r="J172" s="593"/>
      <c r="K172" s="1630">
        <f>SUM(K168,K169,K170,K171)</f>
        <v>7618056</v>
      </c>
      <c r="L172" s="1630">
        <f>SUM(L168,L169,L170,L171)</f>
        <v>7669606</v>
      </c>
    </row>
    <row r="173" spans="1:14" ht="15.75" customHeight="1" thickTop="1" thickBot="1" x14ac:dyDescent="0.25">
      <c r="A173" s="1572" t="s">
        <v>85</v>
      </c>
      <c r="B173" s="1564" t="s">
        <v>860</v>
      </c>
      <c r="C173" s="593"/>
      <c r="D173" s="593"/>
      <c r="E173" s="600"/>
      <c r="F173" s="593"/>
      <c r="G173" s="593"/>
      <c r="H173" s="603"/>
      <c r="I173" s="615"/>
      <c r="J173" s="593"/>
      <c r="K173" s="600"/>
      <c r="L173" s="1981">
        <v>0</v>
      </c>
    </row>
    <row r="174" spans="1:14" ht="12.75" customHeight="1" thickTop="1" thickBot="1" x14ac:dyDescent="0.25">
      <c r="A174" s="1642" t="s">
        <v>90</v>
      </c>
      <c r="B174" s="1643"/>
      <c r="C174" s="593"/>
      <c r="D174" s="593"/>
      <c r="E174" s="1630">
        <f>SUM(E172,E173)</f>
        <v>258858</v>
      </c>
      <c r="F174" s="593"/>
      <c r="G174" s="593"/>
      <c r="H174" s="1630">
        <f>SUM(H160,H172,H173)</f>
        <v>7359198</v>
      </c>
      <c r="I174" s="615"/>
      <c r="J174" s="593"/>
      <c r="K174" s="1630">
        <f>SUM(K160,K172,K173)</f>
        <v>7618056</v>
      </c>
      <c r="L174" s="1630">
        <f>SUM(L160,L172,L173)</f>
        <v>7669606</v>
      </c>
    </row>
    <row r="175" spans="1:14" ht="13.5" thickTop="1" x14ac:dyDescent="0.2">
      <c r="A175" s="2298" t="s">
        <v>995</v>
      </c>
      <c r="B175" s="2299"/>
      <c r="C175" s="593"/>
      <c r="D175" s="593"/>
      <c r="E175" s="593"/>
      <c r="F175" s="593"/>
      <c r="G175" s="593"/>
      <c r="H175" s="595"/>
      <c r="I175" s="593"/>
      <c r="J175" s="593"/>
      <c r="K175" s="1637">
        <f>'Revenues 9-14'!E268-'Expenditures 15-22'!K174</f>
        <v>9243</v>
      </c>
      <c r="L175" s="595"/>
    </row>
    <row r="176" spans="1:14" s="641" customFormat="1" ht="9" customHeight="1" x14ac:dyDescent="0.2">
      <c r="A176" s="638"/>
      <c r="B176" s="648"/>
      <c r="C176" s="626"/>
      <c r="D176" s="626"/>
      <c r="E176" s="626"/>
      <c r="F176" s="626"/>
      <c r="G176" s="626"/>
      <c r="H176" s="626"/>
      <c r="I176" s="626"/>
      <c r="J176" s="626"/>
      <c r="K176" s="626"/>
      <c r="L176" s="626"/>
      <c r="M176" s="640"/>
      <c r="N176" s="640"/>
    </row>
    <row r="177" spans="1:14" s="343" customFormat="1" ht="16.7" customHeight="1" x14ac:dyDescent="0.2">
      <c r="A177" s="1507" t="s">
        <v>936</v>
      </c>
      <c r="B177" s="1508"/>
      <c r="C177" s="1504"/>
      <c r="D177" s="1505"/>
      <c r="E177" s="1505"/>
      <c r="F177" s="1505"/>
      <c r="G177" s="1505"/>
      <c r="H177" s="1505"/>
      <c r="I177" s="1505"/>
      <c r="J177" s="1505"/>
      <c r="K177" s="1505"/>
      <c r="L177" s="1506"/>
      <c r="M177" s="586"/>
      <c r="N177" s="586"/>
    </row>
    <row r="178" spans="1:14" s="649" customFormat="1" ht="15.75" customHeight="1" x14ac:dyDescent="0.2">
      <c r="A178" s="1573" t="s">
        <v>937</v>
      </c>
      <c r="B178" s="1574"/>
      <c r="C178" s="593"/>
      <c r="D178" s="593"/>
      <c r="E178" s="593"/>
      <c r="F178" s="593"/>
      <c r="G178" s="593"/>
      <c r="H178" s="593"/>
      <c r="I178" s="593"/>
      <c r="J178" s="593"/>
      <c r="K178" s="593"/>
      <c r="L178" s="593"/>
      <c r="M178" s="640"/>
      <c r="N178" s="640"/>
    </row>
    <row r="179" spans="1:14" s="649" customFormat="1" ht="15.75" customHeight="1" x14ac:dyDescent="0.2">
      <c r="A179" s="650" t="s">
        <v>590</v>
      </c>
      <c r="B179" s="599"/>
      <c r="C179" s="600"/>
      <c r="D179" s="600"/>
      <c r="E179" s="600"/>
      <c r="F179" s="593"/>
      <c r="G179" s="593"/>
      <c r="H179" s="600"/>
      <c r="I179" s="593"/>
      <c r="J179" s="593"/>
      <c r="K179" s="600"/>
      <c r="L179" s="600"/>
      <c r="M179" s="640"/>
      <c r="N179" s="640"/>
    </row>
    <row r="180" spans="1:14" ht="12.75" customHeight="1" x14ac:dyDescent="0.2">
      <c r="A180" s="1457" t="s">
        <v>2034</v>
      </c>
      <c r="B180" s="591" t="s">
        <v>715</v>
      </c>
      <c r="C180" s="465">
        <v>0</v>
      </c>
      <c r="D180" s="465">
        <v>0</v>
      </c>
      <c r="E180" s="465">
        <v>0</v>
      </c>
      <c r="F180" s="465">
        <v>0</v>
      </c>
      <c r="G180" s="465">
        <v>0</v>
      </c>
      <c r="H180" s="465">
        <v>0</v>
      </c>
      <c r="I180" s="466">
        <v>0</v>
      </c>
      <c r="J180" s="466">
        <v>0</v>
      </c>
      <c r="K180" s="1624">
        <f>SUM(C180:J180)</f>
        <v>0</v>
      </c>
      <c r="L180" s="1968">
        <v>0</v>
      </c>
    </row>
    <row r="181" spans="1:14" ht="15.75" customHeight="1" x14ac:dyDescent="0.2">
      <c r="A181" s="601" t="s">
        <v>611</v>
      </c>
      <c r="B181" s="651"/>
      <c r="C181" s="557"/>
      <c r="D181" s="557"/>
      <c r="E181" s="557"/>
      <c r="F181" s="557"/>
      <c r="G181" s="557"/>
      <c r="H181" s="557"/>
      <c r="I181" s="467"/>
      <c r="J181" s="467"/>
      <c r="K181" s="557"/>
      <c r="L181" s="557"/>
    </row>
    <row r="182" spans="1:14" ht="12.75" customHeight="1" x14ac:dyDescent="0.2">
      <c r="A182" s="1457" t="s">
        <v>952</v>
      </c>
      <c r="B182" s="591">
        <v>2550</v>
      </c>
      <c r="C182" s="1946">
        <v>19781</v>
      </c>
      <c r="D182" s="1946">
        <v>3650</v>
      </c>
      <c r="E182" s="1946">
        <v>3229067</v>
      </c>
      <c r="F182" s="1946">
        <v>230826</v>
      </c>
      <c r="G182" s="1946">
        <v>0</v>
      </c>
      <c r="H182" s="1946">
        <v>0</v>
      </c>
      <c r="I182" s="1947">
        <v>0</v>
      </c>
      <c r="J182" s="1947">
        <v>0</v>
      </c>
      <c r="K182" s="1624">
        <f>SUM(C182:J182)</f>
        <v>3483324</v>
      </c>
      <c r="L182" s="1968">
        <v>3344540</v>
      </c>
    </row>
    <row r="183" spans="1:14" ht="12.75" customHeight="1" thickBot="1" x14ac:dyDescent="0.25">
      <c r="A183" s="1462" t="s">
        <v>979</v>
      </c>
      <c r="B183" s="652">
        <v>2900</v>
      </c>
      <c r="C183" s="1957">
        <v>0</v>
      </c>
      <c r="D183" s="1957">
        <v>0</v>
      </c>
      <c r="E183" s="1957">
        <v>0</v>
      </c>
      <c r="F183" s="1957">
        <v>0</v>
      </c>
      <c r="G183" s="1957">
        <v>0</v>
      </c>
      <c r="H183" s="1957">
        <v>0</v>
      </c>
      <c r="I183" s="1955">
        <v>0</v>
      </c>
      <c r="J183" s="1955">
        <v>0</v>
      </c>
      <c r="K183" s="1630">
        <f>SUM(C183:J183)</f>
        <v>0</v>
      </c>
      <c r="L183" s="1980">
        <v>0</v>
      </c>
    </row>
    <row r="184" spans="1:14" ht="12.75" customHeight="1" thickTop="1" thickBot="1" x14ac:dyDescent="0.25">
      <c r="A184" s="1644" t="s">
        <v>810</v>
      </c>
      <c r="B184" s="1622" t="s">
        <v>568</v>
      </c>
      <c r="C184" s="1630">
        <f>SUM(C180,C182,C183)</f>
        <v>19781</v>
      </c>
      <c r="D184" s="1630">
        <f t="shared" ref="D184:J184" si="17">SUM(D180,D182,D183)</f>
        <v>3650</v>
      </c>
      <c r="E184" s="1630">
        <f t="shared" si="17"/>
        <v>3229067</v>
      </c>
      <c r="F184" s="1630">
        <f t="shared" si="17"/>
        <v>230826</v>
      </c>
      <c r="G184" s="1630">
        <f t="shared" si="17"/>
        <v>0</v>
      </c>
      <c r="H184" s="1630">
        <f t="shared" si="17"/>
        <v>0</v>
      </c>
      <c r="I184" s="1630">
        <f t="shared" si="17"/>
        <v>0</v>
      </c>
      <c r="J184" s="1630">
        <f t="shared" si="17"/>
        <v>0</v>
      </c>
      <c r="K184" s="1630">
        <f>SUM(K180,K182,K183)</f>
        <v>3483324</v>
      </c>
      <c r="L184" s="1630">
        <f>SUM(L180, L182:L183)</f>
        <v>3344540</v>
      </c>
    </row>
    <row r="185" spans="1:14" ht="15.75" customHeight="1" thickTop="1" thickBot="1" x14ac:dyDescent="0.25">
      <c r="A185" s="1575" t="s">
        <v>938</v>
      </c>
      <c r="B185" s="1564">
        <v>3000</v>
      </c>
      <c r="C185" s="561"/>
      <c r="D185" s="561"/>
      <c r="E185" s="561"/>
      <c r="F185" s="561"/>
      <c r="G185" s="561"/>
      <c r="H185" s="561"/>
      <c r="I185" s="523"/>
      <c r="J185" s="523"/>
      <c r="K185" s="1623">
        <f>SUM(C185:J185)</f>
        <v>0</v>
      </c>
      <c r="L185" s="1981">
        <v>0</v>
      </c>
    </row>
    <row r="186" spans="1:14" s="649" customFormat="1" ht="15.75" customHeight="1" thickTop="1" x14ac:dyDescent="0.2">
      <c r="A186" s="1559" t="s">
        <v>91</v>
      </c>
      <c r="B186" s="1562" t="s">
        <v>859</v>
      </c>
      <c r="C186" s="593"/>
      <c r="D186" s="593"/>
      <c r="E186" s="593"/>
      <c r="F186" s="593"/>
      <c r="G186" s="593"/>
      <c r="H186" s="593"/>
      <c r="I186" s="593"/>
      <c r="J186" s="593"/>
      <c r="K186" s="593"/>
      <c r="L186" s="593"/>
      <c r="M186" s="640"/>
      <c r="N186" s="640"/>
    </row>
    <row r="187" spans="1:14" s="649" customFormat="1" ht="15.75" customHeight="1" x14ac:dyDescent="0.2">
      <c r="A187" s="598" t="s">
        <v>1130</v>
      </c>
      <c r="B187" s="599"/>
      <c r="C187" s="593"/>
      <c r="D187" s="593"/>
      <c r="E187" s="593"/>
      <c r="F187" s="593"/>
      <c r="G187" s="593"/>
      <c r="H187" s="593"/>
      <c r="I187" s="593"/>
      <c r="J187" s="593"/>
      <c r="K187" s="593"/>
      <c r="L187" s="593"/>
      <c r="M187" s="640"/>
      <c r="N187" s="640"/>
    </row>
    <row r="188" spans="1:14" x14ac:dyDescent="0.2">
      <c r="A188" s="1457" t="s">
        <v>495</v>
      </c>
      <c r="B188" s="591">
        <v>4110</v>
      </c>
      <c r="C188" s="593"/>
      <c r="D188" s="593"/>
      <c r="E188" s="1946">
        <v>0</v>
      </c>
      <c r="F188" s="593"/>
      <c r="G188" s="593"/>
      <c r="H188" s="1946">
        <v>0</v>
      </c>
      <c r="I188" s="473"/>
      <c r="J188" s="593"/>
      <c r="K188" s="1624">
        <f t="shared" ref="K188:K193" si="18">SUM(E188,H188)</f>
        <v>0</v>
      </c>
      <c r="L188" s="1968">
        <v>0</v>
      </c>
    </row>
    <row r="189" spans="1:14" x14ac:dyDescent="0.2">
      <c r="A189" s="1457" t="s">
        <v>303</v>
      </c>
      <c r="B189" s="591">
        <v>4120</v>
      </c>
      <c r="C189" s="593"/>
      <c r="D189" s="593"/>
      <c r="E189" s="1946">
        <v>0</v>
      </c>
      <c r="F189" s="593"/>
      <c r="G189" s="593"/>
      <c r="H189" s="1946">
        <v>0</v>
      </c>
      <c r="I189" s="473"/>
      <c r="J189" s="593"/>
      <c r="K189" s="1624">
        <f t="shared" si="18"/>
        <v>0</v>
      </c>
      <c r="L189" s="1968">
        <v>0</v>
      </c>
    </row>
    <row r="190" spans="1:14" x14ac:dyDescent="0.2">
      <c r="A190" s="1457" t="s">
        <v>304</v>
      </c>
      <c r="B190" s="605">
        <v>4130</v>
      </c>
      <c r="C190" s="593"/>
      <c r="D190" s="593"/>
      <c r="E190" s="1946">
        <v>0</v>
      </c>
      <c r="F190" s="593"/>
      <c r="G190" s="593"/>
      <c r="H190" s="1946">
        <v>0</v>
      </c>
      <c r="I190" s="473"/>
      <c r="J190" s="593"/>
      <c r="K190" s="1624">
        <f t="shared" si="18"/>
        <v>0</v>
      </c>
      <c r="L190" s="1968">
        <v>0</v>
      </c>
    </row>
    <row r="191" spans="1:14" x14ac:dyDescent="0.2">
      <c r="A191" s="1457" t="s">
        <v>696</v>
      </c>
      <c r="B191" s="591">
        <v>4140</v>
      </c>
      <c r="C191" s="593"/>
      <c r="D191" s="593"/>
      <c r="E191" s="1946">
        <v>0</v>
      </c>
      <c r="F191" s="593"/>
      <c r="G191" s="593"/>
      <c r="H191" s="1946">
        <v>0</v>
      </c>
      <c r="I191" s="473"/>
      <c r="J191" s="593"/>
      <c r="K191" s="1624">
        <f t="shared" si="18"/>
        <v>0</v>
      </c>
      <c r="L191" s="1968">
        <v>0</v>
      </c>
    </row>
    <row r="192" spans="1:14" x14ac:dyDescent="0.2">
      <c r="A192" s="1457" t="s">
        <v>86</v>
      </c>
      <c r="B192" s="591">
        <v>4170</v>
      </c>
      <c r="C192" s="593"/>
      <c r="D192" s="593"/>
      <c r="E192" s="1946">
        <v>0</v>
      </c>
      <c r="F192" s="593"/>
      <c r="G192" s="593"/>
      <c r="H192" s="1946">
        <v>0</v>
      </c>
      <c r="I192" s="473"/>
      <c r="J192" s="593"/>
      <c r="K192" s="1624">
        <f t="shared" si="18"/>
        <v>0</v>
      </c>
      <c r="L192" s="1968">
        <v>0</v>
      </c>
    </row>
    <row r="193" spans="1:14" x14ac:dyDescent="0.2">
      <c r="A193" s="1461" t="s">
        <v>697</v>
      </c>
      <c r="B193" s="605">
        <v>4190</v>
      </c>
      <c r="C193" s="593"/>
      <c r="D193" s="593"/>
      <c r="E193" s="1946">
        <v>0</v>
      </c>
      <c r="F193" s="593"/>
      <c r="G193" s="593"/>
      <c r="H193" s="1946">
        <v>0</v>
      </c>
      <c r="I193" s="473"/>
      <c r="J193" s="593"/>
      <c r="K193" s="1624">
        <f t="shared" si="18"/>
        <v>0</v>
      </c>
      <c r="L193" s="1968">
        <v>0</v>
      </c>
    </row>
    <row r="194" spans="1:14" ht="12.75" customHeight="1" thickBot="1" x14ac:dyDescent="0.25">
      <c r="A194" s="1621" t="s">
        <v>1139</v>
      </c>
      <c r="B194" s="1622" t="s">
        <v>558</v>
      </c>
      <c r="C194" s="593"/>
      <c r="D194" s="593"/>
      <c r="E194" s="1623">
        <f>SUM(E188:E193)</f>
        <v>0</v>
      </c>
      <c r="F194" s="593"/>
      <c r="G194" s="593"/>
      <c r="H194" s="1623">
        <f>SUM(H188:H193)</f>
        <v>0</v>
      </c>
      <c r="I194" s="473"/>
      <c r="J194" s="593"/>
      <c r="K194" s="1623">
        <f>SUM(K188:K193)</f>
        <v>0</v>
      </c>
      <c r="L194" s="1623">
        <f>SUM(L188:L193)</f>
        <v>0</v>
      </c>
    </row>
    <row r="195" spans="1:14" ht="15.75" customHeight="1" thickTop="1" x14ac:dyDescent="0.2">
      <c r="A195" s="644" t="s">
        <v>92</v>
      </c>
      <c r="B195" s="653" t="s">
        <v>930</v>
      </c>
      <c r="C195" s="593"/>
      <c r="D195" s="593"/>
      <c r="E195" s="1962">
        <v>0</v>
      </c>
      <c r="F195" s="593"/>
      <c r="G195" s="593"/>
      <c r="H195" s="1962">
        <v>0</v>
      </c>
      <c r="I195" s="473"/>
      <c r="J195" s="593"/>
      <c r="K195" s="1638">
        <f>SUM(E195,H195)</f>
        <v>0</v>
      </c>
      <c r="L195" s="1983">
        <v>0</v>
      </c>
    </row>
    <row r="196" spans="1:14" ht="12.75" customHeight="1" thickBot="1" x14ac:dyDescent="0.25">
      <c r="A196" s="1621" t="s">
        <v>1474</v>
      </c>
      <c r="B196" s="1622" t="s">
        <v>859</v>
      </c>
      <c r="C196" s="593"/>
      <c r="D196" s="593"/>
      <c r="E196" s="1630">
        <f>SUM(E194,E195)</f>
        <v>0</v>
      </c>
      <c r="F196" s="593"/>
      <c r="G196" s="593"/>
      <c r="H196" s="1630">
        <f>SUM(H194,H195)</f>
        <v>0</v>
      </c>
      <c r="I196" s="473"/>
      <c r="J196" s="593"/>
      <c r="K196" s="1630">
        <f>SUM(K194,K195)</f>
        <v>0</v>
      </c>
      <c r="L196" s="1630">
        <f>SUM(L194,L195)</f>
        <v>0</v>
      </c>
    </row>
    <row r="197" spans="1:14" s="649" customFormat="1" ht="15.75" customHeight="1" thickTop="1" x14ac:dyDescent="0.2">
      <c r="A197" s="1565" t="s">
        <v>939</v>
      </c>
      <c r="B197" s="1562" t="s">
        <v>491</v>
      </c>
      <c r="C197" s="593"/>
      <c r="D197" s="593"/>
      <c r="E197" s="593"/>
      <c r="F197" s="593"/>
      <c r="G197" s="593"/>
      <c r="H197" s="593"/>
      <c r="I197" s="593"/>
      <c r="J197" s="593"/>
      <c r="K197" s="593"/>
      <c r="L197" s="593"/>
      <c r="M197" s="640"/>
      <c r="N197" s="640"/>
    </row>
    <row r="198" spans="1:14" s="649" customFormat="1" ht="15.75" customHeight="1" x14ac:dyDescent="0.2">
      <c r="A198" s="629" t="s">
        <v>93</v>
      </c>
      <c r="B198" s="599"/>
      <c r="C198" s="593"/>
      <c r="D198" s="593"/>
      <c r="E198" s="593"/>
      <c r="F198" s="593"/>
      <c r="G198" s="593"/>
      <c r="H198" s="593"/>
      <c r="I198" s="593"/>
      <c r="J198" s="593"/>
      <c r="K198" s="593"/>
      <c r="L198" s="593"/>
      <c r="M198" s="640"/>
      <c r="N198" s="640"/>
    </row>
    <row r="199" spans="1:14" x14ac:dyDescent="0.2">
      <c r="A199" s="1457" t="s">
        <v>87</v>
      </c>
      <c r="B199" s="591">
        <v>5110</v>
      </c>
      <c r="C199" s="593"/>
      <c r="D199" s="593"/>
      <c r="E199" s="593"/>
      <c r="F199" s="593"/>
      <c r="G199" s="593"/>
      <c r="H199" s="1946">
        <v>0</v>
      </c>
      <c r="I199" s="593"/>
      <c r="J199" s="593"/>
      <c r="K199" s="1624">
        <f>SUM(H199)</f>
        <v>0</v>
      </c>
      <c r="L199" s="1968">
        <v>0</v>
      </c>
    </row>
    <row r="200" spans="1:14" x14ac:dyDescent="0.2">
      <c r="A200" s="1457" t="s">
        <v>88</v>
      </c>
      <c r="B200" s="591">
        <v>5120</v>
      </c>
      <c r="C200" s="593"/>
      <c r="D200" s="593"/>
      <c r="E200" s="593"/>
      <c r="F200" s="593"/>
      <c r="G200" s="593"/>
      <c r="H200" s="1946">
        <v>0</v>
      </c>
      <c r="I200" s="593"/>
      <c r="J200" s="593"/>
      <c r="K200" s="1624">
        <f>SUM(H200)</f>
        <v>0</v>
      </c>
      <c r="L200" s="1968">
        <v>0</v>
      </c>
    </row>
    <row r="201" spans="1:14" ht="12.75" customHeight="1" x14ac:dyDescent="0.2">
      <c r="A201" s="1457" t="s">
        <v>1169</v>
      </c>
      <c r="B201" s="605" t="s">
        <v>616</v>
      </c>
      <c r="C201" s="593"/>
      <c r="D201" s="593"/>
      <c r="E201" s="593"/>
      <c r="F201" s="593"/>
      <c r="G201" s="593"/>
      <c r="H201" s="1946">
        <v>0</v>
      </c>
      <c r="I201" s="593"/>
      <c r="J201" s="593"/>
      <c r="K201" s="1624">
        <f>SUM(H201)</f>
        <v>0</v>
      </c>
      <c r="L201" s="1968">
        <v>0</v>
      </c>
    </row>
    <row r="202" spans="1:14" x14ac:dyDescent="0.2">
      <c r="A202" s="1457" t="s">
        <v>89</v>
      </c>
      <c r="B202" s="591" t="s">
        <v>588</v>
      </c>
      <c r="C202" s="593"/>
      <c r="D202" s="593"/>
      <c r="E202" s="593"/>
      <c r="F202" s="593"/>
      <c r="G202" s="593"/>
      <c r="H202" s="1946">
        <v>0</v>
      </c>
      <c r="I202" s="593"/>
      <c r="J202" s="593"/>
      <c r="K202" s="1624">
        <f>SUM(H202)</f>
        <v>0</v>
      </c>
      <c r="L202" s="1968">
        <v>0</v>
      </c>
    </row>
    <row r="203" spans="1:14" x14ac:dyDescent="0.2">
      <c r="A203" s="1469" t="s">
        <v>618</v>
      </c>
      <c r="B203" s="591" t="s">
        <v>617</v>
      </c>
      <c r="C203" s="593"/>
      <c r="D203" s="593"/>
      <c r="E203" s="593"/>
      <c r="F203" s="593"/>
      <c r="G203" s="593"/>
      <c r="H203" s="1948">
        <v>0</v>
      </c>
      <c r="I203" s="593"/>
      <c r="J203" s="593"/>
      <c r="K203" s="1624">
        <f>SUM(H203)</f>
        <v>0</v>
      </c>
      <c r="L203" s="1970">
        <v>0</v>
      </c>
    </row>
    <row r="204" spans="1:14" ht="13.5" thickBot="1" x14ac:dyDescent="0.25">
      <c r="A204" s="1621" t="s">
        <v>275</v>
      </c>
      <c r="B204" s="1622" t="s">
        <v>717</v>
      </c>
      <c r="C204" s="593"/>
      <c r="D204" s="593"/>
      <c r="E204" s="593"/>
      <c r="F204" s="593"/>
      <c r="G204" s="593"/>
      <c r="H204" s="1623">
        <f>SUM(H199:H203)</f>
        <v>0</v>
      </c>
      <c r="I204" s="593"/>
      <c r="J204" s="593"/>
      <c r="K204" s="1623">
        <f>SUM(K199:K203)</f>
        <v>0</v>
      </c>
      <c r="L204" s="1623">
        <f>SUM(L199:L203)</f>
        <v>0</v>
      </c>
    </row>
    <row r="205" spans="1:14" ht="15.75" customHeight="1" thickTop="1" x14ac:dyDescent="0.2">
      <c r="A205" s="654" t="s">
        <v>83</v>
      </c>
      <c r="B205" s="655" t="s">
        <v>38</v>
      </c>
      <c r="C205" s="593"/>
      <c r="D205" s="593"/>
      <c r="E205" s="593"/>
      <c r="F205" s="593"/>
      <c r="G205" s="593"/>
      <c r="H205" s="1956">
        <v>0</v>
      </c>
      <c r="I205" s="593"/>
      <c r="J205" s="593"/>
      <c r="K205" s="1638">
        <f>SUM(H205)</f>
        <v>0</v>
      </c>
      <c r="L205" s="1979">
        <v>0</v>
      </c>
    </row>
    <row r="206" spans="1:14" ht="30" customHeight="1" x14ac:dyDescent="0.2">
      <c r="A206" s="656" t="s">
        <v>1658</v>
      </c>
      <c r="B206" s="647" t="s">
        <v>31</v>
      </c>
      <c r="C206" s="593"/>
      <c r="D206" s="593"/>
      <c r="E206" s="593"/>
      <c r="F206" s="593"/>
      <c r="G206" s="593"/>
      <c r="H206" s="1946">
        <v>0</v>
      </c>
      <c r="I206" s="593"/>
      <c r="J206" s="593"/>
      <c r="K206" s="1624">
        <f>SUM(H206)</f>
        <v>0</v>
      </c>
      <c r="L206" s="1968">
        <v>0</v>
      </c>
    </row>
    <row r="207" spans="1:14" ht="15.75" customHeight="1" x14ac:dyDescent="0.2">
      <c r="A207" s="598" t="s">
        <v>765</v>
      </c>
      <c r="B207" s="647" t="s">
        <v>84</v>
      </c>
      <c r="C207" s="593"/>
      <c r="D207" s="593"/>
      <c r="E207" s="593"/>
      <c r="F207" s="593"/>
      <c r="G207" s="593"/>
      <c r="H207" s="1947">
        <v>0</v>
      </c>
      <c r="I207" s="593"/>
      <c r="J207" s="593"/>
      <c r="K207" s="1624">
        <f>H207</f>
        <v>0</v>
      </c>
      <c r="L207" s="1968">
        <v>0</v>
      </c>
    </row>
    <row r="208" spans="1:14" ht="12.75" customHeight="1" thickBot="1" x14ac:dyDescent="0.25">
      <c r="A208" s="1639" t="s">
        <v>637</v>
      </c>
      <c r="B208" s="1640" t="s">
        <v>491</v>
      </c>
      <c r="C208" s="593"/>
      <c r="D208" s="593"/>
      <c r="E208" s="593"/>
      <c r="F208" s="593"/>
      <c r="G208" s="593"/>
      <c r="H208" s="1630">
        <f>SUM(H204,H205,H206,H207)</f>
        <v>0</v>
      </c>
      <c r="I208" s="593"/>
      <c r="J208" s="593"/>
      <c r="K208" s="1630">
        <f>SUM(K204,K205,K206,K207)</f>
        <v>0</v>
      </c>
      <c r="L208" s="1630">
        <f>SUM(L204,L205,L206,L207)</f>
        <v>0</v>
      </c>
    </row>
    <row r="209" spans="1:14" ht="15.75" customHeight="1" thickTop="1" thickBot="1" x14ac:dyDescent="0.25">
      <c r="A209" s="1559" t="s">
        <v>871</v>
      </c>
      <c r="B209" s="1566" t="s">
        <v>860</v>
      </c>
      <c r="C209" s="600"/>
      <c r="D209" s="600"/>
      <c r="E209" s="600"/>
      <c r="F209" s="600"/>
      <c r="G209" s="600"/>
      <c r="H209" s="600"/>
      <c r="I209" s="593"/>
      <c r="J209" s="593"/>
      <c r="K209" s="600"/>
      <c r="L209" s="1981">
        <v>0</v>
      </c>
    </row>
    <row r="210" spans="1:14" ht="12.75" customHeight="1" thickTop="1" thickBot="1" x14ac:dyDescent="0.25">
      <c r="A210" s="1645" t="s">
        <v>276</v>
      </c>
      <c r="B210" s="1646"/>
      <c r="C210" s="1623">
        <f>SUM(C184,C185)</f>
        <v>19781</v>
      </c>
      <c r="D210" s="1623">
        <f>SUM(D184,D185)</f>
        <v>3650</v>
      </c>
      <c r="E210" s="1623">
        <f>SUM(E184,E185,E196)</f>
        <v>3229067</v>
      </c>
      <c r="F210" s="1623">
        <f>SUM(F184,F185)</f>
        <v>230826</v>
      </c>
      <c r="G210" s="1623">
        <f>SUM(G184,G185)</f>
        <v>0</v>
      </c>
      <c r="H210" s="1623">
        <f>SUM(H184,H185,H196,H208,H209)</f>
        <v>0</v>
      </c>
      <c r="I210" s="1623">
        <f>SUM(I184,I185)</f>
        <v>0</v>
      </c>
      <c r="J210" s="1623">
        <f>SUM(J184,J185)</f>
        <v>0</v>
      </c>
      <c r="K210" s="1624">
        <f>SUM(K184,K185,K196,K208,K209)</f>
        <v>3483324</v>
      </c>
      <c r="L210" s="1623">
        <f>SUM(L184,L185,L196,L208,L209)</f>
        <v>3344540</v>
      </c>
    </row>
    <row r="211" spans="1:14" ht="13.5" thickTop="1" x14ac:dyDescent="0.2">
      <c r="A211" s="2298" t="s">
        <v>995</v>
      </c>
      <c r="B211" s="2299"/>
      <c r="C211" s="595"/>
      <c r="D211" s="595"/>
      <c r="E211" s="595"/>
      <c r="F211" s="595"/>
      <c r="G211" s="595"/>
      <c r="H211" s="595"/>
      <c r="I211" s="593"/>
      <c r="J211" s="593"/>
      <c r="K211" s="1637">
        <f>'Revenues 9-14'!F268-'Expenditures 15-22'!K210</f>
        <v>272523</v>
      </c>
      <c r="L211" s="595"/>
    </row>
    <row r="212" spans="1:14" s="641" customFormat="1" ht="9" customHeight="1" x14ac:dyDescent="0.2">
      <c r="A212" s="638"/>
      <c r="B212" s="648"/>
      <c r="C212" s="626"/>
      <c r="D212" s="626"/>
      <c r="E212" s="626"/>
      <c r="F212" s="626"/>
      <c r="G212" s="626"/>
      <c r="H212" s="626"/>
      <c r="I212" s="626"/>
      <c r="J212" s="626"/>
      <c r="K212" s="626"/>
      <c r="L212" s="626"/>
      <c r="M212" s="640"/>
      <c r="N212" s="640"/>
    </row>
    <row r="213" spans="1:14" s="343" customFormat="1" ht="16.7" customHeight="1" x14ac:dyDescent="0.2">
      <c r="A213" s="2293" t="s">
        <v>964</v>
      </c>
      <c r="B213" s="2294"/>
      <c r="C213" s="1504"/>
      <c r="D213" s="1505"/>
      <c r="E213" s="1505"/>
      <c r="F213" s="1505"/>
      <c r="G213" s="1505"/>
      <c r="H213" s="1505"/>
      <c r="I213" s="1505"/>
      <c r="J213" s="1505"/>
      <c r="K213" s="1505"/>
      <c r="L213" s="1506"/>
      <c r="M213" s="586"/>
      <c r="N213" s="586"/>
    </row>
    <row r="214" spans="1:14" s="649" customFormat="1" ht="15.75" customHeight="1" x14ac:dyDescent="0.2">
      <c r="A214" s="1576" t="s">
        <v>872</v>
      </c>
      <c r="B214" s="1568" t="s">
        <v>569</v>
      </c>
      <c r="C214" s="593"/>
      <c r="D214" s="600"/>
      <c r="E214" s="593"/>
      <c r="F214" s="593"/>
      <c r="G214" s="593"/>
      <c r="H214" s="593"/>
      <c r="I214" s="593"/>
      <c r="J214" s="593"/>
      <c r="K214" s="600"/>
      <c r="L214" s="600"/>
      <c r="M214" s="640"/>
      <c r="N214" s="640"/>
    </row>
    <row r="215" spans="1:14" x14ac:dyDescent="0.2">
      <c r="A215" s="1457" t="s">
        <v>960</v>
      </c>
      <c r="B215" s="591">
        <v>1100</v>
      </c>
      <c r="C215" s="593"/>
      <c r="D215" s="1946">
        <v>263952</v>
      </c>
      <c r="E215" s="593"/>
      <c r="F215" s="593"/>
      <c r="G215" s="593"/>
      <c r="H215" s="593"/>
      <c r="I215" s="593"/>
      <c r="J215" s="593"/>
      <c r="K215" s="1624">
        <f>D215</f>
        <v>263952</v>
      </c>
      <c r="L215" s="1968">
        <v>259594</v>
      </c>
    </row>
    <row r="216" spans="1:14" x14ac:dyDescent="0.2">
      <c r="A216" s="1457" t="s">
        <v>163</v>
      </c>
      <c r="B216" s="591" t="s">
        <v>966</v>
      </c>
      <c r="C216" s="593"/>
      <c r="D216" s="1947">
        <v>34055</v>
      </c>
      <c r="E216" s="593"/>
      <c r="F216" s="593"/>
      <c r="G216" s="593"/>
      <c r="H216" s="593"/>
      <c r="I216" s="593"/>
      <c r="J216" s="593"/>
      <c r="K216" s="1624">
        <f t="shared" ref="K216:K228" si="19">D216</f>
        <v>34055</v>
      </c>
      <c r="L216" s="1968">
        <v>29664</v>
      </c>
    </row>
    <row r="217" spans="1:14" x14ac:dyDescent="0.2">
      <c r="A217" s="1457" t="s">
        <v>164</v>
      </c>
      <c r="B217" s="591">
        <v>1200</v>
      </c>
      <c r="C217" s="593"/>
      <c r="D217" s="1946">
        <v>270925</v>
      </c>
      <c r="E217" s="593"/>
      <c r="F217" s="593"/>
      <c r="G217" s="593"/>
      <c r="H217" s="593"/>
      <c r="I217" s="593"/>
      <c r="J217" s="593"/>
      <c r="K217" s="1624">
        <f t="shared" si="19"/>
        <v>270925</v>
      </c>
      <c r="L217" s="1968">
        <v>385973</v>
      </c>
    </row>
    <row r="218" spans="1:14" x14ac:dyDescent="0.2">
      <c r="A218" s="1457" t="s">
        <v>277</v>
      </c>
      <c r="B218" s="591" t="s">
        <v>967</v>
      </c>
      <c r="C218" s="593"/>
      <c r="D218" s="1947">
        <v>24207</v>
      </c>
      <c r="E218" s="593"/>
      <c r="F218" s="593"/>
      <c r="G218" s="593"/>
      <c r="H218" s="593"/>
      <c r="I218" s="593"/>
      <c r="J218" s="593"/>
      <c r="K218" s="1624">
        <f t="shared" si="19"/>
        <v>24207</v>
      </c>
      <c r="L218" s="1968">
        <v>32933</v>
      </c>
    </row>
    <row r="219" spans="1:14" x14ac:dyDescent="0.2">
      <c r="A219" s="1457" t="s">
        <v>278</v>
      </c>
      <c r="B219" s="591">
        <v>1250</v>
      </c>
      <c r="C219" s="593"/>
      <c r="D219" s="1946">
        <v>5159</v>
      </c>
      <c r="E219" s="593"/>
      <c r="F219" s="593"/>
      <c r="G219" s="593"/>
      <c r="H219" s="593"/>
      <c r="I219" s="593"/>
      <c r="J219" s="593"/>
      <c r="K219" s="1624">
        <f t="shared" si="19"/>
        <v>5159</v>
      </c>
      <c r="L219" s="1968">
        <v>4867</v>
      </c>
    </row>
    <row r="220" spans="1:14" x14ac:dyDescent="0.2">
      <c r="A220" s="1457" t="s">
        <v>279</v>
      </c>
      <c r="B220" s="591" t="s">
        <v>161</v>
      </c>
      <c r="C220" s="593"/>
      <c r="D220" s="1947">
        <v>0</v>
      </c>
      <c r="E220" s="593"/>
      <c r="F220" s="593"/>
      <c r="G220" s="593"/>
      <c r="H220" s="593"/>
      <c r="I220" s="593"/>
      <c r="J220" s="593"/>
      <c r="K220" s="1624">
        <f t="shared" si="19"/>
        <v>0</v>
      </c>
      <c r="L220" s="1968">
        <v>0</v>
      </c>
    </row>
    <row r="221" spans="1:14" x14ac:dyDescent="0.2">
      <c r="A221" s="1457" t="s">
        <v>961</v>
      </c>
      <c r="B221" s="591">
        <v>1300</v>
      </c>
      <c r="C221" s="593"/>
      <c r="D221" s="1946">
        <v>0</v>
      </c>
      <c r="E221" s="593"/>
      <c r="F221" s="593"/>
      <c r="G221" s="593"/>
      <c r="H221" s="593"/>
      <c r="I221" s="593"/>
      <c r="J221" s="593"/>
      <c r="K221" s="1624">
        <f t="shared" si="19"/>
        <v>0</v>
      </c>
      <c r="L221" s="1968">
        <v>0</v>
      </c>
    </row>
    <row r="222" spans="1:14" x14ac:dyDescent="0.2">
      <c r="A222" s="1457" t="s">
        <v>722</v>
      </c>
      <c r="B222" s="591">
        <v>1400</v>
      </c>
      <c r="C222" s="593"/>
      <c r="D222" s="1946">
        <v>0</v>
      </c>
      <c r="E222" s="593"/>
      <c r="F222" s="593"/>
      <c r="G222" s="593"/>
      <c r="H222" s="593"/>
      <c r="I222" s="593"/>
      <c r="J222" s="593"/>
      <c r="K222" s="1624">
        <f t="shared" si="19"/>
        <v>0</v>
      </c>
      <c r="L222" s="1968">
        <v>0</v>
      </c>
    </row>
    <row r="223" spans="1:14" x14ac:dyDescent="0.2">
      <c r="A223" s="1457" t="s">
        <v>962</v>
      </c>
      <c r="B223" s="591">
        <v>1500</v>
      </c>
      <c r="C223" s="593"/>
      <c r="D223" s="1946">
        <v>8872</v>
      </c>
      <c r="E223" s="593"/>
      <c r="F223" s="593"/>
      <c r="G223" s="593"/>
      <c r="H223" s="593"/>
      <c r="I223" s="593"/>
      <c r="J223" s="593"/>
      <c r="K223" s="1624">
        <f t="shared" si="19"/>
        <v>8872</v>
      </c>
      <c r="L223" s="1968">
        <v>8177</v>
      </c>
    </row>
    <row r="224" spans="1:14" x14ac:dyDescent="0.2">
      <c r="A224" s="1457" t="s">
        <v>963</v>
      </c>
      <c r="B224" s="591">
        <v>1600</v>
      </c>
      <c r="C224" s="593"/>
      <c r="D224" s="1946">
        <v>15630</v>
      </c>
      <c r="E224" s="593"/>
      <c r="F224" s="593"/>
      <c r="G224" s="593"/>
      <c r="H224" s="593"/>
      <c r="I224" s="593"/>
      <c r="J224" s="593"/>
      <c r="K224" s="1624">
        <f t="shared" si="19"/>
        <v>15630</v>
      </c>
      <c r="L224" s="1968">
        <v>13155</v>
      </c>
    </row>
    <row r="225" spans="1:12" x14ac:dyDescent="0.2">
      <c r="A225" s="1457" t="s">
        <v>986</v>
      </c>
      <c r="B225" s="591">
        <v>1650</v>
      </c>
      <c r="C225" s="593"/>
      <c r="D225" s="1946">
        <v>0</v>
      </c>
      <c r="E225" s="593"/>
      <c r="F225" s="593"/>
      <c r="G225" s="593"/>
      <c r="H225" s="593"/>
      <c r="I225" s="593"/>
      <c r="J225" s="593"/>
      <c r="K225" s="1624">
        <f t="shared" si="19"/>
        <v>0</v>
      </c>
      <c r="L225" s="1968">
        <v>0</v>
      </c>
    </row>
    <row r="226" spans="1:12" x14ac:dyDescent="0.2">
      <c r="A226" s="1457" t="s">
        <v>723</v>
      </c>
      <c r="B226" s="591" t="s">
        <v>162</v>
      </c>
      <c r="C226" s="593"/>
      <c r="D226" s="1947">
        <v>0</v>
      </c>
      <c r="E226" s="593"/>
      <c r="F226" s="593"/>
      <c r="G226" s="593"/>
      <c r="H226" s="593"/>
      <c r="I226" s="593"/>
      <c r="J226" s="593"/>
      <c r="K226" s="1624">
        <f t="shared" si="19"/>
        <v>0</v>
      </c>
      <c r="L226" s="1968">
        <v>0</v>
      </c>
    </row>
    <row r="227" spans="1:12" x14ac:dyDescent="0.2">
      <c r="A227" s="1457" t="s">
        <v>1086</v>
      </c>
      <c r="B227" s="591">
        <v>1800</v>
      </c>
      <c r="C227" s="593"/>
      <c r="D227" s="1946">
        <v>60127</v>
      </c>
      <c r="E227" s="593"/>
      <c r="F227" s="593"/>
      <c r="G227" s="593"/>
      <c r="H227" s="593"/>
      <c r="I227" s="593"/>
      <c r="J227" s="593"/>
      <c r="K227" s="1624">
        <f t="shared" si="19"/>
        <v>60127</v>
      </c>
      <c r="L227" s="1968">
        <v>67629</v>
      </c>
    </row>
    <row r="228" spans="1:12" x14ac:dyDescent="0.2">
      <c r="A228" s="1457" t="s">
        <v>1087</v>
      </c>
      <c r="B228" s="591">
        <v>1900</v>
      </c>
      <c r="C228" s="593"/>
      <c r="D228" s="1946">
        <v>0</v>
      </c>
      <c r="E228" s="593"/>
      <c r="F228" s="593"/>
      <c r="G228" s="593"/>
      <c r="H228" s="593"/>
      <c r="I228" s="593"/>
      <c r="J228" s="593"/>
      <c r="K228" s="1624">
        <f t="shared" si="19"/>
        <v>0</v>
      </c>
      <c r="L228" s="1968">
        <v>0</v>
      </c>
    </row>
    <row r="229" spans="1:12" ht="12.75" customHeight="1" thickBot="1" x14ac:dyDescent="0.25">
      <c r="A229" s="1621" t="s">
        <v>714</v>
      </c>
      <c r="B229" s="1628" t="s">
        <v>569</v>
      </c>
      <c r="C229" s="593"/>
      <c r="D229" s="1623">
        <f>SUM(D215:D228)</f>
        <v>682927</v>
      </c>
      <c r="E229" s="593"/>
      <c r="F229" s="593"/>
      <c r="G229" s="593"/>
      <c r="H229" s="593"/>
      <c r="I229" s="593"/>
      <c r="J229" s="593"/>
      <c r="K229" s="1623">
        <f>SUM(K215:K228)</f>
        <v>682927</v>
      </c>
      <c r="L229" s="1623">
        <f>SUM(L215:L228)</f>
        <v>801992</v>
      </c>
    </row>
    <row r="230" spans="1:12" ht="15.75" customHeight="1" thickTop="1" x14ac:dyDescent="0.2">
      <c r="A230" s="1565" t="s">
        <v>873</v>
      </c>
      <c r="B230" s="1566" t="s">
        <v>568</v>
      </c>
      <c r="C230" s="593"/>
      <c r="D230" s="593"/>
      <c r="E230" s="593"/>
      <c r="F230" s="593"/>
      <c r="G230" s="593"/>
      <c r="H230" s="593"/>
      <c r="I230" s="593"/>
      <c r="J230" s="593"/>
      <c r="K230" s="593"/>
      <c r="L230" s="593"/>
    </row>
    <row r="231" spans="1:12" ht="15.75" customHeight="1" x14ac:dyDescent="0.2">
      <c r="A231" s="629" t="s">
        <v>590</v>
      </c>
      <c r="B231" s="599"/>
      <c r="C231" s="593"/>
      <c r="D231" s="593"/>
      <c r="E231" s="593"/>
      <c r="F231" s="593"/>
      <c r="G231" s="593"/>
      <c r="H231" s="593"/>
      <c r="I231" s="593"/>
      <c r="J231" s="593"/>
      <c r="K231" s="593"/>
      <c r="L231" s="593"/>
    </row>
    <row r="232" spans="1:12" x14ac:dyDescent="0.2">
      <c r="A232" s="1457" t="s">
        <v>1088</v>
      </c>
      <c r="B232" s="591">
        <v>2110</v>
      </c>
      <c r="C232" s="593"/>
      <c r="D232" s="1946">
        <v>13355</v>
      </c>
      <c r="E232" s="593"/>
      <c r="F232" s="593"/>
      <c r="G232" s="593"/>
      <c r="H232" s="593"/>
      <c r="I232" s="593"/>
      <c r="J232" s="593"/>
      <c r="K232" s="1624">
        <f t="shared" ref="K232:K237" si="20">D232</f>
        <v>13355</v>
      </c>
      <c r="L232" s="1968">
        <v>13377</v>
      </c>
    </row>
    <row r="233" spans="1:12" x14ac:dyDescent="0.2">
      <c r="A233" s="1457" t="s">
        <v>1089</v>
      </c>
      <c r="B233" s="591">
        <v>2120</v>
      </c>
      <c r="C233" s="593"/>
      <c r="D233" s="1946">
        <v>49</v>
      </c>
      <c r="E233" s="593"/>
      <c r="F233" s="593"/>
      <c r="G233" s="593"/>
      <c r="H233" s="593"/>
      <c r="I233" s="593"/>
      <c r="J233" s="593"/>
      <c r="K233" s="1624">
        <f t="shared" si="20"/>
        <v>49</v>
      </c>
      <c r="L233" s="1968">
        <v>0</v>
      </c>
    </row>
    <row r="234" spans="1:12" x14ac:dyDescent="0.2">
      <c r="A234" s="1457" t="s">
        <v>198</v>
      </c>
      <c r="B234" s="591">
        <v>2130</v>
      </c>
      <c r="C234" s="593"/>
      <c r="D234" s="1946">
        <v>52426</v>
      </c>
      <c r="E234" s="593"/>
      <c r="F234" s="593"/>
      <c r="G234" s="593"/>
      <c r="H234" s="593"/>
      <c r="I234" s="593"/>
      <c r="J234" s="593"/>
      <c r="K234" s="1624">
        <f t="shared" si="20"/>
        <v>52426</v>
      </c>
      <c r="L234" s="1968">
        <v>58180</v>
      </c>
    </row>
    <row r="235" spans="1:12" x14ac:dyDescent="0.2">
      <c r="A235" s="1457" t="s">
        <v>199</v>
      </c>
      <c r="B235" s="591">
        <v>2140</v>
      </c>
      <c r="C235" s="593"/>
      <c r="D235" s="1946">
        <v>5901</v>
      </c>
      <c r="E235" s="593"/>
      <c r="F235" s="593"/>
      <c r="G235" s="593"/>
      <c r="H235" s="593"/>
      <c r="I235" s="593"/>
      <c r="J235" s="593"/>
      <c r="K235" s="1624">
        <f t="shared" si="20"/>
        <v>5901</v>
      </c>
      <c r="L235" s="1968">
        <v>5625</v>
      </c>
    </row>
    <row r="236" spans="1:12" x14ac:dyDescent="0.2">
      <c r="A236" s="1457" t="s">
        <v>200</v>
      </c>
      <c r="B236" s="591">
        <v>2150</v>
      </c>
      <c r="C236" s="593"/>
      <c r="D236" s="1946">
        <v>11632</v>
      </c>
      <c r="E236" s="593"/>
      <c r="F236" s="593"/>
      <c r="G236" s="593"/>
      <c r="H236" s="593"/>
      <c r="I236" s="593"/>
      <c r="J236" s="593"/>
      <c r="K236" s="1624">
        <f t="shared" si="20"/>
        <v>11632</v>
      </c>
      <c r="L236" s="1968">
        <v>15944</v>
      </c>
    </row>
    <row r="237" spans="1:12" x14ac:dyDescent="0.2">
      <c r="A237" s="1457" t="s">
        <v>165</v>
      </c>
      <c r="B237" s="591">
        <v>2190</v>
      </c>
      <c r="C237" s="593"/>
      <c r="D237" s="1946">
        <v>70803</v>
      </c>
      <c r="E237" s="593"/>
      <c r="F237" s="593"/>
      <c r="G237" s="593"/>
      <c r="H237" s="593"/>
      <c r="I237" s="593"/>
      <c r="J237" s="593"/>
      <c r="K237" s="1624">
        <f t="shared" si="20"/>
        <v>70803</v>
      </c>
      <c r="L237" s="1968">
        <v>1710</v>
      </c>
    </row>
    <row r="238" spans="1:12" ht="12.75" customHeight="1" thickBot="1" x14ac:dyDescent="0.25">
      <c r="A238" s="1621" t="s">
        <v>559</v>
      </c>
      <c r="B238" s="1628" t="s">
        <v>715</v>
      </c>
      <c r="C238" s="593"/>
      <c r="D238" s="1623">
        <f>SUM(D232:D237)</f>
        <v>154166</v>
      </c>
      <c r="E238" s="593"/>
      <c r="F238" s="593"/>
      <c r="G238" s="593"/>
      <c r="H238" s="593"/>
      <c r="I238" s="593"/>
      <c r="J238" s="593"/>
      <c r="K238" s="1623">
        <f>SUM(K232:K237)</f>
        <v>154166</v>
      </c>
      <c r="L238" s="1623">
        <f>SUM(L232:L237)</f>
        <v>94836</v>
      </c>
    </row>
    <row r="239" spans="1:12" ht="15.75" customHeight="1" thickTop="1" x14ac:dyDescent="0.2">
      <c r="A239" s="601" t="s">
        <v>591</v>
      </c>
      <c r="B239" s="608"/>
      <c r="C239" s="593"/>
      <c r="D239" s="603"/>
      <c r="E239" s="593"/>
      <c r="F239" s="593"/>
      <c r="G239" s="593"/>
      <c r="H239" s="593"/>
      <c r="I239" s="593"/>
      <c r="J239" s="593"/>
      <c r="K239" s="603"/>
      <c r="L239" s="603"/>
    </row>
    <row r="240" spans="1:12" x14ac:dyDescent="0.2">
      <c r="A240" s="1457" t="s">
        <v>813</v>
      </c>
      <c r="B240" s="591">
        <v>2210</v>
      </c>
      <c r="C240" s="593"/>
      <c r="D240" s="477">
        <v>3960</v>
      </c>
      <c r="E240" s="593"/>
      <c r="F240" s="593"/>
      <c r="G240" s="593"/>
      <c r="H240" s="593"/>
      <c r="I240" s="593"/>
      <c r="J240" s="593"/>
      <c r="K240" s="1625">
        <f>D240</f>
        <v>3960</v>
      </c>
      <c r="L240" s="477">
        <v>4098</v>
      </c>
    </row>
    <row r="241" spans="1:12" x14ac:dyDescent="0.2">
      <c r="A241" s="1457" t="s">
        <v>814</v>
      </c>
      <c r="B241" s="591">
        <v>2220</v>
      </c>
      <c r="C241" s="593"/>
      <c r="D241" s="1946">
        <v>14777</v>
      </c>
      <c r="E241" s="593"/>
      <c r="F241" s="593"/>
      <c r="G241" s="593"/>
      <c r="H241" s="593"/>
      <c r="I241" s="593"/>
      <c r="J241" s="593"/>
      <c r="K241" s="1625">
        <f>D241</f>
        <v>14777</v>
      </c>
      <c r="L241" s="1968">
        <v>16232</v>
      </c>
    </row>
    <row r="242" spans="1:12" x14ac:dyDescent="0.2">
      <c r="A242" s="1457" t="s">
        <v>815</v>
      </c>
      <c r="B242" s="591">
        <v>2230</v>
      </c>
      <c r="C242" s="593"/>
      <c r="D242" s="1946">
        <v>0</v>
      </c>
      <c r="E242" s="593"/>
      <c r="F242" s="593"/>
      <c r="G242" s="593"/>
      <c r="H242" s="593"/>
      <c r="I242" s="593"/>
      <c r="J242" s="593"/>
      <c r="K242" s="1625">
        <f>D242</f>
        <v>0</v>
      </c>
      <c r="L242" s="1968">
        <v>0</v>
      </c>
    </row>
    <row r="243" spans="1:12" ht="12.75" customHeight="1" thickBot="1" x14ac:dyDescent="0.25">
      <c r="A243" s="1647" t="s">
        <v>560</v>
      </c>
      <c r="B243" s="1648">
        <v>2200</v>
      </c>
      <c r="C243" s="593"/>
      <c r="D243" s="1623">
        <f>SUM(D240:D242)</f>
        <v>18737</v>
      </c>
      <c r="E243" s="593"/>
      <c r="F243" s="593"/>
      <c r="G243" s="593"/>
      <c r="H243" s="593"/>
      <c r="I243" s="593"/>
      <c r="J243" s="593"/>
      <c r="K243" s="1623">
        <f>SUM(K240:K242)</f>
        <v>18737</v>
      </c>
      <c r="L243" s="1623">
        <f>SUM(L240:L242)</f>
        <v>20330</v>
      </c>
    </row>
    <row r="244" spans="1:12" ht="15.75" customHeight="1" thickTop="1" x14ac:dyDescent="0.2">
      <c r="A244" s="601" t="s">
        <v>609</v>
      </c>
      <c r="B244" s="657"/>
      <c r="C244" s="593"/>
      <c r="D244" s="603"/>
      <c r="E244" s="593"/>
      <c r="F244" s="593"/>
      <c r="G244" s="593"/>
      <c r="H244" s="593"/>
      <c r="I244" s="593"/>
      <c r="J244" s="593"/>
      <c r="K244" s="603"/>
      <c r="L244" s="603"/>
    </row>
    <row r="245" spans="1:12" x14ac:dyDescent="0.2">
      <c r="A245" s="1457" t="s">
        <v>816</v>
      </c>
      <c r="B245" s="591">
        <v>2310</v>
      </c>
      <c r="C245" s="593"/>
      <c r="D245" s="477">
        <v>0</v>
      </c>
      <c r="E245" s="593"/>
      <c r="F245" s="593"/>
      <c r="G245" s="593"/>
      <c r="H245" s="593"/>
      <c r="I245" s="593"/>
      <c r="J245" s="593"/>
      <c r="K245" s="1625">
        <f>D245</f>
        <v>0</v>
      </c>
      <c r="L245" s="477">
        <v>0</v>
      </c>
    </row>
    <row r="246" spans="1:12" x14ac:dyDescent="0.2">
      <c r="A246" s="1457" t="s">
        <v>817</v>
      </c>
      <c r="B246" s="591">
        <v>2320</v>
      </c>
      <c r="C246" s="593"/>
      <c r="D246" s="1946">
        <v>3447</v>
      </c>
      <c r="E246" s="593"/>
      <c r="F246" s="593"/>
      <c r="G246" s="593"/>
      <c r="H246" s="593"/>
      <c r="I246" s="593"/>
      <c r="J246" s="593"/>
      <c r="K246" s="1625">
        <f t="shared" ref="K246:K256" si="21">D246</f>
        <v>3447</v>
      </c>
      <c r="L246" s="1968">
        <v>12859</v>
      </c>
    </row>
    <row r="247" spans="1:12" x14ac:dyDescent="0.2">
      <c r="A247" s="1457" t="s">
        <v>818</v>
      </c>
      <c r="B247" s="591">
        <v>2330</v>
      </c>
      <c r="C247" s="593"/>
      <c r="D247" s="1946">
        <v>0</v>
      </c>
      <c r="E247" s="593"/>
      <c r="F247" s="593"/>
      <c r="G247" s="593"/>
      <c r="H247" s="593"/>
      <c r="I247" s="593"/>
      <c r="J247" s="593"/>
      <c r="K247" s="1625">
        <f t="shared" si="21"/>
        <v>0</v>
      </c>
      <c r="L247" s="1968">
        <v>0</v>
      </c>
    </row>
    <row r="248" spans="1:12" x14ac:dyDescent="0.2">
      <c r="A248" s="1458" t="s">
        <v>298</v>
      </c>
      <c r="B248" s="579" t="s">
        <v>280</v>
      </c>
      <c r="C248" s="593"/>
      <c r="D248" s="1949">
        <v>0</v>
      </c>
      <c r="E248" s="593"/>
      <c r="F248" s="593"/>
      <c r="G248" s="593"/>
      <c r="H248" s="593"/>
      <c r="I248" s="593"/>
      <c r="J248" s="593"/>
      <c r="K248" s="1625">
        <f t="shared" si="21"/>
        <v>0</v>
      </c>
      <c r="L248" s="1968">
        <v>0</v>
      </c>
    </row>
    <row r="249" spans="1:12" x14ac:dyDescent="0.2">
      <c r="A249" s="1459" t="s">
        <v>1779</v>
      </c>
      <c r="B249" s="658" t="s">
        <v>281</v>
      </c>
      <c r="C249" s="593"/>
      <c r="D249" s="1949">
        <v>0</v>
      </c>
      <c r="E249" s="593"/>
      <c r="F249" s="593"/>
      <c r="G249" s="593"/>
      <c r="H249" s="593"/>
      <c r="I249" s="593"/>
      <c r="J249" s="593"/>
      <c r="K249" s="1625">
        <f t="shared" si="21"/>
        <v>0</v>
      </c>
      <c r="L249" s="1968">
        <v>0</v>
      </c>
    </row>
    <row r="250" spans="1:12" x14ac:dyDescent="0.2">
      <c r="A250" s="1458" t="s">
        <v>1780</v>
      </c>
      <c r="B250" s="579" t="s">
        <v>282</v>
      </c>
      <c r="C250" s="593"/>
      <c r="D250" s="1949">
        <v>0</v>
      </c>
      <c r="E250" s="593"/>
      <c r="F250" s="593"/>
      <c r="G250" s="593"/>
      <c r="H250" s="593"/>
      <c r="I250" s="593"/>
      <c r="J250" s="593"/>
      <c r="K250" s="1625">
        <f t="shared" si="21"/>
        <v>0</v>
      </c>
      <c r="L250" s="1968">
        <v>0</v>
      </c>
    </row>
    <row r="251" spans="1:12" x14ac:dyDescent="0.2">
      <c r="A251" s="1458" t="s">
        <v>238</v>
      </c>
      <c r="B251" s="579" t="s">
        <v>283</v>
      </c>
      <c r="C251" s="593"/>
      <c r="D251" s="1949">
        <v>0</v>
      </c>
      <c r="E251" s="593"/>
      <c r="F251" s="593"/>
      <c r="G251" s="593"/>
      <c r="H251" s="593"/>
      <c r="I251" s="593"/>
      <c r="J251" s="593"/>
      <c r="K251" s="1625">
        <f t="shared" si="21"/>
        <v>0</v>
      </c>
      <c r="L251" s="1968">
        <v>0</v>
      </c>
    </row>
    <row r="252" spans="1:12" x14ac:dyDescent="0.2">
      <c r="A252" s="1458" t="s">
        <v>701</v>
      </c>
      <c r="B252" s="579" t="s">
        <v>284</v>
      </c>
      <c r="C252" s="593"/>
      <c r="D252" s="1949">
        <v>0</v>
      </c>
      <c r="E252" s="593"/>
      <c r="F252" s="593"/>
      <c r="G252" s="593"/>
      <c r="H252" s="593"/>
      <c r="I252" s="593"/>
      <c r="J252" s="593"/>
      <c r="K252" s="1625">
        <f t="shared" si="21"/>
        <v>0</v>
      </c>
      <c r="L252" s="1968">
        <v>0</v>
      </c>
    </row>
    <row r="253" spans="1:12" x14ac:dyDescent="0.2">
      <c r="A253" s="1458" t="s">
        <v>239</v>
      </c>
      <c r="B253" s="579" t="s">
        <v>285</v>
      </c>
      <c r="C253" s="593"/>
      <c r="D253" s="1949">
        <v>0</v>
      </c>
      <c r="E253" s="593"/>
      <c r="F253" s="593"/>
      <c r="G253" s="593"/>
      <c r="H253" s="593"/>
      <c r="I253" s="593"/>
      <c r="J253" s="593"/>
      <c r="K253" s="1625">
        <f t="shared" si="21"/>
        <v>0</v>
      </c>
      <c r="L253" s="1968">
        <v>0</v>
      </c>
    </row>
    <row r="254" spans="1:12" ht="22.5" x14ac:dyDescent="0.2">
      <c r="A254" s="1458" t="s">
        <v>1028</v>
      </c>
      <c r="B254" s="658" t="s">
        <v>286</v>
      </c>
      <c r="C254" s="593"/>
      <c r="D254" s="1949">
        <v>0</v>
      </c>
      <c r="E254" s="593"/>
      <c r="F254" s="593"/>
      <c r="G254" s="593"/>
      <c r="H254" s="593"/>
      <c r="I254" s="593"/>
      <c r="J254" s="593"/>
      <c r="K254" s="1625">
        <f t="shared" si="21"/>
        <v>0</v>
      </c>
      <c r="L254" s="1968">
        <v>0</v>
      </c>
    </row>
    <row r="255" spans="1:12" x14ac:dyDescent="0.2">
      <c r="A255" s="1458" t="s">
        <v>1029</v>
      </c>
      <c r="B255" s="579" t="s">
        <v>287</v>
      </c>
      <c r="C255" s="593"/>
      <c r="D255" s="1949">
        <v>0</v>
      </c>
      <c r="E255" s="593"/>
      <c r="F255" s="593"/>
      <c r="G255" s="593"/>
      <c r="H255" s="593"/>
      <c r="I255" s="593"/>
      <c r="J255" s="593"/>
      <c r="K255" s="1625">
        <f t="shared" si="21"/>
        <v>0</v>
      </c>
      <c r="L255" s="1968">
        <v>0</v>
      </c>
    </row>
    <row r="256" spans="1:12" x14ac:dyDescent="0.2">
      <c r="A256" s="1458" t="s">
        <v>970</v>
      </c>
      <c r="B256" s="591" t="s">
        <v>288</v>
      </c>
      <c r="C256" s="593"/>
      <c r="D256" s="1949">
        <v>0</v>
      </c>
      <c r="E256" s="593"/>
      <c r="F256" s="593"/>
      <c r="G256" s="593"/>
      <c r="H256" s="593"/>
      <c r="I256" s="593"/>
      <c r="J256" s="593"/>
      <c r="K256" s="1625">
        <f t="shared" si="21"/>
        <v>0</v>
      </c>
      <c r="L256" s="1968">
        <v>0</v>
      </c>
    </row>
    <row r="257" spans="1:14" ht="12.75" customHeight="1" thickBot="1" x14ac:dyDescent="0.25">
      <c r="A257" s="1621" t="s">
        <v>716</v>
      </c>
      <c r="B257" s="1649">
        <v>2300</v>
      </c>
      <c r="C257" s="593"/>
      <c r="D257" s="1623">
        <f>SUM(D245:D256)</f>
        <v>3447</v>
      </c>
      <c r="E257" s="593"/>
      <c r="F257" s="593"/>
      <c r="G257" s="593"/>
      <c r="H257" s="593"/>
      <c r="I257" s="593"/>
      <c r="J257" s="593"/>
      <c r="K257" s="1623">
        <f>SUM(K245:K256)</f>
        <v>3447</v>
      </c>
      <c r="L257" s="1623">
        <f>SUM(L245:L256)</f>
        <v>12859</v>
      </c>
    </row>
    <row r="258" spans="1:14" ht="15.75" customHeight="1" thickTop="1" x14ac:dyDescent="0.2">
      <c r="A258" s="601" t="s">
        <v>610</v>
      </c>
      <c r="B258" s="659"/>
      <c r="C258" s="593"/>
      <c r="D258" s="603"/>
      <c r="E258" s="593"/>
      <c r="F258" s="593"/>
      <c r="G258" s="593"/>
      <c r="H258" s="593"/>
      <c r="I258" s="593"/>
      <c r="J258" s="593"/>
      <c r="K258" s="603"/>
      <c r="L258" s="603"/>
    </row>
    <row r="259" spans="1:14" x14ac:dyDescent="0.2">
      <c r="A259" s="1457" t="s">
        <v>1066</v>
      </c>
      <c r="B259" s="660">
        <v>2410</v>
      </c>
      <c r="C259" s="593"/>
      <c r="D259" s="477">
        <v>164559</v>
      </c>
      <c r="E259" s="593"/>
      <c r="F259" s="593"/>
      <c r="G259" s="593"/>
      <c r="H259" s="593"/>
      <c r="I259" s="593"/>
      <c r="J259" s="593"/>
      <c r="K259" s="1625">
        <f>D259</f>
        <v>164559</v>
      </c>
      <c r="L259" s="477">
        <v>148995</v>
      </c>
    </row>
    <row r="260" spans="1:14" s="574" customFormat="1" x14ac:dyDescent="0.2">
      <c r="A260" s="1475" t="s">
        <v>1778</v>
      </c>
      <c r="B260" s="605">
        <v>2490</v>
      </c>
      <c r="C260" s="593"/>
      <c r="D260" s="1946">
        <v>0</v>
      </c>
      <c r="E260" s="593"/>
      <c r="F260" s="593"/>
      <c r="G260" s="593"/>
      <c r="H260" s="593"/>
      <c r="I260" s="593"/>
      <c r="J260" s="593"/>
      <c r="K260" s="1625">
        <f>D260</f>
        <v>0</v>
      </c>
      <c r="L260" s="1968">
        <v>0</v>
      </c>
      <c r="M260" s="210"/>
      <c r="N260" s="210"/>
    </row>
    <row r="261" spans="1:14" ht="12.75" customHeight="1" thickBot="1" x14ac:dyDescent="0.25">
      <c r="A261" s="1645" t="s">
        <v>263</v>
      </c>
      <c r="B261" s="1650" t="s">
        <v>34</v>
      </c>
      <c r="C261" s="593"/>
      <c r="D261" s="1623">
        <f>SUM(D259:D260)</f>
        <v>164559</v>
      </c>
      <c r="E261" s="593"/>
      <c r="F261" s="593"/>
      <c r="G261" s="593"/>
      <c r="H261" s="593"/>
      <c r="I261" s="593"/>
      <c r="J261" s="593"/>
      <c r="K261" s="1623">
        <f>SUM(K259:K260)</f>
        <v>164559</v>
      </c>
      <c r="L261" s="1623">
        <f>SUM(L259:L260)</f>
        <v>148995</v>
      </c>
    </row>
    <row r="262" spans="1:14" ht="15.75" customHeight="1" thickTop="1" x14ac:dyDescent="0.2">
      <c r="A262" s="601" t="s">
        <v>611</v>
      </c>
      <c r="B262" s="659"/>
      <c r="C262" s="593"/>
      <c r="D262" s="593"/>
      <c r="E262" s="593"/>
      <c r="F262" s="593"/>
      <c r="G262" s="593"/>
      <c r="H262" s="593"/>
      <c r="I262" s="593"/>
      <c r="J262" s="593"/>
      <c r="K262" s="603"/>
      <c r="L262" s="603"/>
    </row>
    <row r="263" spans="1:14" x14ac:dyDescent="0.2">
      <c r="A263" s="1457" t="s">
        <v>1067</v>
      </c>
      <c r="B263" s="660">
        <v>2510</v>
      </c>
      <c r="C263" s="593"/>
      <c r="D263" s="1946">
        <v>2369</v>
      </c>
      <c r="E263" s="593"/>
      <c r="F263" s="593"/>
      <c r="G263" s="593"/>
      <c r="H263" s="593"/>
      <c r="I263" s="593"/>
      <c r="J263" s="593"/>
      <c r="K263" s="1625">
        <f>D263</f>
        <v>2369</v>
      </c>
      <c r="L263" s="477">
        <v>1616</v>
      </c>
    </row>
    <row r="264" spans="1:14" x14ac:dyDescent="0.2">
      <c r="A264" s="1457" t="s">
        <v>462</v>
      </c>
      <c r="B264" s="660">
        <v>2520</v>
      </c>
      <c r="C264" s="593"/>
      <c r="D264" s="1946">
        <v>113159</v>
      </c>
      <c r="E264" s="593"/>
      <c r="F264" s="593"/>
      <c r="G264" s="593"/>
      <c r="H264" s="593"/>
      <c r="I264" s="593"/>
      <c r="J264" s="593"/>
      <c r="K264" s="1625">
        <f t="shared" ref="K264:K269" si="22">D264</f>
        <v>113159</v>
      </c>
      <c r="L264" s="1968">
        <v>77050</v>
      </c>
    </row>
    <row r="265" spans="1:14" x14ac:dyDescent="0.2">
      <c r="A265" s="1457" t="s">
        <v>4</v>
      </c>
      <c r="B265" s="591">
        <v>2530</v>
      </c>
      <c r="C265" s="593"/>
      <c r="D265" s="1946">
        <v>0</v>
      </c>
      <c r="E265" s="593"/>
      <c r="F265" s="593"/>
      <c r="G265" s="593"/>
      <c r="H265" s="593"/>
      <c r="I265" s="593"/>
      <c r="J265" s="593"/>
      <c r="K265" s="1625">
        <f t="shared" si="22"/>
        <v>0</v>
      </c>
      <c r="L265" s="1968">
        <v>0</v>
      </c>
    </row>
    <row r="266" spans="1:14" x14ac:dyDescent="0.2">
      <c r="A266" s="1457" t="s">
        <v>197</v>
      </c>
      <c r="B266" s="591">
        <v>2540</v>
      </c>
      <c r="C266" s="593"/>
      <c r="D266" s="1946">
        <v>171636</v>
      </c>
      <c r="E266" s="593"/>
      <c r="F266" s="593"/>
      <c r="G266" s="593"/>
      <c r="H266" s="593"/>
      <c r="I266" s="593"/>
      <c r="J266" s="593"/>
      <c r="K266" s="1625">
        <f t="shared" si="22"/>
        <v>171636</v>
      </c>
      <c r="L266" s="1968">
        <v>213840</v>
      </c>
    </row>
    <row r="267" spans="1:14" x14ac:dyDescent="0.2">
      <c r="A267" s="1457" t="s">
        <v>952</v>
      </c>
      <c r="B267" s="591">
        <v>2550</v>
      </c>
      <c r="C267" s="593"/>
      <c r="D267" s="1946">
        <v>5359</v>
      </c>
      <c r="E267" s="593"/>
      <c r="F267" s="593"/>
      <c r="G267" s="593"/>
      <c r="H267" s="593"/>
      <c r="I267" s="593"/>
      <c r="J267" s="593"/>
      <c r="K267" s="1625">
        <f t="shared" si="22"/>
        <v>5359</v>
      </c>
      <c r="L267" s="1968">
        <v>7445</v>
      </c>
    </row>
    <row r="268" spans="1:14" x14ac:dyDescent="0.2">
      <c r="A268" s="1457" t="s">
        <v>100</v>
      </c>
      <c r="B268" s="591">
        <v>2560</v>
      </c>
      <c r="C268" s="593"/>
      <c r="D268" s="1946">
        <v>10280</v>
      </c>
      <c r="E268" s="593"/>
      <c r="F268" s="593"/>
      <c r="G268" s="593"/>
      <c r="H268" s="593"/>
      <c r="I268" s="593"/>
      <c r="J268" s="593"/>
      <c r="K268" s="1625">
        <f t="shared" si="22"/>
        <v>10280</v>
      </c>
      <c r="L268" s="1968">
        <v>24092</v>
      </c>
    </row>
    <row r="269" spans="1:14" x14ac:dyDescent="0.2">
      <c r="A269" s="1457" t="s">
        <v>101</v>
      </c>
      <c r="B269" s="591">
        <v>2570</v>
      </c>
      <c r="C269" s="593"/>
      <c r="D269" s="1946">
        <v>0</v>
      </c>
      <c r="E269" s="593"/>
      <c r="F269" s="593"/>
      <c r="G269" s="593"/>
      <c r="H269" s="593"/>
      <c r="I269" s="593"/>
      <c r="J269" s="593"/>
      <c r="K269" s="1625">
        <f t="shared" si="22"/>
        <v>0</v>
      </c>
      <c r="L269" s="1968">
        <v>0</v>
      </c>
    </row>
    <row r="270" spans="1:14" ht="12.75" customHeight="1" thickBot="1" x14ac:dyDescent="0.25">
      <c r="A270" s="1621" t="s">
        <v>718</v>
      </c>
      <c r="B270" s="1628" t="s">
        <v>35</v>
      </c>
      <c r="C270" s="593"/>
      <c r="D270" s="1623">
        <f>SUM(D263:D269)</f>
        <v>302803</v>
      </c>
      <c r="E270" s="593"/>
      <c r="F270" s="593"/>
      <c r="G270" s="593"/>
      <c r="H270" s="593"/>
      <c r="I270" s="593"/>
      <c r="J270" s="593"/>
      <c r="K270" s="1623">
        <f>SUM(K263:K269)</f>
        <v>302803</v>
      </c>
      <c r="L270" s="1623">
        <f>SUM(L263:L269)</f>
        <v>324043</v>
      </c>
    </row>
    <row r="271" spans="1:14" ht="15.75" customHeight="1" thickTop="1" x14ac:dyDescent="0.2">
      <c r="A271" s="644" t="s">
        <v>612</v>
      </c>
      <c r="B271" s="602"/>
      <c r="C271" s="593"/>
      <c r="D271" s="603"/>
      <c r="E271" s="593"/>
      <c r="F271" s="593"/>
      <c r="G271" s="593"/>
      <c r="H271" s="593"/>
      <c r="I271" s="593"/>
      <c r="J271" s="593"/>
      <c r="K271" s="603"/>
      <c r="L271" s="603"/>
    </row>
    <row r="272" spans="1:14" x14ac:dyDescent="0.2">
      <c r="A272" s="1457" t="s">
        <v>1059</v>
      </c>
      <c r="B272" s="591">
        <v>2610</v>
      </c>
      <c r="C272" s="593"/>
      <c r="D272" s="477">
        <v>0</v>
      </c>
      <c r="E272" s="593"/>
      <c r="F272" s="593"/>
      <c r="G272" s="593"/>
      <c r="H272" s="593"/>
      <c r="I272" s="593"/>
      <c r="J272" s="593"/>
      <c r="K272" s="1625">
        <f>D272</f>
        <v>0</v>
      </c>
      <c r="L272" s="477">
        <v>0</v>
      </c>
    </row>
    <row r="273" spans="1:12" x14ac:dyDescent="0.2">
      <c r="A273" s="1457" t="s">
        <v>606</v>
      </c>
      <c r="B273" s="605">
        <v>2620</v>
      </c>
      <c r="C273" s="593"/>
      <c r="D273" s="1946">
        <v>0</v>
      </c>
      <c r="E273" s="593"/>
      <c r="F273" s="593"/>
      <c r="G273" s="593"/>
      <c r="H273" s="593"/>
      <c r="I273" s="593"/>
      <c r="J273" s="593"/>
      <c r="K273" s="1625">
        <f>D273</f>
        <v>0</v>
      </c>
      <c r="L273" s="1968">
        <v>0</v>
      </c>
    </row>
    <row r="274" spans="1:12" ht="12" customHeight="1" x14ac:dyDescent="0.2">
      <c r="A274" s="1457" t="s">
        <v>1060</v>
      </c>
      <c r="B274" s="591">
        <v>2630</v>
      </c>
      <c r="C274" s="593"/>
      <c r="D274" s="1946">
        <v>107975</v>
      </c>
      <c r="E274" s="593"/>
      <c r="F274" s="593"/>
      <c r="G274" s="593"/>
      <c r="H274" s="593"/>
      <c r="I274" s="593"/>
      <c r="J274" s="593"/>
      <c r="K274" s="1625">
        <f>D274</f>
        <v>107975</v>
      </c>
      <c r="L274" s="1968">
        <v>130276</v>
      </c>
    </row>
    <row r="275" spans="1:12" x14ac:dyDescent="0.2">
      <c r="A275" s="1457" t="s">
        <v>402</v>
      </c>
      <c r="B275" s="591">
        <v>2640</v>
      </c>
      <c r="C275" s="593"/>
      <c r="D275" s="1946">
        <v>2455</v>
      </c>
      <c r="E275" s="593"/>
      <c r="F275" s="593"/>
      <c r="G275" s="593"/>
      <c r="H275" s="593"/>
      <c r="I275" s="593"/>
      <c r="J275" s="593"/>
      <c r="K275" s="1625">
        <f>D275</f>
        <v>2455</v>
      </c>
      <c r="L275" s="1968">
        <v>25356</v>
      </c>
    </row>
    <row r="276" spans="1:12" x14ac:dyDescent="0.2">
      <c r="A276" s="1457" t="s">
        <v>403</v>
      </c>
      <c r="B276" s="591">
        <v>2660</v>
      </c>
      <c r="C276" s="593"/>
      <c r="D276" s="1946">
        <v>0</v>
      </c>
      <c r="E276" s="593"/>
      <c r="F276" s="593"/>
      <c r="G276" s="593"/>
      <c r="H276" s="593"/>
      <c r="I276" s="593"/>
      <c r="J276" s="593"/>
      <c r="K276" s="1625">
        <f>D276</f>
        <v>0</v>
      </c>
      <c r="L276" s="1968">
        <v>0</v>
      </c>
    </row>
    <row r="277" spans="1:12" ht="12.75" customHeight="1" thickBot="1" x14ac:dyDescent="0.25">
      <c r="A277" s="1644" t="s">
        <v>37</v>
      </c>
      <c r="B277" s="1622" t="s">
        <v>36</v>
      </c>
      <c r="C277" s="593"/>
      <c r="D277" s="1623">
        <f>SUM(D272:D276)</f>
        <v>110430</v>
      </c>
      <c r="E277" s="593"/>
      <c r="F277" s="593"/>
      <c r="G277" s="593"/>
      <c r="H277" s="593"/>
      <c r="I277" s="593"/>
      <c r="J277" s="593"/>
      <c r="K277" s="1623">
        <f>SUM(K272:K276)</f>
        <v>110430</v>
      </c>
      <c r="L277" s="1623">
        <f>SUM(L272:L276)</f>
        <v>155632</v>
      </c>
    </row>
    <row r="278" spans="1:12" ht="13.5" customHeight="1" thickTop="1" x14ac:dyDescent="0.2">
      <c r="A278" s="1463" t="s">
        <v>979</v>
      </c>
      <c r="B278" s="631" t="s">
        <v>573</v>
      </c>
      <c r="C278" s="593"/>
      <c r="D278" s="1962">
        <v>0</v>
      </c>
      <c r="E278" s="593"/>
      <c r="F278" s="593"/>
      <c r="G278" s="593"/>
      <c r="H278" s="593"/>
      <c r="I278" s="593"/>
      <c r="J278" s="593"/>
      <c r="K278" s="1638">
        <f>D278</f>
        <v>0</v>
      </c>
      <c r="L278" s="1983">
        <v>0</v>
      </c>
    </row>
    <row r="279" spans="1:12" ht="12.75" customHeight="1" thickBot="1" x14ac:dyDescent="0.25">
      <c r="A279" s="1651" t="s">
        <v>810</v>
      </c>
      <c r="B279" s="1634">
        <v>2000</v>
      </c>
      <c r="C279" s="593"/>
      <c r="D279" s="1630">
        <f>SUM(D238,D243,D257,D261,D270,D277,D278)</f>
        <v>754142</v>
      </c>
      <c r="E279" s="593"/>
      <c r="F279" s="593"/>
      <c r="G279" s="593"/>
      <c r="H279" s="593"/>
      <c r="I279" s="593"/>
      <c r="J279" s="593"/>
      <c r="K279" s="1630">
        <f>SUM(K238,K243,K257,K261,K270,K277,K278)</f>
        <v>754142</v>
      </c>
      <c r="L279" s="1630">
        <f>SUM(L238,L243,L257,L261,L270,L277,L278)</f>
        <v>756695</v>
      </c>
    </row>
    <row r="280" spans="1:12" ht="15.75" customHeight="1" thickTop="1" thickBot="1" x14ac:dyDescent="0.25">
      <c r="A280" s="1577" t="s">
        <v>874</v>
      </c>
      <c r="B280" s="1566">
        <v>3000</v>
      </c>
      <c r="C280" s="593"/>
      <c r="D280" s="1959">
        <v>50</v>
      </c>
      <c r="E280" s="593"/>
      <c r="F280" s="593"/>
      <c r="G280" s="593"/>
      <c r="H280" s="593"/>
      <c r="I280" s="593"/>
      <c r="J280" s="593"/>
      <c r="K280" s="1632">
        <f>D280</f>
        <v>50</v>
      </c>
      <c r="L280" s="1981">
        <v>23</v>
      </c>
    </row>
    <row r="281" spans="1:12" ht="15.75" customHeight="1" thickTop="1" x14ac:dyDescent="0.2">
      <c r="A281" s="1567" t="s">
        <v>142</v>
      </c>
      <c r="B281" s="1568" t="s">
        <v>859</v>
      </c>
      <c r="C281" s="593"/>
      <c r="D281" s="554"/>
      <c r="E281" s="593"/>
      <c r="F281" s="593"/>
      <c r="G281" s="593"/>
      <c r="H281" s="593"/>
      <c r="I281" s="593"/>
      <c r="J281" s="593"/>
      <c r="K281" s="593"/>
      <c r="L281" s="593"/>
    </row>
    <row r="282" spans="1:12" ht="15.75" customHeight="1" x14ac:dyDescent="0.2">
      <c r="A282" s="1783" t="s">
        <v>495</v>
      </c>
      <c r="B282" s="665" t="s">
        <v>1819</v>
      </c>
      <c r="C282" s="593"/>
      <c r="D282" s="1947">
        <v>0</v>
      </c>
      <c r="E282" s="593"/>
      <c r="F282" s="593"/>
      <c r="G282" s="593"/>
      <c r="H282" s="593"/>
      <c r="I282" s="593"/>
      <c r="J282" s="593"/>
      <c r="K282" s="1624">
        <f>D282</f>
        <v>0</v>
      </c>
      <c r="L282" s="1969">
        <v>0</v>
      </c>
    </row>
    <row r="283" spans="1:12" x14ac:dyDescent="0.2">
      <c r="A283" s="1457" t="s">
        <v>303</v>
      </c>
      <c r="B283" s="591">
        <v>4120</v>
      </c>
      <c r="C283" s="593"/>
      <c r="D283" s="1946">
        <v>0</v>
      </c>
      <c r="E283" s="593"/>
      <c r="F283" s="593"/>
      <c r="G283" s="593"/>
      <c r="H283" s="593"/>
      <c r="I283" s="593"/>
      <c r="J283" s="593"/>
      <c r="K283" s="1624">
        <f>D283</f>
        <v>0</v>
      </c>
      <c r="L283" s="1968">
        <v>95582</v>
      </c>
    </row>
    <row r="284" spans="1:12" x14ac:dyDescent="0.2">
      <c r="A284" s="1457" t="s">
        <v>696</v>
      </c>
      <c r="B284" s="591">
        <v>4140</v>
      </c>
      <c r="C284" s="593"/>
      <c r="D284" s="1947">
        <v>0</v>
      </c>
      <c r="E284" s="593"/>
      <c r="F284" s="593"/>
      <c r="G284" s="593"/>
      <c r="H284" s="593"/>
      <c r="I284" s="593"/>
      <c r="J284" s="593"/>
      <c r="K284" s="1624">
        <f>D284</f>
        <v>0</v>
      </c>
      <c r="L284" s="1968">
        <v>0</v>
      </c>
    </row>
    <row r="285" spans="1:12" ht="12.75" customHeight="1" thickBot="1" x14ac:dyDescent="0.25">
      <c r="A285" s="1621" t="s">
        <v>1474</v>
      </c>
      <c r="B285" s="1622" t="s">
        <v>859</v>
      </c>
      <c r="C285" s="593"/>
      <c r="D285" s="1623">
        <f>SUM(D282:D284)</f>
        <v>0</v>
      </c>
      <c r="E285" s="593"/>
      <c r="F285" s="593"/>
      <c r="G285" s="593"/>
      <c r="H285" s="593"/>
      <c r="I285" s="593"/>
      <c r="J285" s="593"/>
      <c r="K285" s="1623">
        <f>SUM(K282:K284)</f>
        <v>0</v>
      </c>
      <c r="L285" s="1623">
        <f>SUM(L282:L284)</f>
        <v>95582</v>
      </c>
    </row>
    <row r="286" spans="1:12" ht="15.75" customHeight="1" thickTop="1" x14ac:dyDescent="0.2">
      <c r="A286" s="1565" t="s">
        <v>875</v>
      </c>
      <c r="B286" s="1562" t="s">
        <v>491</v>
      </c>
      <c r="C286" s="593"/>
      <c r="D286" s="593"/>
      <c r="E286" s="593"/>
      <c r="F286" s="593"/>
      <c r="G286" s="593"/>
      <c r="H286" s="593"/>
      <c r="I286" s="593"/>
      <c r="J286" s="593"/>
      <c r="K286" s="593"/>
      <c r="L286" s="593"/>
    </row>
    <row r="287" spans="1:12" ht="15.75" customHeight="1" x14ac:dyDescent="0.2">
      <c r="A287" s="629" t="s">
        <v>93</v>
      </c>
      <c r="B287" s="599"/>
      <c r="C287" s="593"/>
      <c r="D287" s="593"/>
      <c r="E287" s="593"/>
      <c r="F287" s="593"/>
      <c r="G287" s="593"/>
      <c r="H287" s="600"/>
      <c r="I287" s="593"/>
      <c r="J287" s="593"/>
      <c r="K287" s="593"/>
      <c r="L287" s="593"/>
    </row>
    <row r="288" spans="1:12" x14ac:dyDescent="0.2">
      <c r="A288" s="1457" t="s">
        <v>87</v>
      </c>
      <c r="B288" s="591">
        <v>5110</v>
      </c>
      <c r="C288" s="593"/>
      <c r="D288" s="593"/>
      <c r="E288" s="593"/>
      <c r="F288" s="593"/>
      <c r="G288" s="593"/>
      <c r="H288" s="1946">
        <v>0</v>
      </c>
      <c r="I288" s="593"/>
      <c r="J288" s="593"/>
      <c r="K288" s="1624">
        <f>H288</f>
        <v>0</v>
      </c>
      <c r="L288" s="1968">
        <v>0</v>
      </c>
    </row>
    <row r="289" spans="1:14" x14ac:dyDescent="0.2">
      <c r="A289" s="1457" t="s">
        <v>88</v>
      </c>
      <c r="B289" s="591">
        <v>5120</v>
      </c>
      <c r="C289" s="593"/>
      <c r="D289" s="593"/>
      <c r="E289" s="593"/>
      <c r="F289" s="593"/>
      <c r="G289" s="593"/>
      <c r="H289" s="1946">
        <v>0</v>
      </c>
      <c r="I289" s="593"/>
      <c r="J289" s="593"/>
      <c r="K289" s="1624">
        <f>H289</f>
        <v>0</v>
      </c>
      <c r="L289" s="1968">
        <v>0</v>
      </c>
    </row>
    <row r="290" spans="1:14" ht="12.75" customHeight="1" x14ac:dyDescent="0.2">
      <c r="A290" s="1457" t="s">
        <v>1169</v>
      </c>
      <c r="B290" s="605" t="s">
        <v>616</v>
      </c>
      <c r="C290" s="593"/>
      <c r="D290" s="593"/>
      <c r="E290" s="593"/>
      <c r="F290" s="593"/>
      <c r="G290" s="593"/>
      <c r="H290" s="1946">
        <v>0</v>
      </c>
      <c r="I290" s="593"/>
      <c r="J290" s="593"/>
      <c r="K290" s="1624">
        <f>H290</f>
        <v>0</v>
      </c>
      <c r="L290" s="1968">
        <v>0</v>
      </c>
    </row>
    <row r="291" spans="1:14" x14ac:dyDescent="0.2">
      <c r="A291" s="1457" t="s">
        <v>89</v>
      </c>
      <c r="B291" s="591" t="s">
        <v>588</v>
      </c>
      <c r="C291" s="593"/>
      <c r="D291" s="593"/>
      <c r="E291" s="593"/>
      <c r="F291" s="593"/>
      <c r="G291" s="593"/>
      <c r="H291" s="1946">
        <v>0</v>
      </c>
      <c r="I291" s="593"/>
      <c r="J291" s="593"/>
      <c r="K291" s="1624">
        <f>H291</f>
        <v>0</v>
      </c>
      <c r="L291" s="1968">
        <v>0</v>
      </c>
    </row>
    <row r="292" spans="1:14" x14ac:dyDescent="0.2">
      <c r="A292" s="1457" t="s">
        <v>761</v>
      </c>
      <c r="B292" s="591" t="s">
        <v>617</v>
      </c>
      <c r="C292" s="593"/>
      <c r="D292" s="593"/>
      <c r="E292" s="593"/>
      <c r="F292" s="593"/>
      <c r="G292" s="593"/>
      <c r="H292" s="1946">
        <v>0</v>
      </c>
      <c r="I292" s="593"/>
      <c r="J292" s="593"/>
      <c r="K292" s="1624">
        <f>H292</f>
        <v>0</v>
      </c>
      <c r="L292" s="1968">
        <v>0</v>
      </c>
    </row>
    <row r="293" spans="1:14" ht="12.75" customHeight="1" thickBot="1" x14ac:dyDescent="0.25">
      <c r="A293" s="1621" t="s">
        <v>483</v>
      </c>
      <c r="B293" s="1622" t="s">
        <v>491</v>
      </c>
      <c r="C293" s="593"/>
      <c r="D293" s="593"/>
      <c r="E293" s="593"/>
      <c r="F293" s="593"/>
      <c r="G293" s="593"/>
      <c r="H293" s="1623">
        <f>SUM(H288:H292)</f>
        <v>0</v>
      </c>
      <c r="I293" s="593"/>
      <c r="J293" s="593"/>
      <c r="K293" s="1623">
        <f>SUM(K288:K292)</f>
        <v>0</v>
      </c>
      <c r="L293" s="1623">
        <f>SUM(L288:L292)</f>
        <v>0</v>
      </c>
    </row>
    <row r="294" spans="1:14" ht="15.75" customHeight="1" thickTop="1" thickBot="1" x14ac:dyDescent="0.25">
      <c r="A294" s="1578" t="s">
        <v>876</v>
      </c>
      <c r="B294" s="1566" t="s">
        <v>860</v>
      </c>
      <c r="C294" s="593"/>
      <c r="D294" s="600"/>
      <c r="E294" s="593"/>
      <c r="F294" s="593"/>
      <c r="G294" s="593"/>
      <c r="H294" s="661"/>
      <c r="I294" s="593"/>
      <c r="J294" s="593"/>
      <c r="K294" s="661"/>
      <c r="L294" s="1982">
        <v>0</v>
      </c>
    </row>
    <row r="295" spans="1:14" ht="12.75" customHeight="1" thickTop="1" thickBot="1" x14ac:dyDescent="0.25">
      <c r="A295" s="2289" t="s">
        <v>504</v>
      </c>
      <c r="B295" s="2290"/>
      <c r="C295" s="593"/>
      <c r="D295" s="1623">
        <f>SUM(D229,D279,D280,D285)</f>
        <v>1437119</v>
      </c>
      <c r="E295" s="593"/>
      <c r="F295" s="593"/>
      <c r="G295" s="593"/>
      <c r="H295" s="1623">
        <f>H293</f>
        <v>0</v>
      </c>
      <c r="I295" s="593"/>
      <c r="J295" s="593"/>
      <c r="K295" s="1623">
        <f>SUM(K229,K279,K280,K285,K293,K294)</f>
        <v>1437119</v>
      </c>
      <c r="L295" s="1623">
        <f>SUM(L229,L279,L280,L285,L293,L294)</f>
        <v>1654292</v>
      </c>
    </row>
    <row r="296" spans="1:14" ht="13.5" thickTop="1" x14ac:dyDescent="0.2">
      <c r="A296" s="2298" t="s">
        <v>995</v>
      </c>
      <c r="B296" s="2299"/>
      <c r="C296" s="593"/>
      <c r="D296" s="595"/>
      <c r="E296" s="593"/>
      <c r="F296" s="593"/>
      <c r="G296" s="593"/>
      <c r="H296" s="662"/>
      <c r="I296" s="593"/>
      <c r="J296" s="593"/>
      <c r="K296" s="1637">
        <f>'Revenues 9-14'!G268-'Expenditures 15-22'!K295</f>
        <v>-878706</v>
      </c>
      <c r="L296" s="662"/>
    </row>
    <row r="297" spans="1:14" s="641" customFormat="1" ht="9" customHeight="1" x14ac:dyDescent="0.2">
      <c r="A297" s="638"/>
      <c r="B297" s="648"/>
      <c r="C297" s="626"/>
      <c r="D297" s="626"/>
      <c r="E297" s="626"/>
      <c r="F297" s="626"/>
      <c r="G297" s="626"/>
      <c r="H297" s="626"/>
      <c r="I297" s="626"/>
      <c r="J297" s="626"/>
      <c r="K297" s="626"/>
      <c r="L297" s="626"/>
      <c r="M297" s="640"/>
      <c r="N297" s="640"/>
    </row>
    <row r="298" spans="1:14" ht="16.7" customHeight="1" x14ac:dyDescent="0.2">
      <c r="A298" s="2281" t="s">
        <v>143</v>
      </c>
      <c r="B298" s="2275"/>
      <c r="C298" s="1504"/>
      <c r="D298" s="1505"/>
      <c r="E298" s="1505"/>
      <c r="F298" s="1505"/>
      <c r="G298" s="1505"/>
      <c r="H298" s="1505"/>
      <c r="I298" s="1505"/>
      <c r="J298" s="1505"/>
      <c r="K298" s="1505"/>
      <c r="L298" s="1506"/>
    </row>
    <row r="299" spans="1:14" ht="15.75" customHeight="1" x14ac:dyDescent="0.2">
      <c r="A299" s="1565" t="s">
        <v>144</v>
      </c>
      <c r="B299" s="1568" t="s">
        <v>568</v>
      </c>
      <c r="C299" s="593"/>
      <c r="D299" s="593"/>
      <c r="E299" s="593"/>
      <c r="F299" s="593"/>
      <c r="G299" s="593"/>
      <c r="H299" s="593"/>
      <c r="I299" s="593"/>
      <c r="J299" s="593"/>
      <c r="K299" s="593"/>
      <c r="L299" s="593"/>
    </row>
    <row r="300" spans="1:14" ht="15.75" customHeight="1" x14ac:dyDescent="0.2">
      <c r="A300" s="663" t="s">
        <v>611</v>
      </c>
      <c r="B300" s="608"/>
      <c r="C300" s="600"/>
      <c r="D300" s="600"/>
      <c r="E300" s="600"/>
      <c r="F300" s="600"/>
      <c r="G300" s="600"/>
      <c r="H300" s="600"/>
      <c r="I300" s="593"/>
      <c r="J300" s="593"/>
      <c r="K300" s="600"/>
      <c r="L300" s="600"/>
    </row>
    <row r="301" spans="1:14" x14ac:dyDescent="0.2">
      <c r="A301" s="1470" t="s">
        <v>607</v>
      </c>
      <c r="B301" s="664">
        <v>2530</v>
      </c>
      <c r="C301" s="1946">
        <v>0</v>
      </c>
      <c r="D301" s="1946">
        <v>0</v>
      </c>
      <c r="E301" s="1946">
        <v>0</v>
      </c>
      <c r="F301" s="1946">
        <v>0</v>
      </c>
      <c r="G301" s="1946">
        <v>4795664</v>
      </c>
      <c r="H301" s="1946">
        <v>0</v>
      </c>
      <c r="I301" s="1947">
        <v>0</v>
      </c>
      <c r="J301" s="1947">
        <v>0</v>
      </c>
      <c r="K301" s="1624">
        <f>SUM(C301:J301)</f>
        <v>4795664</v>
      </c>
      <c r="L301" s="1969">
        <v>7300000</v>
      </c>
    </row>
    <row r="302" spans="1:14" ht="13.5" customHeight="1" x14ac:dyDescent="0.2">
      <c r="A302" s="1470" t="s">
        <v>979</v>
      </c>
      <c r="B302" s="591" t="s">
        <v>573</v>
      </c>
      <c r="C302" s="1946">
        <v>0</v>
      </c>
      <c r="D302" s="1946">
        <v>0</v>
      </c>
      <c r="E302" s="1946">
        <v>0</v>
      </c>
      <c r="F302" s="1946">
        <v>0</v>
      </c>
      <c r="G302" s="1946">
        <v>0</v>
      </c>
      <c r="H302" s="1946">
        <v>0</v>
      </c>
      <c r="I302" s="1947">
        <v>0</v>
      </c>
      <c r="J302" s="1947">
        <v>0</v>
      </c>
      <c r="K302" s="1624">
        <f>SUM(C302:J302)</f>
        <v>0</v>
      </c>
      <c r="L302" s="1968">
        <v>0</v>
      </c>
    </row>
    <row r="303" spans="1:14" ht="12.75" customHeight="1" thickBot="1" x14ac:dyDescent="0.25">
      <c r="A303" s="1621" t="s">
        <v>810</v>
      </c>
      <c r="B303" s="1622" t="s">
        <v>568</v>
      </c>
      <c r="C303" s="1630">
        <f>SUM(C301:C302)</f>
        <v>0</v>
      </c>
      <c r="D303" s="1630">
        <f t="shared" ref="D303:L303" si="23">SUM(D301:D302)</f>
        <v>0</v>
      </c>
      <c r="E303" s="1630">
        <f t="shared" si="23"/>
        <v>0</v>
      </c>
      <c r="F303" s="1630">
        <f t="shared" si="23"/>
        <v>0</v>
      </c>
      <c r="G303" s="1630">
        <f t="shared" si="23"/>
        <v>4795664</v>
      </c>
      <c r="H303" s="1630">
        <f t="shared" si="23"/>
        <v>0</v>
      </c>
      <c r="I303" s="1630">
        <f t="shared" si="23"/>
        <v>0</v>
      </c>
      <c r="J303" s="1630">
        <f t="shared" si="23"/>
        <v>0</v>
      </c>
      <c r="K303" s="1630">
        <f t="shared" si="23"/>
        <v>4795664</v>
      </c>
      <c r="L303" s="1630">
        <f t="shared" si="23"/>
        <v>7300000</v>
      </c>
    </row>
    <row r="304" spans="1:14" ht="15.75" customHeight="1" thickTop="1" x14ac:dyDescent="0.2">
      <c r="A304" s="1565" t="s">
        <v>145</v>
      </c>
      <c r="B304" s="1566" t="s">
        <v>859</v>
      </c>
      <c r="C304" s="593"/>
      <c r="D304" s="593"/>
      <c r="E304" s="593"/>
      <c r="F304" s="593"/>
      <c r="G304" s="593"/>
      <c r="H304" s="593"/>
      <c r="I304" s="593"/>
      <c r="J304" s="593"/>
      <c r="K304" s="593"/>
      <c r="L304" s="593"/>
    </row>
    <row r="305" spans="1:14" ht="15.75" customHeight="1" x14ac:dyDescent="0.2">
      <c r="A305" s="629" t="s">
        <v>896</v>
      </c>
      <c r="B305" s="599"/>
      <c r="C305" s="593"/>
      <c r="D305" s="593"/>
      <c r="E305" s="593"/>
      <c r="F305" s="593"/>
      <c r="G305" s="593"/>
      <c r="H305" s="593"/>
      <c r="I305" s="593"/>
      <c r="J305" s="593"/>
      <c r="K305" s="593"/>
      <c r="L305" s="593"/>
    </row>
    <row r="306" spans="1:14" x14ac:dyDescent="0.2">
      <c r="A306" s="1471" t="s">
        <v>1824</v>
      </c>
      <c r="B306" s="665" t="s">
        <v>1819</v>
      </c>
      <c r="C306" s="593"/>
      <c r="D306" s="593"/>
      <c r="E306" s="1947">
        <v>0</v>
      </c>
      <c r="F306" s="593"/>
      <c r="G306" s="593"/>
      <c r="H306" s="1947">
        <v>0</v>
      </c>
      <c r="I306" s="593"/>
      <c r="J306" s="593"/>
      <c r="K306" s="1624">
        <f>SUM(E306,H306)</f>
        <v>0</v>
      </c>
      <c r="L306" s="1969">
        <v>0</v>
      </c>
    </row>
    <row r="307" spans="1:14" x14ac:dyDescent="0.2">
      <c r="A307" s="1457" t="s">
        <v>303</v>
      </c>
      <c r="B307" s="591">
        <v>4120</v>
      </c>
      <c r="C307" s="593"/>
      <c r="D307" s="593"/>
      <c r="E307" s="1947">
        <v>0</v>
      </c>
      <c r="F307" s="593"/>
      <c r="G307" s="593"/>
      <c r="H307" s="1947">
        <v>0</v>
      </c>
      <c r="I307" s="473"/>
      <c r="J307" s="593"/>
      <c r="K307" s="1624">
        <f>SUM(E307,H307)</f>
        <v>0</v>
      </c>
      <c r="L307" s="1968">
        <v>0</v>
      </c>
    </row>
    <row r="308" spans="1:14" x14ac:dyDescent="0.2">
      <c r="A308" s="1457" t="s">
        <v>696</v>
      </c>
      <c r="B308" s="591">
        <v>4140</v>
      </c>
      <c r="C308" s="593"/>
      <c r="D308" s="593"/>
      <c r="E308" s="1947">
        <v>0</v>
      </c>
      <c r="F308" s="593"/>
      <c r="G308" s="593"/>
      <c r="H308" s="1947">
        <v>0</v>
      </c>
      <c r="I308" s="473"/>
      <c r="J308" s="593"/>
      <c r="K308" s="1624">
        <f>SUM(E308,H308)</f>
        <v>0</v>
      </c>
      <c r="L308" s="1968">
        <v>0</v>
      </c>
    </row>
    <row r="309" spans="1:14" ht="12.75" customHeight="1" x14ac:dyDescent="0.2">
      <c r="A309" s="1461" t="s">
        <v>697</v>
      </c>
      <c r="B309" s="605">
        <v>4190</v>
      </c>
      <c r="C309" s="593"/>
      <c r="D309" s="593"/>
      <c r="E309" s="1947">
        <v>0</v>
      </c>
      <c r="F309" s="593"/>
      <c r="G309" s="593"/>
      <c r="H309" s="1947">
        <v>0</v>
      </c>
      <c r="I309" s="473"/>
      <c r="J309" s="593"/>
      <c r="K309" s="1624">
        <f>SUM(E309,H309)</f>
        <v>0</v>
      </c>
      <c r="L309" s="1968">
        <v>0</v>
      </c>
    </row>
    <row r="310" spans="1:14" ht="12.75" customHeight="1" thickBot="1" x14ac:dyDescent="0.25">
      <c r="A310" s="1621" t="s">
        <v>1474</v>
      </c>
      <c r="B310" s="1628" t="s">
        <v>859</v>
      </c>
      <c r="C310" s="593"/>
      <c r="D310" s="593"/>
      <c r="E310" s="1623">
        <f>SUM(E306:E309)</f>
        <v>0</v>
      </c>
      <c r="F310" s="593"/>
      <c r="G310" s="593"/>
      <c r="H310" s="1623">
        <f>SUM(H306:H309)</f>
        <v>0</v>
      </c>
      <c r="I310" s="473"/>
      <c r="J310" s="593"/>
      <c r="K310" s="1623">
        <f>SUM(K306:K309)</f>
        <v>0</v>
      </c>
      <c r="L310" s="1630">
        <f>SUM(L306:L309)</f>
        <v>0</v>
      </c>
    </row>
    <row r="311" spans="1:14" ht="15.75" customHeight="1" thickTop="1" thickBot="1" x14ac:dyDescent="0.25">
      <c r="A311" s="1572" t="s">
        <v>894</v>
      </c>
      <c r="B311" s="1564" t="s">
        <v>860</v>
      </c>
      <c r="C311" s="600"/>
      <c r="D311" s="600"/>
      <c r="E311" s="600"/>
      <c r="F311" s="600"/>
      <c r="G311" s="600"/>
      <c r="H311" s="600"/>
      <c r="I311" s="600"/>
      <c r="J311" s="593"/>
      <c r="K311" s="600"/>
      <c r="L311" s="1981">
        <v>0</v>
      </c>
    </row>
    <row r="312" spans="1:14" s="649" customFormat="1" ht="12.75" customHeight="1" thickTop="1" thickBot="1" x14ac:dyDescent="0.25">
      <c r="A312" s="2286" t="s">
        <v>276</v>
      </c>
      <c r="B312" s="2287"/>
      <c r="C312" s="1623">
        <f>SUM(C303)</f>
        <v>0</v>
      </c>
      <c r="D312" s="1623">
        <f>SUM(D303)</f>
        <v>0</v>
      </c>
      <c r="E312" s="1623">
        <f>SUM(E303,E310)</f>
        <v>0</v>
      </c>
      <c r="F312" s="1623">
        <f>SUM(F303)</f>
        <v>0</v>
      </c>
      <c r="G312" s="1623">
        <f>SUM(G303)</f>
        <v>4795664</v>
      </c>
      <c r="H312" s="1623">
        <f>SUM(H303,H310)</f>
        <v>0</v>
      </c>
      <c r="I312" s="1623">
        <f>SUM(I303)</f>
        <v>0</v>
      </c>
      <c r="J312" s="1623">
        <f>SUM(J303)</f>
        <v>0</v>
      </c>
      <c r="K312" s="1623">
        <f>SUM(K303,K310,K311)</f>
        <v>4795664</v>
      </c>
      <c r="L312" s="1623">
        <f>SUM(L303,L310,L311)</f>
        <v>7300000</v>
      </c>
      <c r="M312" s="640"/>
      <c r="N312" s="640"/>
    </row>
    <row r="313" spans="1:14" ht="13.5" thickTop="1" x14ac:dyDescent="0.2">
      <c r="A313" s="2282" t="s">
        <v>995</v>
      </c>
      <c r="B313" s="2283"/>
      <c r="C313" s="603"/>
      <c r="D313" s="603"/>
      <c r="E313" s="603"/>
      <c r="F313" s="603"/>
      <c r="G313" s="603"/>
      <c r="H313" s="603"/>
      <c r="I313" s="603"/>
      <c r="J313" s="603"/>
      <c r="K313" s="1638">
        <f>'Revenues 9-14'!H268-'Expenditures 15-22'!K312</f>
        <v>-4793148</v>
      </c>
      <c r="L313" s="603"/>
    </row>
    <row r="314" spans="1:14" s="641" customFormat="1" ht="9" customHeight="1" x14ac:dyDescent="0.2">
      <c r="A314" s="666"/>
      <c r="B314" s="667"/>
      <c r="C314" s="668"/>
      <c r="D314" s="668"/>
      <c r="E314" s="668"/>
      <c r="F314" s="668"/>
      <c r="G314" s="668"/>
      <c r="H314" s="668"/>
      <c r="I314" s="668"/>
      <c r="J314" s="668"/>
      <c r="K314" s="668"/>
      <c r="L314" s="668"/>
      <c r="M314" s="640"/>
      <c r="N314" s="640"/>
    </row>
    <row r="315" spans="1:14" ht="16.7" customHeight="1" x14ac:dyDescent="0.2">
      <c r="A315" s="2295" t="s">
        <v>149</v>
      </c>
      <c r="B315" s="2296"/>
      <c r="C315" s="1509"/>
      <c r="D315" s="1510"/>
      <c r="E315" s="1510"/>
      <c r="F315" s="1510"/>
      <c r="G315" s="1510"/>
      <c r="H315" s="1510"/>
      <c r="I315" s="1510"/>
      <c r="J315" s="1510"/>
      <c r="K315" s="1510"/>
      <c r="L315" s="1511"/>
    </row>
    <row r="316" spans="1:14" s="649" customFormat="1" ht="9" customHeight="1" x14ac:dyDescent="0.2">
      <c r="A316" s="666"/>
      <c r="B316" s="667"/>
      <c r="C316" s="669"/>
      <c r="D316" s="669"/>
      <c r="E316" s="669"/>
      <c r="F316" s="669"/>
      <c r="G316" s="669"/>
      <c r="H316" s="669"/>
      <c r="I316" s="669"/>
      <c r="J316" s="669"/>
      <c r="K316" s="669"/>
      <c r="L316" s="669"/>
      <c r="M316" s="640"/>
      <c r="N316" s="640"/>
    </row>
    <row r="317" spans="1:14" ht="16.7" customHeight="1" x14ac:dyDescent="0.2">
      <c r="A317" s="2297" t="s">
        <v>897</v>
      </c>
      <c r="B317" s="2296"/>
      <c r="C317" s="1509"/>
      <c r="D317" s="1510"/>
      <c r="E317" s="1510"/>
      <c r="F317" s="1510"/>
      <c r="G317" s="1510"/>
      <c r="H317" s="1510"/>
      <c r="I317" s="1510"/>
      <c r="J317" s="1510"/>
      <c r="K317" s="1510"/>
      <c r="L317" s="1511"/>
    </row>
    <row r="318" spans="1:14" s="649" customFormat="1" ht="15.75" customHeight="1" x14ac:dyDescent="0.2">
      <c r="A318" s="670" t="s">
        <v>609</v>
      </c>
      <c r="B318" s="671"/>
      <c r="C318" s="615"/>
      <c r="D318" s="615"/>
      <c r="E318" s="615"/>
      <c r="F318" s="615"/>
      <c r="G318" s="615"/>
      <c r="H318" s="615"/>
      <c r="I318" s="615"/>
      <c r="J318" s="615"/>
      <c r="K318" s="615"/>
      <c r="L318" s="615"/>
      <c r="M318" s="640"/>
      <c r="N318" s="640"/>
    </row>
    <row r="319" spans="1:14" s="649" customFormat="1" x14ac:dyDescent="0.2">
      <c r="A319" s="1472" t="s">
        <v>298</v>
      </c>
      <c r="B319" s="672" t="s">
        <v>280</v>
      </c>
      <c r="C319" s="1947">
        <v>0</v>
      </c>
      <c r="D319" s="1947">
        <v>0</v>
      </c>
      <c r="E319" s="1947">
        <v>0</v>
      </c>
      <c r="F319" s="1947">
        <v>0</v>
      </c>
      <c r="G319" s="1947">
        <v>0</v>
      </c>
      <c r="H319" s="1947">
        <v>0</v>
      </c>
      <c r="I319" s="1947">
        <v>0</v>
      </c>
      <c r="J319" s="1947">
        <v>0</v>
      </c>
      <c r="K319" s="1624">
        <f>SUM(C319:J319)</f>
        <v>0</v>
      </c>
      <c r="L319" s="1969">
        <v>0</v>
      </c>
      <c r="M319" s="640"/>
      <c r="N319" s="640"/>
    </row>
    <row r="320" spans="1:14" s="649" customFormat="1" x14ac:dyDescent="0.2">
      <c r="A320" s="1476" t="s">
        <v>1779</v>
      </c>
      <c r="B320" s="673" t="s">
        <v>281</v>
      </c>
      <c r="C320" s="1947">
        <v>0</v>
      </c>
      <c r="D320" s="1947">
        <v>0</v>
      </c>
      <c r="E320" s="1947">
        <v>213061</v>
      </c>
      <c r="F320" s="1947">
        <v>0</v>
      </c>
      <c r="G320" s="1947">
        <v>0</v>
      </c>
      <c r="H320" s="1947">
        <v>0</v>
      </c>
      <c r="I320" s="1947">
        <v>0</v>
      </c>
      <c r="J320" s="1947">
        <v>0</v>
      </c>
      <c r="K320" s="1624">
        <f t="shared" ref="K320:K327" si="24">SUM(C320:J320)</f>
        <v>213061</v>
      </c>
      <c r="L320" s="1969">
        <v>213000</v>
      </c>
      <c r="M320" s="640"/>
      <c r="N320" s="640"/>
    </row>
    <row r="321" spans="1:14" s="649" customFormat="1" x14ac:dyDescent="0.2">
      <c r="A321" s="1472" t="s">
        <v>299</v>
      </c>
      <c r="B321" s="672" t="s">
        <v>282</v>
      </c>
      <c r="C321" s="1947">
        <v>0</v>
      </c>
      <c r="D321" s="1947">
        <v>0</v>
      </c>
      <c r="E321" s="1947">
        <v>4776</v>
      </c>
      <c r="F321" s="1947">
        <v>0</v>
      </c>
      <c r="G321" s="1947">
        <v>0</v>
      </c>
      <c r="H321" s="1947">
        <v>0</v>
      </c>
      <c r="I321" s="1947">
        <v>0</v>
      </c>
      <c r="J321" s="1947">
        <v>0</v>
      </c>
      <c r="K321" s="1624">
        <f t="shared" si="24"/>
        <v>4776</v>
      </c>
      <c r="L321" s="1969">
        <v>4700</v>
      </c>
      <c r="M321" s="640"/>
      <c r="N321" s="640"/>
    </row>
    <row r="322" spans="1:14" s="649" customFormat="1" x14ac:dyDescent="0.2">
      <c r="A322" s="1472" t="s">
        <v>238</v>
      </c>
      <c r="B322" s="672" t="s">
        <v>283</v>
      </c>
      <c r="C322" s="1947">
        <v>0</v>
      </c>
      <c r="D322" s="1947">
        <v>0</v>
      </c>
      <c r="E322" s="1947">
        <v>131352</v>
      </c>
      <c r="F322" s="1947">
        <v>0</v>
      </c>
      <c r="G322" s="1947">
        <v>0</v>
      </c>
      <c r="H322" s="1947">
        <v>0</v>
      </c>
      <c r="I322" s="1947">
        <v>0</v>
      </c>
      <c r="J322" s="1947">
        <v>0</v>
      </c>
      <c r="K322" s="1624">
        <f t="shared" si="24"/>
        <v>131352</v>
      </c>
      <c r="L322" s="1969">
        <v>130000</v>
      </c>
      <c r="M322" s="640"/>
      <c r="N322" s="640"/>
    </row>
    <row r="323" spans="1:14" s="649" customFormat="1" x14ac:dyDescent="0.2">
      <c r="A323" s="1472" t="s">
        <v>701</v>
      </c>
      <c r="B323" s="672" t="s">
        <v>284</v>
      </c>
      <c r="C323" s="1947">
        <v>0</v>
      </c>
      <c r="D323" s="1947">
        <v>0</v>
      </c>
      <c r="E323" s="1947">
        <v>0</v>
      </c>
      <c r="F323" s="1947">
        <v>0</v>
      </c>
      <c r="G323" s="1947">
        <v>0</v>
      </c>
      <c r="H323" s="1947">
        <v>0</v>
      </c>
      <c r="I323" s="1947">
        <v>0</v>
      </c>
      <c r="J323" s="1947">
        <v>0</v>
      </c>
      <c r="K323" s="1624">
        <f t="shared" si="24"/>
        <v>0</v>
      </c>
      <c r="L323" s="1969">
        <v>0</v>
      </c>
      <c r="M323" s="640"/>
      <c r="N323" s="640"/>
    </row>
    <row r="324" spans="1:14" s="649" customFormat="1" x14ac:dyDescent="0.2">
      <c r="A324" s="1472" t="s">
        <v>239</v>
      </c>
      <c r="B324" s="672" t="s">
        <v>285</v>
      </c>
      <c r="C324" s="1947">
        <v>0</v>
      </c>
      <c r="D324" s="1947">
        <v>0</v>
      </c>
      <c r="E324" s="1947">
        <v>0</v>
      </c>
      <c r="F324" s="1947">
        <v>0</v>
      </c>
      <c r="G324" s="1947">
        <v>0</v>
      </c>
      <c r="H324" s="1947">
        <v>0</v>
      </c>
      <c r="I324" s="1947">
        <v>0</v>
      </c>
      <c r="J324" s="1947">
        <v>0</v>
      </c>
      <c r="K324" s="1624">
        <f t="shared" si="24"/>
        <v>0</v>
      </c>
      <c r="L324" s="1969">
        <v>0</v>
      </c>
      <c r="M324" s="640"/>
      <c r="N324" s="640"/>
    </row>
    <row r="325" spans="1:14" s="649" customFormat="1" ht="22.5" x14ac:dyDescent="0.2">
      <c r="A325" s="1472" t="s">
        <v>1028</v>
      </c>
      <c r="B325" s="673" t="s">
        <v>286</v>
      </c>
      <c r="C325" s="1947">
        <v>0</v>
      </c>
      <c r="D325" s="1947">
        <v>0</v>
      </c>
      <c r="E325" s="1947">
        <v>2050</v>
      </c>
      <c r="F325" s="1947">
        <v>0</v>
      </c>
      <c r="G325" s="1947">
        <v>0</v>
      </c>
      <c r="H325" s="1947">
        <v>0</v>
      </c>
      <c r="I325" s="1947">
        <v>0</v>
      </c>
      <c r="J325" s="1947">
        <v>0</v>
      </c>
      <c r="K325" s="1624">
        <f t="shared" si="24"/>
        <v>2050</v>
      </c>
      <c r="L325" s="1969">
        <v>20000</v>
      </c>
      <c r="M325" s="640"/>
      <c r="N325" s="640"/>
    </row>
    <row r="326" spans="1:14" s="649" customFormat="1" x14ac:dyDescent="0.2">
      <c r="A326" s="1472" t="s">
        <v>1029</v>
      </c>
      <c r="B326" s="672" t="s">
        <v>287</v>
      </c>
      <c r="C326" s="1947">
        <v>0</v>
      </c>
      <c r="D326" s="1947">
        <v>0</v>
      </c>
      <c r="E326" s="1947">
        <v>0</v>
      </c>
      <c r="F326" s="1947">
        <v>0</v>
      </c>
      <c r="G326" s="1947">
        <v>0</v>
      </c>
      <c r="H326" s="1947">
        <v>0</v>
      </c>
      <c r="I326" s="1947">
        <v>0</v>
      </c>
      <c r="J326" s="1947">
        <v>0</v>
      </c>
      <c r="K326" s="1624">
        <f t="shared" si="24"/>
        <v>0</v>
      </c>
      <c r="L326" s="1969">
        <v>0</v>
      </c>
      <c r="M326" s="640"/>
      <c r="N326" s="640"/>
    </row>
    <row r="327" spans="1:14" s="649" customFormat="1" x14ac:dyDescent="0.2">
      <c r="A327" s="1472" t="s">
        <v>970</v>
      </c>
      <c r="B327" s="672" t="s">
        <v>288</v>
      </c>
      <c r="C327" s="1947">
        <v>0</v>
      </c>
      <c r="D327" s="1947">
        <v>0</v>
      </c>
      <c r="E327" s="1947">
        <v>0</v>
      </c>
      <c r="F327" s="1947">
        <v>0</v>
      </c>
      <c r="G327" s="1947">
        <v>0</v>
      </c>
      <c r="H327" s="1947">
        <v>0</v>
      </c>
      <c r="I327" s="1947">
        <v>0</v>
      </c>
      <c r="J327" s="1947">
        <v>0</v>
      </c>
      <c r="K327" s="1624">
        <f t="shared" si="24"/>
        <v>0</v>
      </c>
      <c r="L327" s="1969">
        <v>0</v>
      </c>
      <c r="M327" s="640"/>
      <c r="N327" s="640"/>
    </row>
    <row r="328" spans="1:14" s="649" customFormat="1" x14ac:dyDescent="0.2">
      <c r="A328" s="1473" t="s">
        <v>471</v>
      </c>
      <c r="B328" s="665" t="s">
        <v>1131</v>
      </c>
      <c r="C328" s="1949">
        <v>0</v>
      </c>
      <c r="D328" s="1949">
        <v>0</v>
      </c>
      <c r="E328" s="1949">
        <v>0</v>
      </c>
      <c r="F328" s="1949">
        <v>0</v>
      </c>
      <c r="G328" s="1949">
        <v>0</v>
      </c>
      <c r="H328" s="1949">
        <v>0</v>
      </c>
      <c r="I328" s="1949">
        <v>0</v>
      </c>
      <c r="J328" s="1949">
        <v>0</v>
      </c>
      <c r="K328" s="1652">
        <f>SUM(C328:J328)</f>
        <v>0</v>
      </c>
      <c r="L328" s="1971">
        <v>0</v>
      </c>
      <c r="M328" s="640"/>
      <c r="N328" s="640"/>
    </row>
    <row r="329" spans="1:14" s="649" customFormat="1" x14ac:dyDescent="0.2">
      <c r="A329" s="1473" t="s">
        <v>1132</v>
      </c>
      <c r="B329" s="665" t="s">
        <v>1133</v>
      </c>
      <c r="C329" s="1949">
        <v>0</v>
      </c>
      <c r="D329" s="1949">
        <v>0</v>
      </c>
      <c r="E329" s="1949">
        <v>0</v>
      </c>
      <c r="F329" s="1949">
        <v>0</v>
      </c>
      <c r="G329" s="1949">
        <v>0</v>
      </c>
      <c r="H329" s="1949">
        <v>0</v>
      </c>
      <c r="I329" s="1949">
        <v>0</v>
      </c>
      <c r="J329" s="1949">
        <v>0</v>
      </c>
      <c r="K329" s="1652">
        <f>SUM(C329:J329)</f>
        <v>0</v>
      </c>
      <c r="L329" s="1971">
        <v>0</v>
      </c>
      <c r="M329" s="640"/>
      <c r="N329" s="640"/>
    </row>
    <row r="330" spans="1:14" s="649" customFormat="1" ht="12.75" customHeight="1" thickBot="1" x14ac:dyDescent="0.25">
      <c r="A330" s="1653" t="s">
        <v>716</v>
      </c>
      <c r="B330" s="1622" t="s">
        <v>568</v>
      </c>
      <c r="C330" s="1623">
        <f>SUM(C319:C329)</f>
        <v>0</v>
      </c>
      <c r="D330" s="1623">
        <f t="shared" ref="D330:J330" si="25">SUM(D319:D329)</f>
        <v>0</v>
      </c>
      <c r="E330" s="1623">
        <f t="shared" si="25"/>
        <v>351239</v>
      </c>
      <c r="F330" s="1623">
        <f t="shared" si="25"/>
        <v>0</v>
      </c>
      <c r="G330" s="1623">
        <f t="shared" si="25"/>
        <v>0</v>
      </c>
      <c r="H330" s="1623">
        <f t="shared" si="25"/>
        <v>0</v>
      </c>
      <c r="I330" s="1623">
        <f t="shared" si="25"/>
        <v>0</v>
      </c>
      <c r="J330" s="1623">
        <f t="shared" si="25"/>
        <v>0</v>
      </c>
      <c r="K330" s="1623">
        <f>SUM(K319:K329)</f>
        <v>351239</v>
      </c>
      <c r="L330" s="1623">
        <f>SUM(L319:L329)</f>
        <v>367700</v>
      </c>
      <c r="M330" s="640"/>
      <c r="N330" s="640"/>
    </row>
    <row r="331" spans="1:14" s="649" customFormat="1" ht="12.75" customHeight="1" thickTop="1" x14ac:dyDescent="0.2">
      <c r="A331" s="1784" t="s">
        <v>1825</v>
      </c>
      <c r="B331" s="623" t="s">
        <v>859</v>
      </c>
      <c r="C331" s="1786"/>
      <c r="D331" s="1786"/>
      <c r="E331" s="1786"/>
      <c r="F331" s="1786"/>
      <c r="G331" s="1786"/>
      <c r="H331" s="1786"/>
      <c r="I331" s="1786"/>
      <c r="J331" s="1786"/>
      <c r="K331" s="1786"/>
      <c r="L331" s="1786"/>
      <c r="M331" s="640"/>
      <c r="N331" s="640"/>
    </row>
    <row r="332" spans="1:14" s="649" customFormat="1" ht="12.75" customHeight="1" x14ac:dyDescent="0.2">
      <c r="A332" s="1785" t="s">
        <v>495</v>
      </c>
      <c r="B332" s="1780" t="s">
        <v>1819</v>
      </c>
      <c r="C332" s="1786"/>
      <c r="D332" s="1786"/>
      <c r="E332" s="1786"/>
      <c r="F332" s="1786"/>
      <c r="G332" s="1786"/>
      <c r="H332" s="1947">
        <v>0</v>
      </c>
      <c r="I332" s="1786"/>
      <c r="J332" s="1786"/>
      <c r="K332" s="1624">
        <f>H332</f>
        <v>0</v>
      </c>
      <c r="L332" s="1969">
        <v>0</v>
      </c>
      <c r="M332" s="640"/>
      <c r="N332" s="640"/>
    </row>
    <row r="333" spans="1:14" s="649" customFormat="1" ht="12.75" customHeight="1" x14ac:dyDescent="0.2">
      <c r="A333" s="1785" t="s">
        <v>303</v>
      </c>
      <c r="B333" s="1780" t="s">
        <v>1821</v>
      </c>
      <c r="C333" s="1786"/>
      <c r="D333" s="1786"/>
      <c r="E333" s="1786"/>
      <c r="F333" s="1786"/>
      <c r="G333" s="1786"/>
      <c r="H333" s="1947">
        <v>0</v>
      </c>
      <c r="I333" s="1786"/>
      <c r="J333" s="1786"/>
      <c r="K333" s="1624">
        <f>H333</f>
        <v>0</v>
      </c>
      <c r="L333" s="1969">
        <v>0</v>
      </c>
      <c r="M333" s="640"/>
      <c r="N333" s="640"/>
    </row>
    <row r="334" spans="1:14" s="649" customFormat="1" ht="12.75" customHeight="1" thickBot="1" x14ac:dyDescent="0.25">
      <c r="A334" s="1785" t="s">
        <v>1826</v>
      </c>
      <c r="B334" s="1780" t="s">
        <v>859</v>
      </c>
      <c r="C334" s="1786"/>
      <c r="D334" s="1786"/>
      <c r="E334" s="1786"/>
      <c r="F334" s="1786"/>
      <c r="G334" s="1786"/>
      <c r="H334" s="1623">
        <f>SUM(H332:H333)</f>
        <v>0</v>
      </c>
      <c r="I334" s="1786"/>
      <c r="J334" s="1786"/>
      <c r="K334" s="1623">
        <f>SUM(K332:K333)</f>
        <v>0</v>
      </c>
      <c r="L334" s="1623">
        <f>SUM(L332:L333)</f>
        <v>0</v>
      </c>
      <c r="M334" s="640"/>
      <c r="N334" s="640"/>
    </row>
    <row r="335" spans="1:14" ht="15.75" customHeight="1" thickTop="1" x14ac:dyDescent="0.2">
      <c r="A335" s="1569" t="s">
        <v>898</v>
      </c>
      <c r="B335" s="1560" t="s">
        <v>491</v>
      </c>
      <c r="C335" s="593"/>
      <c r="D335" s="593"/>
      <c r="E335" s="593"/>
      <c r="F335" s="593"/>
      <c r="G335" s="593"/>
      <c r="H335" s="593"/>
      <c r="I335" s="593"/>
      <c r="J335" s="593"/>
      <c r="K335" s="593"/>
      <c r="L335" s="593"/>
    </row>
    <row r="336" spans="1:14" ht="15.75" customHeight="1" x14ac:dyDescent="0.2">
      <c r="A336" s="629" t="s">
        <v>614</v>
      </c>
      <c r="B336" s="599"/>
      <c r="C336" s="593"/>
      <c r="D336" s="593"/>
      <c r="E336" s="593"/>
      <c r="F336" s="593"/>
      <c r="G336" s="593"/>
      <c r="H336" s="600"/>
      <c r="I336" s="593"/>
      <c r="J336" s="593"/>
      <c r="K336" s="600"/>
      <c r="L336" s="600"/>
    </row>
    <row r="337" spans="1:14" x14ac:dyDescent="0.2">
      <c r="A337" s="1471" t="s">
        <v>87</v>
      </c>
      <c r="B337" s="665" t="s">
        <v>899</v>
      </c>
      <c r="C337" s="615"/>
      <c r="D337" s="615"/>
      <c r="E337" s="615"/>
      <c r="F337" s="615"/>
      <c r="G337" s="615"/>
      <c r="H337" s="474">
        <v>0</v>
      </c>
      <c r="I337" s="615"/>
      <c r="J337" s="615"/>
      <c r="K337" s="1624">
        <f>H337</f>
        <v>0</v>
      </c>
      <c r="L337" s="474">
        <v>0</v>
      </c>
    </row>
    <row r="338" spans="1:14" ht="12.75" customHeight="1" x14ac:dyDescent="0.2">
      <c r="A338" s="1471" t="s">
        <v>1169</v>
      </c>
      <c r="B338" s="665" t="s">
        <v>616</v>
      </c>
      <c r="C338" s="615"/>
      <c r="D338" s="615"/>
      <c r="E338" s="615"/>
      <c r="F338" s="615"/>
      <c r="G338" s="615"/>
      <c r="H338" s="474">
        <v>0</v>
      </c>
      <c r="I338" s="615"/>
      <c r="J338" s="615"/>
      <c r="K338" s="1624">
        <f>H338</f>
        <v>0</v>
      </c>
      <c r="L338" s="474">
        <v>0</v>
      </c>
    </row>
    <row r="339" spans="1:14" x14ac:dyDescent="0.2">
      <c r="A339" s="1457" t="s">
        <v>900</v>
      </c>
      <c r="B339" s="605">
        <v>5150</v>
      </c>
      <c r="C339" s="615"/>
      <c r="D339" s="615"/>
      <c r="E339" s="615"/>
      <c r="F339" s="615"/>
      <c r="G339" s="615"/>
      <c r="H339" s="1947">
        <v>0</v>
      </c>
      <c r="I339" s="615"/>
      <c r="J339" s="615"/>
      <c r="K339" s="1624">
        <f>H339</f>
        <v>0</v>
      </c>
      <c r="L339" s="1969">
        <v>0</v>
      </c>
    </row>
    <row r="340" spans="1:14" ht="13.5" thickBot="1" x14ac:dyDescent="0.25">
      <c r="A340" s="1647" t="s">
        <v>901</v>
      </c>
      <c r="B340" s="1622" t="s">
        <v>491</v>
      </c>
      <c r="C340" s="593"/>
      <c r="D340" s="593"/>
      <c r="E340" s="593"/>
      <c r="F340" s="593"/>
      <c r="G340" s="593"/>
      <c r="H340" s="1641">
        <f>SUM(H337:H339)</f>
        <v>0</v>
      </c>
      <c r="I340" s="593"/>
      <c r="J340" s="593"/>
      <c r="K340" s="1641">
        <f>SUM(K337:K339)</f>
        <v>0</v>
      </c>
      <c r="L340" s="1641">
        <f>SUM(L337:L339)</f>
        <v>0</v>
      </c>
    </row>
    <row r="341" spans="1:14" ht="15.75" customHeight="1" thickTop="1" thickBot="1" x14ac:dyDescent="0.25">
      <c r="A341" s="1572" t="s">
        <v>902</v>
      </c>
      <c r="B341" s="1564" t="s">
        <v>860</v>
      </c>
      <c r="C341" s="593"/>
      <c r="D341" s="593"/>
      <c r="E341" s="473"/>
      <c r="F341" s="467"/>
      <c r="G341" s="467"/>
      <c r="H341" s="473"/>
      <c r="I341" s="473"/>
      <c r="J341" s="467"/>
      <c r="K341" s="473"/>
      <c r="L341" s="1981">
        <v>0</v>
      </c>
    </row>
    <row r="342" spans="1:14" ht="12.75" customHeight="1" thickTop="1" thickBot="1" x14ac:dyDescent="0.25">
      <c r="A342" s="1639" t="s">
        <v>504</v>
      </c>
      <c r="B342" s="1654"/>
      <c r="C342" s="1623">
        <f>SUM(C330)</f>
        <v>0</v>
      </c>
      <c r="D342" s="1623">
        <f>SUM(D330)</f>
        <v>0</v>
      </c>
      <c r="E342" s="1623">
        <f>SUM(E330)</f>
        <v>351239</v>
      </c>
      <c r="F342" s="1623">
        <f>SUM(F330)</f>
        <v>0</v>
      </c>
      <c r="G342" s="1623">
        <f>SUM(G330)</f>
        <v>0</v>
      </c>
      <c r="H342" s="1623">
        <f>SUM(H330,H334,H340)</f>
        <v>0</v>
      </c>
      <c r="I342" s="1623">
        <f>SUM(I330)</f>
        <v>0</v>
      </c>
      <c r="J342" s="1623">
        <f>SUM(J330)</f>
        <v>0</v>
      </c>
      <c r="K342" s="1623">
        <f>SUM(K330,K334,K340)</f>
        <v>351239</v>
      </c>
      <c r="L342" s="1630">
        <f>SUM(L330,L340,L341)</f>
        <v>367700</v>
      </c>
    </row>
    <row r="343" spans="1:14" ht="12.75" customHeight="1" thickTop="1" x14ac:dyDescent="0.2">
      <c r="A343" s="2284" t="s">
        <v>995</v>
      </c>
      <c r="B343" s="2285"/>
      <c r="C343" s="593"/>
      <c r="D343" s="593"/>
      <c r="E343" s="593"/>
      <c r="F343" s="593"/>
      <c r="G343" s="593"/>
      <c r="H343" s="593"/>
      <c r="I343" s="593"/>
      <c r="J343" s="593"/>
      <c r="K343" s="1637">
        <f>'Revenues 9-14'!J268-'Expenditures 15-22'!K342</f>
        <v>-103557</v>
      </c>
      <c r="L343" s="593"/>
    </row>
    <row r="344" spans="1:14" s="641" customFormat="1" ht="6" customHeight="1" x14ac:dyDescent="0.2">
      <c r="A344" s="638"/>
      <c r="B344" s="639"/>
      <c r="C344" s="626"/>
      <c r="D344" s="626"/>
      <c r="E344" s="626"/>
      <c r="F344" s="626"/>
      <c r="G344" s="626"/>
      <c r="H344" s="626"/>
      <c r="I344" s="626"/>
      <c r="J344" s="626"/>
      <c r="K344" s="626"/>
      <c r="L344" s="626"/>
      <c r="M344" s="640"/>
      <c r="N344" s="640"/>
    </row>
    <row r="345" spans="1:14" s="643" customFormat="1" ht="16.7" customHeight="1" x14ac:dyDescent="0.2">
      <c r="A345" s="2274" t="s">
        <v>965</v>
      </c>
      <c r="B345" s="2275"/>
      <c r="C345" s="1504"/>
      <c r="D345" s="1505"/>
      <c r="E345" s="1505"/>
      <c r="F345" s="1505"/>
      <c r="G345" s="1505"/>
      <c r="H345" s="1505"/>
      <c r="I345" s="1505"/>
      <c r="J345" s="1505"/>
      <c r="K345" s="1505"/>
      <c r="L345" s="1506"/>
      <c r="M345" s="642"/>
      <c r="N345" s="642"/>
    </row>
    <row r="346" spans="1:14" s="343" customFormat="1" ht="15.75" customHeight="1" x14ac:dyDescent="0.2">
      <c r="A346" s="1576" t="s">
        <v>843</v>
      </c>
      <c r="B346" s="1568" t="s">
        <v>568</v>
      </c>
      <c r="C346" s="593"/>
      <c r="D346" s="593"/>
      <c r="E346" s="593"/>
      <c r="F346" s="593"/>
      <c r="G346" s="593"/>
      <c r="H346" s="593"/>
      <c r="I346" s="593"/>
      <c r="J346" s="593"/>
      <c r="K346" s="593"/>
      <c r="L346" s="593"/>
      <c r="M346" s="586"/>
      <c r="N346" s="586"/>
    </row>
    <row r="347" spans="1:14" ht="15.75" customHeight="1" x14ac:dyDescent="0.2">
      <c r="A347" s="674" t="s">
        <v>611</v>
      </c>
      <c r="B347" s="675"/>
      <c r="C347" s="600"/>
      <c r="D347" s="600"/>
      <c r="E347" s="600"/>
      <c r="F347" s="600"/>
      <c r="G347" s="600"/>
      <c r="H347" s="600"/>
      <c r="I347" s="593"/>
      <c r="J347" s="593"/>
      <c r="K347" s="600"/>
      <c r="L347" s="600"/>
    </row>
    <row r="348" spans="1:14" x14ac:dyDescent="0.2">
      <c r="A348" s="1457" t="s">
        <v>4</v>
      </c>
      <c r="B348" s="591">
        <v>2530</v>
      </c>
      <c r="C348" s="1946"/>
      <c r="D348" s="1946"/>
      <c r="E348" s="1946"/>
      <c r="F348" s="1946"/>
      <c r="G348" s="1946"/>
      <c r="H348" s="1946"/>
      <c r="I348" s="1947"/>
      <c r="J348" s="1947"/>
      <c r="K348" s="1624">
        <f>SUM(C348:J348)</f>
        <v>0</v>
      </c>
      <c r="L348" s="1968"/>
    </row>
    <row r="349" spans="1:14" x14ac:dyDescent="0.2">
      <c r="A349" s="1457" t="s">
        <v>197</v>
      </c>
      <c r="B349" s="591">
        <v>2540</v>
      </c>
      <c r="C349" s="1946"/>
      <c r="D349" s="1946"/>
      <c r="E349" s="1946"/>
      <c r="F349" s="1946"/>
      <c r="G349" s="1946"/>
      <c r="H349" s="1946"/>
      <c r="I349" s="1947"/>
      <c r="J349" s="1947"/>
      <c r="K349" s="1624">
        <f>SUM(C349:J349)</f>
        <v>0</v>
      </c>
      <c r="L349" s="1968"/>
    </row>
    <row r="350" spans="1:14" ht="12.75" customHeight="1" thickBot="1" x14ac:dyDescent="0.25">
      <c r="A350" s="1621" t="s">
        <v>718</v>
      </c>
      <c r="B350" s="1622" t="s">
        <v>35</v>
      </c>
      <c r="C350" s="1623">
        <f>SUM(C348:C349)</f>
        <v>0</v>
      </c>
      <c r="D350" s="1623">
        <f t="shared" ref="D350:L350" si="26">SUM(D348:D349)</f>
        <v>0</v>
      </c>
      <c r="E350" s="1623">
        <f t="shared" si="26"/>
        <v>0</v>
      </c>
      <c r="F350" s="1623">
        <f t="shared" si="26"/>
        <v>0</v>
      </c>
      <c r="G350" s="1623">
        <f t="shared" si="26"/>
        <v>0</v>
      </c>
      <c r="H350" s="1623">
        <f t="shared" si="26"/>
        <v>0</v>
      </c>
      <c r="I350" s="1623">
        <f t="shared" si="26"/>
        <v>0</v>
      </c>
      <c r="J350" s="1623">
        <f t="shared" si="26"/>
        <v>0</v>
      </c>
      <c r="K350" s="1623">
        <f t="shared" si="26"/>
        <v>0</v>
      </c>
      <c r="L350" s="1623">
        <f t="shared" si="26"/>
        <v>0</v>
      </c>
    </row>
    <row r="351" spans="1:14" ht="12.75" customHeight="1" thickTop="1" x14ac:dyDescent="0.2">
      <c r="A351" s="1463" t="s">
        <v>979</v>
      </c>
      <c r="B351" s="619" t="s">
        <v>573</v>
      </c>
      <c r="C351" s="477"/>
      <c r="D351" s="477"/>
      <c r="E351" s="477"/>
      <c r="F351" s="477"/>
      <c r="G351" s="477"/>
      <c r="H351" s="477"/>
      <c r="I351" s="474"/>
      <c r="J351" s="474"/>
      <c r="K351" s="592">
        <f>SUM(C351:J351)</f>
        <v>0</v>
      </c>
      <c r="L351" s="477"/>
    </row>
    <row r="352" spans="1:14" ht="12.75" customHeight="1" thickBot="1" x14ac:dyDescent="0.25">
      <c r="A352" s="1621" t="s">
        <v>623</v>
      </c>
      <c r="B352" s="1628" t="s">
        <v>568</v>
      </c>
      <c r="C352" s="1623">
        <f>SUM(C350:C351)</f>
        <v>0</v>
      </c>
      <c r="D352" s="1623">
        <f t="shared" ref="D352:L352" si="27">SUM(D350:D351)</f>
        <v>0</v>
      </c>
      <c r="E352" s="1623">
        <f t="shared" si="27"/>
        <v>0</v>
      </c>
      <c r="F352" s="1623">
        <f t="shared" si="27"/>
        <v>0</v>
      </c>
      <c r="G352" s="1623">
        <f t="shared" si="27"/>
        <v>0</v>
      </c>
      <c r="H352" s="1623">
        <f t="shared" si="27"/>
        <v>0</v>
      </c>
      <c r="I352" s="1623">
        <f t="shared" si="27"/>
        <v>0</v>
      </c>
      <c r="J352" s="1623">
        <f t="shared" si="27"/>
        <v>0</v>
      </c>
      <c r="K352" s="1623">
        <f t="shared" si="27"/>
        <v>0</v>
      </c>
      <c r="L352" s="1623">
        <f t="shared" si="27"/>
        <v>0</v>
      </c>
    </row>
    <row r="353" spans="1:14" s="343" customFormat="1" ht="15.75" customHeight="1" thickTop="1" x14ac:dyDescent="0.2">
      <c r="A353" s="1565" t="s">
        <v>624</v>
      </c>
      <c r="B353" s="1562" t="s">
        <v>859</v>
      </c>
      <c r="C353" s="593"/>
      <c r="D353" s="593"/>
      <c r="E353" s="593"/>
      <c r="F353" s="593"/>
      <c r="G353" s="593"/>
      <c r="H353" s="593"/>
      <c r="I353" s="593"/>
      <c r="J353" s="593"/>
      <c r="K353" s="593"/>
      <c r="L353" s="593"/>
      <c r="M353" s="586"/>
      <c r="N353" s="586"/>
    </row>
    <row r="354" spans="1:14" x14ac:dyDescent="0.2">
      <c r="A354" s="1787" t="s">
        <v>1827</v>
      </c>
      <c r="B354" s="658" t="s">
        <v>1819</v>
      </c>
      <c r="C354" s="593"/>
      <c r="D354" s="593"/>
      <c r="E354" s="593"/>
      <c r="F354" s="593"/>
      <c r="G354" s="593"/>
      <c r="H354" s="1949"/>
      <c r="I354" s="676"/>
      <c r="J354" s="593"/>
      <c r="K354" s="1652">
        <f>H354</f>
        <v>0</v>
      </c>
      <c r="L354" s="1970"/>
    </row>
    <row r="355" spans="1:14" ht="12.75" customHeight="1" x14ac:dyDescent="0.2">
      <c r="A355" s="1466" t="s">
        <v>1828</v>
      </c>
      <c r="B355" s="665" t="s">
        <v>1821</v>
      </c>
      <c r="C355" s="593"/>
      <c r="D355" s="593"/>
      <c r="E355" s="593"/>
      <c r="F355" s="593"/>
      <c r="G355" s="593"/>
      <c r="H355" s="1947"/>
      <c r="I355" s="676"/>
      <c r="J355" s="593"/>
      <c r="K355" s="1696">
        <f>H355</f>
        <v>0</v>
      </c>
      <c r="L355" s="1969"/>
    </row>
    <row r="356" spans="1:14" ht="12.75" customHeight="1" x14ac:dyDescent="0.2">
      <c r="A356" s="1787" t="s">
        <v>697</v>
      </c>
      <c r="B356" s="658" t="s">
        <v>557</v>
      </c>
      <c r="C356" s="593"/>
      <c r="D356" s="593"/>
      <c r="E356" s="593"/>
      <c r="F356" s="593"/>
      <c r="G356" s="593"/>
      <c r="H356" s="1951"/>
      <c r="I356" s="676"/>
      <c r="J356" s="593"/>
      <c r="K356" s="1693">
        <f>H356</f>
        <v>0</v>
      </c>
      <c r="L356" s="1973"/>
    </row>
    <row r="357" spans="1:14" ht="12.75" customHeight="1" thickBot="1" x14ac:dyDescent="0.25">
      <c r="A357" s="1621" t="s">
        <v>1474</v>
      </c>
      <c r="B357" s="1622" t="s">
        <v>859</v>
      </c>
      <c r="C357" s="593"/>
      <c r="D357" s="593"/>
      <c r="E357" s="593"/>
      <c r="F357" s="593"/>
      <c r="G357" s="593"/>
      <c r="H357" s="1641">
        <f>SUM(H354:H356)</f>
        <v>0</v>
      </c>
      <c r="I357" s="676"/>
      <c r="J357" s="593"/>
      <c r="K357" s="1641">
        <f>SUM(K354:K356)</f>
        <v>0</v>
      </c>
      <c r="L357" s="1641">
        <f>SUM(L354:L356)</f>
        <v>0</v>
      </c>
    </row>
    <row r="358" spans="1:14" s="343" customFormat="1" ht="15.75" customHeight="1" thickTop="1" x14ac:dyDescent="0.2">
      <c r="A358" s="1565" t="s">
        <v>947</v>
      </c>
      <c r="B358" s="1562" t="s">
        <v>491</v>
      </c>
      <c r="C358" s="593"/>
      <c r="D358" s="593"/>
      <c r="E358" s="593"/>
      <c r="F358" s="593"/>
      <c r="G358" s="593"/>
      <c r="H358" s="593"/>
      <c r="I358" s="593"/>
      <c r="J358" s="593"/>
      <c r="K358" s="593"/>
      <c r="L358" s="593"/>
      <c r="M358" s="586"/>
      <c r="N358" s="586"/>
    </row>
    <row r="359" spans="1:14" s="343" customFormat="1" ht="15.75" customHeight="1" x14ac:dyDescent="0.2">
      <c r="A359" s="629" t="s">
        <v>626</v>
      </c>
      <c r="B359" s="599"/>
      <c r="C359" s="593"/>
      <c r="D359" s="593"/>
      <c r="E359" s="593"/>
      <c r="F359" s="593"/>
      <c r="G359" s="593"/>
      <c r="H359" s="593"/>
      <c r="I359" s="593"/>
      <c r="J359" s="593"/>
      <c r="K359" s="600"/>
      <c r="L359" s="600"/>
      <c r="M359" s="586"/>
      <c r="N359" s="586"/>
    </row>
    <row r="360" spans="1:14" x14ac:dyDescent="0.2">
      <c r="A360" s="1457" t="s">
        <v>87</v>
      </c>
      <c r="B360" s="591">
        <v>5110</v>
      </c>
      <c r="C360" s="593"/>
      <c r="D360" s="593"/>
      <c r="E360" s="593"/>
      <c r="F360" s="593"/>
      <c r="G360" s="593"/>
      <c r="H360" s="1963"/>
      <c r="I360" s="593"/>
      <c r="J360" s="593"/>
      <c r="K360" s="1624">
        <f>SUM(C360:J360)</f>
        <v>0</v>
      </c>
      <c r="L360" s="1968"/>
    </row>
    <row r="361" spans="1:14" ht="12.75" customHeight="1" x14ac:dyDescent="0.2">
      <c r="A361" s="1458" t="s">
        <v>618</v>
      </c>
      <c r="B361" s="579" t="s">
        <v>617</v>
      </c>
      <c r="C361" s="593"/>
      <c r="D361" s="593"/>
      <c r="E361" s="593"/>
      <c r="F361" s="593"/>
      <c r="G361" s="593"/>
      <c r="H361" s="1963"/>
      <c r="I361" s="593"/>
      <c r="J361" s="593"/>
      <c r="K361" s="1624">
        <f>SUM(C361:J361)</f>
        <v>0</v>
      </c>
      <c r="L361" s="1968"/>
    </row>
    <row r="362" spans="1:14" ht="12.75" customHeight="1" thickBot="1" x14ac:dyDescent="0.25">
      <c r="A362" s="1621" t="s">
        <v>625</v>
      </c>
      <c r="B362" s="1622" t="s">
        <v>717</v>
      </c>
      <c r="C362" s="593"/>
      <c r="D362" s="593"/>
      <c r="E362" s="593"/>
      <c r="F362" s="593"/>
      <c r="G362" s="593"/>
      <c r="H362" s="1656">
        <f>SUM(H360:H361)</f>
        <v>0</v>
      </c>
      <c r="I362" s="593"/>
      <c r="J362" s="593"/>
      <c r="K362" s="1656">
        <f>SUM(K360:K361)</f>
        <v>0</v>
      </c>
      <c r="L362" s="1656">
        <f>SUM(L360:L361)</f>
        <v>0</v>
      </c>
    </row>
    <row r="363" spans="1:14" s="649" customFormat="1" ht="15.75" customHeight="1" thickTop="1" x14ac:dyDescent="0.2">
      <c r="A363" s="635" t="s">
        <v>83</v>
      </c>
      <c r="B363" s="636" t="s">
        <v>38</v>
      </c>
      <c r="C363" s="615"/>
      <c r="D363" s="615"/>
      <c r="E363" s="615"/>
      <c r="F363" s="615"/>
      <c r="G363" s="615"/>
      <c r="H363" s="1964"/>
      <c r="I363" s="615"/>
      <c r="J363" s="615"/>
      <c r="K363" s="1652">
        <f>SUM(C363:J363)</f>
        <v>0</v>
      </c>
      <c r="L363" s="1973"/>
      <c r="M363" s="640"/>
      <c r="N363" s="640"/>
    </row>
    <row r="364" spans="1:14" s="681" customFormat="1" ht="29.25" customHeight="1" x14ac:dyDescent="0.2">
      <c r="A364" s="677" t="s">
        <v>1659</v>
      </c>
      <c r="B364" s="678">
        <v>5300</v>
      </c>
      <c r="C364" s="679"/>
      <c r="D364" s="680"/>
      <c r="E364" s="680"/>
      <c r="F364" s="679"/>
      <c r="G364" s="680"/>
      <c r="H364" s="1967"/>
      <c r="I364" s="680"/>
      <c r="J364" s="680"/>
      <c r="K364" s="1624">
        <f>SUM(C364:J364)</f>
        <v>0</v>
      </c>
      <c r="L364" s="1984"/>
    </row>
    <row r="365" spans="1:14" s="649" customFormat="1" ht="12.75" customHeight="1" thickBot="1" x14ac:dyDescent="0.25">
      <c r="A365" s="1474" t="s">
        <v>589</v>
      </c>
      <c r="B365" s="634" t="s">
        <v>491</v>
      </c>
      <c r="C365" s="615"/>
      <c r="D365" s="615"/>
      <c r="E365" s="615"/>
      <c r="F365" s="615"/>
      <c r="G365" s="615"/>
      <c r="H365" s="1656">
        <f>SUM(H362,H363,H364)</f>
        <v>0</v>
      </c>
      <c r="I365" s="615"/>
      <c r="J365" s="615"/>
      <c r="K365" s="1656">
        <f>SUM(K362,K363,K364)</f>
        <v>0</v>
      </c>
      <c r="L365" s="1656">
        <f>SUM(L362,L363,L364)</f>
        <v>0</v>
      </c>
      <c r="M365" s="640"/>
      <c r="N365" s="640"/>
    </row>
    <row r="366" spans="1:14" s="343" customFormat="1" ht="15.75" customHeight="1" thickTop="1" thickBot="1" x14ac:dyDescent="0.25">
      <c r="A366" s="1559" t="s">
        <v>948</v>
      </c>
      <c r="B366" s="1566" t="s">
        <v>860</v>
      </c>
      <c r="C366" s="600"/>
      <c r="D366" s="600"/>
      <c r="E366" s="600"/>
      <c r="F366" s="600"/>
      <c r="G366" s="600"/>
      <c r="H366" s="600"/>
      <c r="I366" s="600"/>
      <c r="J366" s="593"/>
      <c r="K366" s="600"/>
      <c r="L366" s="1980"/>
      <c r="M366" s="586"/>
      <c r="N366" s="586"/>
    </row>
    <row r="367" spans="1:14" ht="12.75" customHeight="1" thickTop="1" thickBot="1" x14ac:dyDescent="0.25">
      <c r="A367" s="1645" t="s">
        <v>504</v>
      </c>
      <c r="B367" s="1657"/>
      <c r="C367" s="1623">
        <f t="shared" ref="C367:L367" si="28">SUM(C352,C357,C365,C366)</f>
        <v>0</v>
      </c>
      <c r="D367" s="1623">
        <f t="shared" si="28"/>
        <v>0</v>
      </c>
      <c r="E367" s="1623">
        <f t="shared" si="28"/>
        <v>0</v>
      </c>
      <c r="F367" s="1623">
        <f t="shared" si="28"/>
        <v>0</v>
      </c>
      <c r="G367" s="1623">
        <f t="shared" si="28"/>
        <v>0</v>
      </c>
      <c r="H367" s="1623">
        <f t="shared" si="28"/>
        <v>0</v>
      </c>
      <c r="I367" s="1623">
        <f t="shared" si="28"/>
        <v>0</v>
      </c>
      <c r="J367" s="1623">
        <f t="shared" si="28"/>
        <v>0</v>
      </c>
      <c r="K367" s="1623">
        <f t="shared" si="28"/>
        <v>0</v>
      </c>
      <c r="L367" s="1623">
        <f t="shared" si="28"/>
        <v>0</v>
      </c>
    </row>
    <row r="368" spans="1:14" ht="13.5" thickTop="1" x14ac:dyDescent="0.2">
      <c r="A368" s="2298" t="s">
        <v>995</v>
      </c>
      <c r="B368" s="2299"/>
      <c r="C368" s="630"/>
      <c r="D368" s="630"/>
      <c r="E368" s="603"/>
      <c r="F368" s="603"/>
      <c r="G368" s="603"/>
      <c r="H368" s="603"/>
      <c r="I368" s="603"/>
      <c r="J368" s="600"/>
      <c r="K368" s="1624">
        <f>'Revenues 9-14'!K268-'Expenditures 15-22'!K367</f>
        <v>0</v>
      </c>
      <c r="L368" s="630"/>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9"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sharepoint/v3"/>
    <ds:schemaRef ds:uri="4d435f69-8686-490b-bd6d-b153bf22ab50"/>
    <ds:schemaRef ds:uri="http://schemas.microsoft.com/office/2006/documentManagement/types"/>
    <ds:schemaRef ds:uri="http://schemas.microsoft.com/office/2006/metadata/properties"/>
    <ds:schemaRef ds:uri="http://purl.org/dc/terms/"/>
    <ds:schemaRef ds:uri="http://purl.org/dc/elements/1.1/"/>
    <ds:schemaRef ds:uri="6ce3111e-7420-4802-b50a-75d4e9a0b980"/>
    <ds:schemaRef ds:uri="http://purl.org/dc/dcmitype/"/>
    <ds:schemaRef ds:uri="http://www.w3.org/XML/1998/namespace"/>
    <ds:schemaRef ds:uri="http://schemas.microsoft.com/office/infopath/2007/PartnerControls"/>
    <ds:schemaRef ds:uri="http://schemas.openxmlformats.org/package/2006/metadata/core-properties"/>
    <ds:schemaRef ds:uri="d21dc803-237d-4c68-8692-8d731fd29118"/>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17</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2019-07-31T15:46:32Z</cp:lastPrinted>
  <dcterms:created xsi:type="dcterms:W3CDTF">2003-10-29T19:06:34Z</dcterms:created>
  <dcterms:modified xsi:type="dcterms:W3CDTF">2019-11-19T17:54:25Z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Working Files</vt:lpwstr>
  </property>
  <property fmtid="{D5CDD505-2E9C-101B-9397-08002B2CF9AE}" pid="5" name="tabIndex">
    <vt:lpwstr>1</vt:lpwstr>
  </property>
  <property fmtid="{D5CDD505-2E9C-101B-9397-08002B2CF9AE}" pid="6" name="workpaperIndex">
    <vt:lpwstr>2a</vt:lpwstr>
  </property>
</Properties>
</file>