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7EF7BA9-88B4-49A8-B641-A464ABAB97AA}" xr6:coauthVersionLast="36" xr6:coauthVersionMax="36" xr10:uidLastSave="{00000000-0000-0000-0000-000000000000}"/>
  <bookViews>
    <workbookView xWindow="-15" yWindow="13650" windowWidth="194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E28" i="108"/>
  <c r="F28" i="108"/>
  <c r="F31" i="108"/>
  <c r="F37" i="108"/>
  <c r="G28" i="108"/>
  <c r="E30"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D9" i="7"/>
  <c r="B1767" i="106" s="1"/>
  <c r="D1767" i="106" s="1"/>
  <c r="D17" i="7"/>
  <c r="B4104" i="106" s="1"/>
  <c r="D4104" i="106" s="1"/>
  <c r="K41" i="3" l="1"/>
  <c r="L15" i="11"/>
  <c r="B3459" i="106" s="1"/>
  <c r="D3459" i="106" s="1"/>
  <c r="L13" i="11"/>
  <c r="B2060" i="106" s="1"/>
  <c r="D2060" i="106" s="1"/>
  <c r="D7245" i="106"/>
  <c r="J77" i="4"/>
  <c r="B6262" i="106" s="1"/>
  <c r="D6262" i="106" s="1"/>
  <c r="J41" i="3"/>
  <c r="B7235" i="106"/>
  <c r="D7235" i="106" s="1"/>
  <c r="B6261" i="106"/>
  <c r="D6261" i="106" s="1"/>
  <c r="D6103" i="106"/>
  <c r="H365" i="29"/>
  <c r="B7242" i="106" s="1"/>
  <c r="D7242" i="106" s="1"/>
  <c r="F77" i="4"/>
  <c r="B3255" i="106" s="1"/>
  <c r="D3255" i="106" s="1"/>
  <c r="L367" i="29"/>
  <c r="K76" i="4"/>
  <c r="B3586" i="106" s="1"/>
  <c r="D3586" i="106" s="1"/>
  <c r="B3254" i="106"/>
  <c r="D3254" i="106" s="1"/>
  <c r="I24" i="12"/>
  <c r="D36" i="108"/>
  <c r="F36" i="108"/>
  <c r="G30" i="108"/>
  <c r="F19" i="7"/>
  <c r="B1807" i="106" s="1"/>
  <c r="D1807" i="106" s="1"/>
  <c r="D54" i="36"/>
  <c r="L5" i="11"/>
  <c r="B2056" i="106" s="1"/>
  <c r="D2056" i="106" s="1"/>
  <c r="D69" i="36"/>
  <c r="E29" i="108"/>
  <c r="K184" i="29"/>
  <c r="F13" i="4" s="1"/>
  <c r="B2596" i="106" s="1"/>
  <c r="D2596" i="106" s="1"/>
  <c r="G29" i="108"/>
  <c r="B1308" i="106"/>
  <c r="D1308" i="106" s="1"/>
  <c r="E174" i="29"/>
  <c r="B1309" i="106" s="1"/>
  <c r="D1309" i="106" s="1"/>
  <c r="C129"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3568" i="106" l="1"/>
  <c r="D3568" i="106" s="1"/>
  <c r="D52" i="36"/>
  <c r="K342" i="29"/>
  <c r="F13" i="34" s="1"/>
  <c r="B1996" i="106"/>
  <c r="D1996" i="106" s="1"/>
  <c r="I26" i="12"/>
  <c r="B7741" i="106" s="1"/>
  <c r="D7741" i="106" s="1"/>
  <c r="C114" i="29"/>
  <c r="B757" i="106" s="1"/>
  <c r="D757" i="106" s="1"/>
  <c r="L16" i="11"/>
  <c r="B2061" i="106" s="1"/>
  <c r="D2061" i="106" s="1"/>
  <c r="B1381" i="106"/>
  <c r="D138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<sst xmlns="http://schemas.openxmlformats.org/spreadsheetml/2006/main" count="5114" uniqueCount="2120">
  <si>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</si>
  <si>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</si>
  <si>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</si>
  <si>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</si>
  <si>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</si>
  <si>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</si>
  <si>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</si>
  <si>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</si>
  <si>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</si>
  <si>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</si>
  <si>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</si>
  <si>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</si>
  <si>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</si>
  <si>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</si>
  <si>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</si>
  <si>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</si>
  <si>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</si>
  <si>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</si>
  <si>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</si>
  <si>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</si>
  <si>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</si>
  <si>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</si>
  <si>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</si>
  <si>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</si>
  <si>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</si>
  <si>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</si>
  <si>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</si>
  <si>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</si>
  <si>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</si>
  <si>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</si>
  <si>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</si>
  <si>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</si>
  <si>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</si>
  <si>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</si>
  <si>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</si>
  <si>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</si>
  <si>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</si>
  <si>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</si>
  <si>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</si>
  <si>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</si>
  <si>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</si>
  <si>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</si>
  <si>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</si>
  <si>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</si>
  <si>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</si>
  <si>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</si>
  <si>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</si>
  <si>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</si>
  <si>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</si>
  <si>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</si>
  <si>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</si>
  <si>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</si>
  <si>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</si>
  <si>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</si>
  <si>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</si>
  <si>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</si>
  <si>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</si>
  <si>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</si>
  <si>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</si>
  <si>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</si>
  <si>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</si>
  <si>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</si>
  <si>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</si>
  <si>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</si>
  <si>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</si>
  <si>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</si>
  <si>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</si>
  <si>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</si>
  <si>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</si>
  <si>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</si>
  <si>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</si>
  <si>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</si>
  <si>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</si>
  <si>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</si>
  <si>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</si>
  <si>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</si>
  <si>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</si>
  <si>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</si>
  <si>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</si>
  <si>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</si>
  <si>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</si>
  <si>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</si>
  <si>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</si>
  <si>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</si>
  <si>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</si>
  <si>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</si>
  <si>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</si>
  <si>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</si>
  <si>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</si>
  <si>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</si>
  <si>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</si>
  <si>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</si>
  <si>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</si>
  <si>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</si>
  <si>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</si>
  <si>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</si>
  <si>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</si>
  <si>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</si>
  <si>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</si>
  <si>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</si>
  <si>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</si>
  <si>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</si>
  <si>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</si>
  <si>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</si>
  <si>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</si>
  <si>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</si>
  <si>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</si>
  <si>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</si>
  <si>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</si>
  <si>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</si>
  <si>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</si>
  <si>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</si>
  <si>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</si>
  <si>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</si>
  <si>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</si>
  <si>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</si>
  <si>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</si>
  <si>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</si>
  <si>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</si>
  <si>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</si>
  <si>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</si>
  <si>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</si>
  <si>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</si>
  <si>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</si>
  <si>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</si>
  <si>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</si>
  <si>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</si>
  <si>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</si>
  <si>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</si>
  <si>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</si>
  <si>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</si>
  <si>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</si>
  <si>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</si>
  <si>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</si>
  <si>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</si>
  <si>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</si>
  <si>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</si>
  <si>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</si>
  <si>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</si>
  <si>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</si>
  <si>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</si>
  <si>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</si>
  <si>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</si>
  <si>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</si>
  <si>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</si>
  <si>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</si>
  <si>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</si>
  <si>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</si>
  <si>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</si>
  <si>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</si>
  <si>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</si>
  <si>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</si>
  <si>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</si>
  <si>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</si>
  <si>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</si>
  <si>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</si>
  <si>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</si>
  <si>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</si>
  <si>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</si>
  <si>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</si>
  <si>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</si>
  <si>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</si>
  <si>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</si>
  <si>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</si>
  <si>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</si>
  <si>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</si>
  <si>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</si>
  <si>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</si>
  <si>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</si>
  <si>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</si>
  <si>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</si>
  <si>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</si>
  <si>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</si>
  <si>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</si>
  <si>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</si>
  <si>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</si>
  <si>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</si>
  <si>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</si>
  <si>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</si>
  <si>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</si>
  <si>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</si>
  <si>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</si>
  <si>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</si>
  <si>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</si>
  <si>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</si>
  <si>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</si>
  <si>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</si>
  <si>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</si>
  <si>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</si>
  <si>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</si>
  <si>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</si>
  <si>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</si>
  <si>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</si>
  <si>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</si>
  <si>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</si>
  <si>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</si>
  <si>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</si>
  <si>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</si>
  <si>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</si>
  <si>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</si>
  <si>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</si>
  <si>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</si>
  <si>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</si>
  <si>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</si>
  <si>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</si>
  <si>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</si>
  <si>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</si>
  <si>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</si>
  <si>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</si>
  <si>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</si>
  <si>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</si>
  <si>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</si>
  <si>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</si>
  <si>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</si>
  <si>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</si>
  <si>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</si>
  <si>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</si>
  <si>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</si>
  <si>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</si>
  <si>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</si>
  <si>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</si>
  <si>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</si>
  <si>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</si>
  <si>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</si>
  <si>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</si>
  <si>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</si>
  <si>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</si>
  <si>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</si>
  <si>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</si>
  <si>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</si>
  <si>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</si>
  <si>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</si>
  <si>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</si>
  <si>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</si>
  <si>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</si>
  <si>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</si>
  <si>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</si>
  <si>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</si>
  <si>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</si>
  <si>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</si>
  <si>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</si>
  <si>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</si>
  <si>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</si>
  <si>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</si>
  <si>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</si>
  <si>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</si>
  <si>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</si>
  <si>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</si>
  <si>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</si>
  <si>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</si>
  <si>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</si>
  <si>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</si>
  <si>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</si>
  <si>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</si>
  <si>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</si>
  <si>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</si>
  <si>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</si>
  <si>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</si>
  <si>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</si>
  <si>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</si>
  <si>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</si>
  <si>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</si>
  <si>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</si>
  <si>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</si>
  <si>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</si>
  <si>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</si>
  <si>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</si>
  <si>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</si>
  <si>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</si>
  <si>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</si>
  <si>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</si>
  <si>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</si>
  <si>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</si>
  <si>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</si>
  <si>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</si>
  <si>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</si>
  <si>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</si>
  <si>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</si>
  <si>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</si>
  <si>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</si>
  <si>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</si>
  <si>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</si>
  <si>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</si>
  <si>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</si>
  <si>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</si>
  <si>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</si>
  <si>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</si>
  <si>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</si>
  <si>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</si>
  <si>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</si>
  <si>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</si>
  <si>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</si>
  <si>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</si>
  <si>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</si>
  <si>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</si>
  <si>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</si>
  <si>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</si>
  <si>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</si>
  <si>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</si>
  <si>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</si>
  <si>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</si>
  <si>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</si>
  <si>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</si>
  <si>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</si>
  <si>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</si>
  <si>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</si>
  <si>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</si>
  <si>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</si>
  <si>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</si>
  <si>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</si>
  <si>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</si>
  <si>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</si>
  <si>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</si>
  <si>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</si>
  <si>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</si>
  <si>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</si>
  <si>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</si>
  <si>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</si>
  <si>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</si>
  <si>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</si>
  <si>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</si>
  <si>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</si>
  <si>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</si>
  <si>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</si>
  <si>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</si>
  <si>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</si>
  <si>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</si>
  <si>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</si>
  <si>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</si>
  <si>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</si>
  <si>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</si>
  <si>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</si>
  <si>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</si>
  <si>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</si>
  <si>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</si>
  <si>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</si>
  <si>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</si>
  <si>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</si>
  <si>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</si>
  <si>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</si>
  <si>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</si>
  <si>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</si>
  <si>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</si>
  <si>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</si>
  <si>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</si>
  <si>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</si>
  <si>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</si>
  <si>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</si>
  <si>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</si>
  <si>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</si>
  <si>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</si>
  <si>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</si>
  <si>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</si>
  <si>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</si>
  <si>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</si>
  <si>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</si>
  <si>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</si>
  <si>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</si>
  <si>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</si>
  <si>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</si>
  <si>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</si>
  <si>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</si>
  <si>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</si>
  <si>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</si>
  <si>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</si>
  <si>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</si>
  <si>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</si>
  <si>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</si>
  <si>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</si>
  <si>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</si>
  <si>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</si>
  <si>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</si>
  <si>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</si>
  <si>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</si>
  <si>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</si>
  <si>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</si>
  <si>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</si>
  <si>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</si>
  <si>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</si>
  <si>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</si>
  <si>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</si>
  <si>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</si>
  <si>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</si>
  <si>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</si>
  <si>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</si>
  <si>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</si>
  <si>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</si>
  <si>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</si>
  <si>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</si>
  <si>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</si>
  <si>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</si>
  <si>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</si>
  <si>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</si>
  <si>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</si>
  <si>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</si>
  <si>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</si>
  <si>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</si>
  <si>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</si>
  <si>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</si>
  <si>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</si>
  <si>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</si>
  <si>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</si>
  <si>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</si>
  <si>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</si>
  <si>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</si>
  <si>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</si>
  <si>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</si>
  <si>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</si>
  <si>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</si>
  <si>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</si>
  <si>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</si>
  <si>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</si>
  <si>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</si>
  <si>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</si>
  <si>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</si>
  <si>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</si>
  <si>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</si>
  <si>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</si>
  <si>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</si>
  <si>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</si>
  <si>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</si>
  <si>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</si>
  <si>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</si>
  <si>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</si>
  <si>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</si>
  <si>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</si>
  <si>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</si>
  <si>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</si>
  <si>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</si>
  <si>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</si>
  <si>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</si>
  <si>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</si>
  <si>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</si>
  <si>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</si>
  <si>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</si>
  <si>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</si>
  <si>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</si>
  <si>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</si>
  <si>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</si>
  <si>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</si>
  <si>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</si>
  <si>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</si>
  <si>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</si>
  <si>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</si>
  <si>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</si>
  <si>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</si>
  <si>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</si>
  <si>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</si>
  <si>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</si>
  <si>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</si>
  <si>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</si>
  <si>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</si>
  <si>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</si>
  <si>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</si>
  <si>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</si>
  <si>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</si>
  <si>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</si>
  <si>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</si>
  <si>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</si>
  <si>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</si>
  <si>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</si>
  <si>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</si>
  <si>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</si>
  <si>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</si>
  <si>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</si>
  <si>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</si>
  <si>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</si>
  <si>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</si>
  <si>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</si>
  <si>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</si>
  <si>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</si>
  <si>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</si>
  <si>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</si>
  <si>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</si>
  <si>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</si>
  <si>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</si>
  <si>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</si>
  <si>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</si>
  <si>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</si>
  <si>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</si>
  <si>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</si>
  <si>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</si>
  <si>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</si>
  <si>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</si>
  <si>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</si>
  <si>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</si>
  <si>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</si>
  <si>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</si>
  <si>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</si>
  <si>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</si>
  <si>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</si>
  <si>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</si>
  <si>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</si>
  <si>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</si>
  <si>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</si>
  <si>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</si>
  <si>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</si>
  <si>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</si>
  <si>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</si>
  <si>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</si>
  <si>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</si>
  <si>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</si>
  <si>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</si>
  <si>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</si>
  <si>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</si>
  <si>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</si>
  <si>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</si>
  <si>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</si>
  <si>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</si>
  <si>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</si>
  <si>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</si>
  <si>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</si>
  <si>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</si>
  <si>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</si>
  <si>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</si>
  <si>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</si>
  <si>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</si>
  <si>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</si>
  <si>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</si>
  <si>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</si>
  <si>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</si>
  <si>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</si>
  <si>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</si>
  <si>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</si>
  <si>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</si>
  <si>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</si>
  <si>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</si>
  <si>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</si>
  <si>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</si>
  <si>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</si>
  <si>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</si>
  <si>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</si>
  <si>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</si>
  <si>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</si>
  <si>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</si>
  <si>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</si>
  <si>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</si>
  <si>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</si>
  <si>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</si>
  <si>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</si>
  <si>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</si>
  <si>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</si>
  <si>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</si>
  <si>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</si>
  <si>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</si>
  <si>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</si>
  <si>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</si>
  <si>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</si>
  <si>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</si>
  <si>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</si>
  <si>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</si>
  <si>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</si>
  <si>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</si>
  <si>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</si>
  <si>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</si>
  <si>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</si>
  <si>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</si>
  <si>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</si>
  <si>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</si>
  <si>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</si>
  <si>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</si>
  <si>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</si>
  <si>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</si>
  <si>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</si>
  <si>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</si>
  <si>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</si>
  <si>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</si>
  <si>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</si>
  <si>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</si>
  <si>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</si>
  <si>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</si>
  <si>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</si>
  <si>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</si>
  <si>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</si>
  <si>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</si>
  <si>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</si>
  <si>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</si>
  <si>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</si>
  <si>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</si>
  <si>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</si>
  <si>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</si>
  <si>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</si>
  <si>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</si>
  <si>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</si>
  <si>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</si>
  <si>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</si>
  <si>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</si>
  <si>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</si>
  <si>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</si>
  <si>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</si>
  <si>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</si>
  <si>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</si>
  <si>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</si>
  <si>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</si>
  <si>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</si>
  <si>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</si>
  <si>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</si>
  <si>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</si>
  <si>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</si>
  <si>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</si>
  <si>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</si>
  <si>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</si>
  <si>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</si>
  <si>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</si>
  <si>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</si>
  <si>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</si>
  <si>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</si>
  <si>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</si>
  <si>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</si>
  <si>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</si>
  <si>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</si>
  <si>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</si>
  <si>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</si>
  <si>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</si>
  <si>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</si>
  <si>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</si>
  <si>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</si>
  <si>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</si>
  <si>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</si>
  <si>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</si>
  <si>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</si>
  <si>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</si>
  <si>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</si>
  <si>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</si>
  <si>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</si>
  <si>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</si>
  <si>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</si>
  <si>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</si>
  <si>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</si>
  <si>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</si>
  <si>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</si>
  <si>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</si>
  <si>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</si>
  <si>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</si>
  <si>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</si>
  <si>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</si>
  <si>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</si>
  <si>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</si>
  <si>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</si>
  <si>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</si>
  <si>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</si>
  <si>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</si>
  <si>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</si>
  <si>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</si>
  <si>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</si>
  <si>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</si>
  <si>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</si>
  <si>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</si>
  <si>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</si>
  <si>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</si>
  <si>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</si>
  <si>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</si>
  <si>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</si>
  <si>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</si>
  <si>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</si>
  <si>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</si>
  <si>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</si>
  <si>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</si>
  <si>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</si>
  <si>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</si>
  <si>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</si>
  <si>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</si>
  <si>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</si>
  <si>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</si>
  <si>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</si>
  <si>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</si>
  <si>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</si>
  <si>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</si>
  <si>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</si>
  <si>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</si>
  <si>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</si>
  <si>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</si>
  <si>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</si>
  <si>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</si>
  <si>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</si>
  <si>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</si>
  <si>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</si>
  <si>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</si>
  <si>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</si>
  <si>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</si>
  <si>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</si>
  <si>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</si>
  <si>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</si>
  <si>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</si>
  <si>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</si>
  <si>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</si>
  <si>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</si>
  <si>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</si>
  <si>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</si>
  <si>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</si>
  <si>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</si>
  <si>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</si>
  <si>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</si>
  <si>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</si>
  <si>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</si>
  <si>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</si>
  <si>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</si>
  <si>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</si>
  <si>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</si>
  <si>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</si>
  <si>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</si>
  <si>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</si>
  <si>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</si>
  <si>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</si>
  <si>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</si>
  <si>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</si>
  <si>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</si>
  <si>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</si>
  <si>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</si>
  <si>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</si>
  <si>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</si>
  <si>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</si>
  <si>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</si>
  <si>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</si>
  <si>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</si>
  <si>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</si>
  <si>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</si>
  <si>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</si>
  <si>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</si>
  <si>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</si>
  <si>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</si>
  <si>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</si>
  <si>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</si>
  <si>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</si>
  <si>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</si>
  <si>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</si>
  <si>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</si>
  <si>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</si>
  <si>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</si>
  <si>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</si>
  <si>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</si>
  <si>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</si>
  <si>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</si>
  <si>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</si>
  <si>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</si>
  <si>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</si>
  <si>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</si>
  <si>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</si>
  <si>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</si>
  <si>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</si>
  <si>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</si>
  <si>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</si>
  <si>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</si>
  <si>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</si>
  <si>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</si>
  <si>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</si>
  <si>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</si>
  <si>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</si>
  <si>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</si>
  <si>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</si>
  <si>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</si>
  <si>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</si>
  <si>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</si>
  <si>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</si>
  <si>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</si>
  <si>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</si>
  <si>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</si>
  <si>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</si>
  <si>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</si>
  <si>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</si>
  <si>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</si>
  <si>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</si>
  <si>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</si>
  <si>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</si>
  <si>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</si>
  <si>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</si>
  <si>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</si>
  <si>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</si>
  <si>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</si>
  <si>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</si>
  <si>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</si>
  <si>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</si>
  <si>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</si>
  <si>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</si>
  <si>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</si>
  <si>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</si>
  <si>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</si>
  <si>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</si>
  <si>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</si>
  <si>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</si>
  <si>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</si>
  <si>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</si>
  <si>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</si>
  <si>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</si>
  <si>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</si>
  <si>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</si>
  <si>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</si>
  <si>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</si>
  <si>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</si>
  <si>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</si>
  <si>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</si>
  <si>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</si>
  <si>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</si>
  <si>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</si>
  <si>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</si>
  <si>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</si>
  <si>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</si>
  <si>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</si>
  <si>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</si>
  <si>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</si>
  <si>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</si>
  <si>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</si>
  <si>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</si>
  <si>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</si>
  <si>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</si>
  <si>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</si>
  <si>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</si>
  <si>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</si>
  <si>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</si>
  <si>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</si>
  <si>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</si>
  <si>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</si>
  <si>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</si>
  <si>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</si>
  <si>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</si>
  <si>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</si>
  <si>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</si>
  <si>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</si>
  <si>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</si>
  <si>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</si>
  <si>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</si>
  <si>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</si>
  <si>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</si>
  <si>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</si>
  <si>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</si>
  <si>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</si>
  <si>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</si>
  <si>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</si>
  <si>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</si>
  <si>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</si>
  <si>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</si>
  <si>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</si>
  <si>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</si>
  <si>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</si>
  <si>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</si>
  <si>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</si>
  <si>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</si>
  <si>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</si>
  <si>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</si>
  <si>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</si>
  <si>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</si>
  <si>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</si>
  <si>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</si>
  <si>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</si>
  <si>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</si>
  <si>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</si>
  <si>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</si>
  <si>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</si>
  <si>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</si>
  <si>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</si>
  <si>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</si>
  <si>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</si>
  <si>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</si>
  <si>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</si>
  <si>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</si>
  <si>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</si>
  <si>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</si>
  <si>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</si>
  <si>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</si>
  <si>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</si>
  <si>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</si>
  <si>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</si>
  <si>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</si>
  <si>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</si>
  <si>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</si>
  <si>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</si>
  <si>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</si>
  <si>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</si>
  <si>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</si>
  <si>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</si>
  <si>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</si>
  <si>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</si>
  <si>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</si>
  <si>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</si>
  <si>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</si>
  <si>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</si>
  <si>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</si>
  <si>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</si>
  <si>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</si>
  <si>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</si>
  <si>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</si>
  <si>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</si>
  <si>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</si>
  <si>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</si>
  <si>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</si>
  <si>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</si>
  <si>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</si>
  <si>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</si>
  <si>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</si>
  <si>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</si>
  <si>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</si>
  <si>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</si>
  <si>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</si>
  <si>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</si>
  <si>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</si>
  <si>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</si>
  <si>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</si>
  <si>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</si>
  <si>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</si>
  <si>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</si>
  <si>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</si>
  <si>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</si>
  <si>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</si>
  <si>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</si>
  <si>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</si>
  <si>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</si>
  <si>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</si>
  <si>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</si>
  <si>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</si>
  <si>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</si>
  <si>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</si>
  <si>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</si>
  <si>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</si>
  <si>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</si>
  <si>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</si>
  <si>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</si>
  <si>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</si>
  <si>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</si>
  <si>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</si>
  <si>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</si>
  <si>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</si>
  <si>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</si>
  <si>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</si>
  <si>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</si>
  <si>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</si>
  <si>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</si>
  <si>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</si>
  <si>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</si>
  <si>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</si>
  <si>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</si>
  <si>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</si>
  <si>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</si>
  <si>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</si>
  <si>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</si>
  <si>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</si>
  <si>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</si>
  <si>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</si>
  <si>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</si>
  <si>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</si>
  <si>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</si>
  <si>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</si>
  <si>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</si>
  <si>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</si>
  <si>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</si>
  <si>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</si>
  <si>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</si>
  <si>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</si>
  <si>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</si>
  <si>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</si>
  <si>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</si>
  <si>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</si>
  <si>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</si>
  <si>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</si>
  <si>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</si>
  <si>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</si>
  <si>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</si>
  <si>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</si>
  <si>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</si>
  <si>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</si>
  <si>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</si>
  <si>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</si>
  <si>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</si>
  <si>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</si>
  <si>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</si>
  <si>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</si>
  <si>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</si>
  <si>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</si>
  <si>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</si>
  <si>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</si>
  <si>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</si>
  <si>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</si>
  <si>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</si>
  <si>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</si>
  <si>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</si>
  <si>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</si>
  <si>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</si>
  <si>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</si>
  <si>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</si>
  <si>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</si>
  <si>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</si>
  <si>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</si>
  <si>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</si>
  <si>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</si>
  <si>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</si>
  <si>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</si>
  <si>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</si>
  <si>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</si>
  <si>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</si>
  <si>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</si>
  <si>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</si>
  <si>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</si>
  <si>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</si>
  <si>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</si>
  <si>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</si>
  <si>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</si>
  <si>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</si>
  <si>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</si>
  <si>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</si>
  <si>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</si>
  <si>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</si>
  <si>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</si>
  <si>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</si>
  <si>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</si>
  <si>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</si>
  <si>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</si>
  <si>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</si>
  <si>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</si>
  <si>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</si>
  <si>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</si>
  <si>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</si>
  <si>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</si>
  <si>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</si>
  <si>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</si>
  <si>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</si>
  <si>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</si>
  <si>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</si>
  <si>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</si>
  <si>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</si>
  <si>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</si>
  <si>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</si>
  <si>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</si>
  <si>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</si>
  <si>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</si>
  <si>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</si>
  <si>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</si>
  <si>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</si>
  <si>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</si>
  <si>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</si>
  <si>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</si>
  <si>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</si>
  <si>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</si>
  <si>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</si>
  <si>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</si>
  <si>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</si>
  <si>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</si>
  <si>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</si>
  <si>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</si>
  <si>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</si>
  <si>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</si>
  <si>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</si>
  <si>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</si>
  <si>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</si>
  <si>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</si>
  <si>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</si>
  <si>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</si>
  <si>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</si>
  <si>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</si>
  <si>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</si>
  <si>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</si>
  <si>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</si>
  <si>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</si>
  <si>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</si>
  <si>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</si>
  <si>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</si>
  <si>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</si>
  <si>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</si>
  <si>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</si>
  <si>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</si>
  <si>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</si>
  <si>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</si>
  <si>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</si>
  <si>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</si>
  <si>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</si>
  <si>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</si>
  <si>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</si>
  <si>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</si>
  <si>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</si>
  <si>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</si>
  <si>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</si>
  <si>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</si>
  <si>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</si>
  <si>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</si>
  <si>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</si>
  <si>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</si>
  <si>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</si>
  <si>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</si>
  <si>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</si>
  <si>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</si>
  <si>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</si>
  <si>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</si>
  <si>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</si>
  <si>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</si>
  <si>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</si>
  <si>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</si>
  <si>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</si>
  <si>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</si>
  <si>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</si>
  <si>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</si>
  <si>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</si>
  <si>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</si>
  <si>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</si>
  <si>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</si>
  <si>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</si>
  <si>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</si>
  <si>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</si>
  <si>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</si>
  <si>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</si>
  <si>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</si>
  <si>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</si>
  <si>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</si>
  <si>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</si>
  <si>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</si>
  <si>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</si>
  <si>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</si>
  <si>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</si>
  <si>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</si>
  <si>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</si>
  <si>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</si>
  <si>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</si>
  <si>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</si>
  <si>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</si>
  <si>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</si>
  <si>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</si>
  <si>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</si>
  <si>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</si>
  <si>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</si>
  <si>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</si>
  <si>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</si>
  <si>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</si>
  <si>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</si>
  <si>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</si>
  <si>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</si>
  <si>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</si>
  <si>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</si>
  <si>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</si>
  <si>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</si>
  <si>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</si>
  <si>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</si>
  <si>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</si>
  <si>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</si>
  <si>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</si>
  <si>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</si>
  <si>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</si>
  <si>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</si>
  <si>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</si>
  <si>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</si>
  <si>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</si>
  <si>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</si>
  <si>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</si>
  <si>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</si>
  <si>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</si>
  <si>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</si>
  <si>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</si>
  <si>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</si>
  <si>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</si>
  <si>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</si>
  <si>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</si>
  <si>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</si>
  <si>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</si>
  <si>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</si>
  <si>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</si>
  <si>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</si>
  <si>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</si>
  <si>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</si>
  <si>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</si>
  <si>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</si>
  <si>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</si>
  <si>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</si>
  <si>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</si>
  <si>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</si>
  <si>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</si>
  <si>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</si>
  <si>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</si>
  <si>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</si>
  <si>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</si>
  <si>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</si>
  <si>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</si>
  <si>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</si>
  <si>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</si>
  <si>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</si>
  <si>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</si>
  <si>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</si>
  <si>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</si>
  <si>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</si>
  <si>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</si>
  <si>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</si>
  <si>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</si>
  <si>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</si>
  <si>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</si>
  <si>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</si>
  <si>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</si>
  <si>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</si>
  <si>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</si>
  <si>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</si>
  <si>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</si>
  <si>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</si>
  <si>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</si>
  <si>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</si>
  <si>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</si>
  <si>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</si>
  <si>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</si>
  <si>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</si>
  <si>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</si>
  <si>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</si>
  <si>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</si>
  <si>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</si>
  <si>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</si>
  <si>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</si>
  <si>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</si>
  <si>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</si>
  <si>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</si>
  <si>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</si>
  <si>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</si>
  <si>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</si>
  <si>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</si>
  <si>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</si>
  <si>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</si>
  <si>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</si>
  <si>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</si>
  <si>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</si>
  <si>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</si>
  <si>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</si>
  <si>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</si>
  <si>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</si>
  <si>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</si>
  <si>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</si>
  <si>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</si>
  <si>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</si>
  <si>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</si>
  <si>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</si>
  <si>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</si>
  <si>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</si>
  <si>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</si>
  <si>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</si>
  <si>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</si>
  <si>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</si>
  <si>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</si>
  <si>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</si>
  <si>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</si>
  <si>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</si>
  <si>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</si>
  <si>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</si>
  <si>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</si>
  <si>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</si>
  <si>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</si>
  <si>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</si>
  <si>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</si>
  <si>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</si>
  <si>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</si>
  <si>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</si>
  <si>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</si>
  <si>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</si>
  <si>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</si>
  <si>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</si>
  <si>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</si>
  <si>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</si>
  <si>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</si>
  <si>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</si>
  <si>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</si>
  <si>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</si>
  <si>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</si>
  <si>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</si>
  <si>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</si>
  <si>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</si>
  <si>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</si>
  <si>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</si>
  <si>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</si>
  <si>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</si>
  <si>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</si>
  <si>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</si>
  <si>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</si>
  <si>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</si>
  <si>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</si>
  <si>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</si>
  <si>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</si>
  <si>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</si>
  <si>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</si>
  <si>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</si>
  <si>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</si>
  <si>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</si>
  <si>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</si>
  <si>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</si>
  <si>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</si>
  <si>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</si>
  <si>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</si>
  <si>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</si>
  <si>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</si>
  <si>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</si>
  <si>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</si>
  <si>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</si>
  <si>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</si>
  <si>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</si>
  <si>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</si>
  <si>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</si>
  <si>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</si>
  <si>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</si>
  <si>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</si>
  <si>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</si>
  <si>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</si>
  <si>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</si>
  <si>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</si>
  <si>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</si>
  <si>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</si>
  <si>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</si>
  <si>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</si>
  <si>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</si>
  <si>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</si>
  <si>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</si>
  <si>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</si>
  <si>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</si>
  <si>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</si>
  <si>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</si>
  <si>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</si>
  <si>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</si>
  <si>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</si>
  <si>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</si>
  <si>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</si>
  <si>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</si>
  <si>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</si>
  <si>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</si>
  <si>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</si>
  <si>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</si>
  <si>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</si>
  <si>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</si>
  <si>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</si>
  <si>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</si>
  <si>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</si>
  <si>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</si>
  <si>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</si>
  <si>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</si>
  <si>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</si>
  <si>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</si>
  <si>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</si>
  <si>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</si>
  <si>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</si>
  <si>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</si>
  <si>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</si>
  <si>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</si>
  <si>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</si>
  <si>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</si>
  <si>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</si>
  <si>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</si>
  <si>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</si>
  <si>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</si>
  <si>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</si>
  <si>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</si>
  <si>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</si>
  <si>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</si>
  <si>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</si>
  <si>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</si>
  <si>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</si>
  <si>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</si>
  <si>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</si>
  <si>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</si>
  <si>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</si>
  <si>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</si>
  <si>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</si>
  <si>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</si>
  <si>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</si>
  <si>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</si>
  <si>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</si>
  <si>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</si>
  <si>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</si>
  <si>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</si>
  <si>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</si>
  <si>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</si>
  <si>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</si>
  <si>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</si>
  <si>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</si>
  <si>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</si>
  <si>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</si>
  <si>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</si>
  <si>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</si>
  <si>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</si>
  <si>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</si>
  <si>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</si>
  <si>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</si>
  <si>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</si>
  <si>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</si>
  <si>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</si>
  <si>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</si>
  <si>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</si>
  <si>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</si>
  <si>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</si>
  <si>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</si>
  <si>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</si>
  <si>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</si>
  <si>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</si>
  <si>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</si>
  <si>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</si>
  <si>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</si>
  <si>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</si>
  <si>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</si>
  <si>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</si>
  <si>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</si>
  <si>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</si>
  <si>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</si>
  <si>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</si>
  <si>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</si>
  <si>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</si>
  <si>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</si>
  <si>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</si>
  <si>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</si>
  <si>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</si>
  <si>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</si>
  <si>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</si>
  <si>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</si>
  <si>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</si>
  <si>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</si>
  <si>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</si>
  <si>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</si>
  <si>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</si>
  <si>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</si>
  <si>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</si>
  <si>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</si>
  <si>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</si>
  <si>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</si>
  <si>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</si>
  <si>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</si>
  <si>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</si>
  <si>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</si>
  <si>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</si>
  <si>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</si>
  <si>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</si>
  <si>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</si>
  <si>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</si>
  <si>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</si>
  <si>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</si>
  <si>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</si>
  <si>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</si>
  <si>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</si>
  <si>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</si>
  <si>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</si>
  <si>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</si>
  <si>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</si>
  <si>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</si>
  <si>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</si>
  <si>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</si>
  <si>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</si>
  <si>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</si>
  <si>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</si>
  <si>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</si>
  <si>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</si>
  <si>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</si>
  <si>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</si>
  <si>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</si>
  <si>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</si>
  <si>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</si>
  <si>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</si>
  <si>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</si>
  <si>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</si>
  <si>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</si>
  <si>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</si>
  <si>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</si>
  <si>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</si>
  <si>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</si>
  <si>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</si>
  <si>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</si>
  <si>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</si>
  <si>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</si>
  <si>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</si>
  <si>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</si>
  <si>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</si>
  <si>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</si>
  <si>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</si>
  <si>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</si>
  <si>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</si>
  <si>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</si>
  <si>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</si>
  <si>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</si>
  <si>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</si>
  <si>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</si>
  <si>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</si>
  <si>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</si>
  <si>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</si>
  <si>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</si>
  <si>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</si>
  <si>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</si>
  <si>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</si>
  <si>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</si>
  <si>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</si>
  <si>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</si>
  <si>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</si>
  <si>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</si>
  <si>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</si>
  <si>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</si>
  <si>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</si>
  <si>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</si>
  <si>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</si>
  <si>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</si>
  <si>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</si>
  <si>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</si>
  <si>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</si>
  <si>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</si>
  <si>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</si>
  <si>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</si>
  <si>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</si>
  <si>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</si>
  <si>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</si>
  <si>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</si>
  <si>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</si>
  <si>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</si>
  <si>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</si>
  <si>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</si>
  <si>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</si>
  <si>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</si>
  <si>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</si>
  <si>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</si>
  <si>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</si>
  <si>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</si>
  <si>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</si>
  <si>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</si>
  <si>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</si>
  <si>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</si>
  <si>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</si>
  <si>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</si>
  <si>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</si>
  <si>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</si>
  <si>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</si>
  <si>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</si>
  <si>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</si>
  <si>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</si>
  <si>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</si>
  <si>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</si>
  <si>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</si>
  <si>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</si>
  <si>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</si>
  <si>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</si>
  <si>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</si>
  <si>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</si>
  <si>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</si>
  <si>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</si>
  <si>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</si>
  <si>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</si>
  <si>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</si>
  <si>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</si>
  <si>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</si>
  <si>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</si>
  <si>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</si>
  <si>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</si>
  <si>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</si>
  <si>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</si>
  <si>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</si>
  <si>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</si>
  <si>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</si>
  <si>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</si>
  <si>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</si>
  <si>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</si>
  <si>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</si>
  <si>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</si>
  <si>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</si>
  <si>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</si>
  <si>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</si>
  <si>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</si>
  <si>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</si>
  <si>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</si>
  <si>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</si>
  <si>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</si>
  <si>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</si>
  <si>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</si>
  <si>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</si>
  <si>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</si>
  <si>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</si>
  <si>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</si>
  <si>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</si>
  <si>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</si>
  <si>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</si>
  <si>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</si>
  <si>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</si>
  <si>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</si>
  <si>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</si>
  <si>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</si>
  <si>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</si>
  <si>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</si>
  <si>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</si>
  <si>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</si>
  <si>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</si>
  <si>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</si>
  <si>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</si>
  <si>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</si>
  <si>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</si>
  <si>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</si>
  <si>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</si>
  <si>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</si>
  <si>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</si>
  <si>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</si>
  <si>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</si>
  <si>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</si>
  <si>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</si>
  <si>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</si>
  <si>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</si>
  <si>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</si>
  <si>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</si>
  <si>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</si>
  <si>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</si>
  <si>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</si>
  <si>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</si>
  <si>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</si>
  <si>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</si>
  <si>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</si>
  <si>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</si>
  <si>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</si>
  <si>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</si>
  <si>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</si>
  <si>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</si>
  <si>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</si>
  <si>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</si>
  <si>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</si>
  <si>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</si>
  <si>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</si>
  <si>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</si>
  <si>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</si>
  <si>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</si>
  <si>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</si>
  <si>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</si>
  <si>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</si>
  <si>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</si>
  <si>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</si>
  <si>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</si>
  <si>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</si>
  <si>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</si>
  <si>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</si>
  <si>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</si>
  <si>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</si>
  <si>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</si>
  <si>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</si>
  <si>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</si>
  <si>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</si>
  <si>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</si>
  <si>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</si>
  <si>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</si>
  <si>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</si>
  <si>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</si>
  <si>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</si>
  <si>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</si>
  <si>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</si>
  <si>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</si>
  <si>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</si>
  <si>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</si>
  <si>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</si>
  <si>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</si>
  <si>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</si>
  <si>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</si>
  <si>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</si>
  <si>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</si>
  <si>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</si>
  <si>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</si>
  <si>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</si>
  <si>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</si>
  <si>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</si>
  <si>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</si>
  <si>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</si>
  <si>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</si>
  <si>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</si>
  <si>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</si>
  <si>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</si>
  <si>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</si>
  <si>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</si>
  <si>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</si>
  <si>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</si>
  <si>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</si>
  <si>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</si>
  <si>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</si>
  <si>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</si>
  <si>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</si>
  <si>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</si>
  <si>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</si>
  <si>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</si>
  <si>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</si>
  <si>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</si>
  <si>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</si>
  <si>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</si>
  <si>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</si>
  <si>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</si>
  <si>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</si>
  <si>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</si>
  <si>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</si>
  <si>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</si>
  <si>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</si>
  <si>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</si>
  <si>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</si>
  <si>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</si>
  <si>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</si>
  <si>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</si>
  <si>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</si>
  <si>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</si>
  <si>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</si>
  <si>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</si>
  <si>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</si>
  <si>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</si>
  <si>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</si>
  <si>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</si>
  <si>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</si>
  <si>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</si>
  <si>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</si>
  <si>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</si>
  <si>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</si>
  <si>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</si>
  <si>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</si>
  <si>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</si>
  <si>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</si>
  <si>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</si>
  <si>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</si>
  <si>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</si>
  <si>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</si>
  <si>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</si>
  <si>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</si>
  <si>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</si>
  <si>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</si>
  <si>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</si>
  <si>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</si>
  <si>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</si>
  <si>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</si>
  <si>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</si>
  <si>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</si>
  <si>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</si>
  <si>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</si>
  <si>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</si>
  <si>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</si>
  <si>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</si>
  <si>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</si>
  <si>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</si>
  <si>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</si>
  <si>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</si>
  <si>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</si>
  <si>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</si>
  <si>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</si>
  <si>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</si>
  <si>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</si>
  <si>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</si>
  <si>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</si>
  <si>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</si>
  <si>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</si>
  <si>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</si>
  <si>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</si>
  <si>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</si>
  <si>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</si>
  <si>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</si>
  <si>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</si>
  <si>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</si>
  <si>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</si>
  <si>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</si>
  <si>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</si>
  <si>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</si>
  <si>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</si>
  <si>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</si>
  <si>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</si>
  <si>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</si>
  <si>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</si>
  <si>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</si>
  <si>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</si>
  <si>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</si>
  <si>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</si>
  <si>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</si>
  <si>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</si>
  <si>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</si>
  <si>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</si>
  <si>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</si>
  <si>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</si>
  <si>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</si>
  <si>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</si>
  <si>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</si>
  <si>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</si>
  <si>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</si>
  <si>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</si>
  <si>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</si>
  <si>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</si>
  <si>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</si>
  <si>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</si>
  <si>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</si>
  <si>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</si>
  <si>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</si>
  <si>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</si>
  <si>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</si>
  <si>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</si>
  <si>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</si>
  <si>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</si>
  <si>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</si>
  <si>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</si>
  <si>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</si>
  <si>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</si>
  <si>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</si>
  <si>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</si>
  <si>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</si>
  <si>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</si>
  <si>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</si>
  <si>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</si>
  <si>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</si>
  <si>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</si>
  <si>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</si>
  <si>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</si>
  <si>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</si>
  <si>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</si>
  <si>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</si>
  <si>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</si>
  <si>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</si>
  <si>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</si>
  <si>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</si>
  <si>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</si>
  <si>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</si>
  <si>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</si>
  <si>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</si>
  <si>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</si>
  <si>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</si>
  <si>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</si>
  <si>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</si>
  <si>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</si>
  <si>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</si>
  <si>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</si>
  <si>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</si>
  <si>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</si>
  <si>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</si>
  <si>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</si>
  <si>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</si>
  <si>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</si>
  <si>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</si>
  <si>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</si>
  <si>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</si>
  <si>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</si>
  <si>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</si>
  <si>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</si>
  <si>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</si>
  <si>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</si>
  <si>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</si>
  <si>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</si>
  <si>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</si>
  <si>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</si>
  <si>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</si>
  <si>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</si>
  <si>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</si>
  <si>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</si>
  <si>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</si>
  <si>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</si>
  <si>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</si>
  <si>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</si>
  <si>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</si>
  <si>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</si>
  <si>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</si>
  <si>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</si>
  <si>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</si>
  <si>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</si>
  <si>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</si>
  <si>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</si>
  <si>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</si>
  <si>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</si>
  <si>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</si>
  <si>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</si>
  <si>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</si>
  <si>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</si>
  <si>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</si>
  <si>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</si>
  <si>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</si>
  <si>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</si>
  <si>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</si>
  <si>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</si>
  <si>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</si>
  <si>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</si>
  <si>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</si>
  <si>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</si>
  <si>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</si>
  <si>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</si>
  <si>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</si>
  <si>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</si>
  <si>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</si>
  <si>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</si>
  <si>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</si>
  <si>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</si>
  <si>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</si>
  <si>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</si>
  <si>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</si>
  <si>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</si>
  <si>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</si>
  <si>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</si>
  <si>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</si>
  <si>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</si>
  <si>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</si>
  <si>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</si>
  <si>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</si>
  <si>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</si>
  <si>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</si>
  <si>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</si>
  <si>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</si>
  <si>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</si>
  <si>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</si>
  <si>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</si>
  <si>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</si>
  <si>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</si>
  <si>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</si>
  <si>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</si>
  <si>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</si>
  <si>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</si>
  <si>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</si>
  <si>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</si>
  <si>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</si>
  <si>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</si>
  <si>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</si>
  <si>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</si>
  <si>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</si>
  <si>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</si>
  <si>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</si>
  <si>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</si>
  <si>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</si>
  <si>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</si>
  <si>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</si>
  <si>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</si>
  <si>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</si>
  <si>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</si>
  <si>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</si>
  <si>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</si>
  <si>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</si>
  <si>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</si>
  <si>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</si>
  <si>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</si>
  <si>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</si>
  <si>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</si>
  <si>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</si>
  <si>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</si>
  <si>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</si>
  <si>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</si>
  <si>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</si>
  <si>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</si>
  <si>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</si>
  <si>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</si>
  <si>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</si>
  <si>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</si>
  <si>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</si>
  <si>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</si>
  <si>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</si>
  <si>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</si>
  <si>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</si>
  <si>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</si>
  <si>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</si>
  <si>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</si>
  <si>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</si>
  <si>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</si>
  <si>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</si>
  <si>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</si>
  <si>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</si>
  <si>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</si>
  <si>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</si>
  <si>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</si>
  <si>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</si>
  <si>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</si>
  <si>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</si>
  <si>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</si>
  <si>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</si>
  <si>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</si>
  <si>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</si>
  <si>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</si>
  <si>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</si>
  <si>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</si>
  <si>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</si>
  <si>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</si>
  <si>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</si>
  <si>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</si>
  <si>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</si>
  <si>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</si>
  <si>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</si>
  <si>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</si>
  <si>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</si>
  <si>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</si>
  <si>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</si>
  <si>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</si>
  <si>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</si>
  <si>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</si>
  <si>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</si>
  <si>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</si>
  <si>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</si>
  <si>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</si>
  <si>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</si>
  <si>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</si>
  <si>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</si>
  <si>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</si>
  <si>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</si>
  <si>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</si>
  <si>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</si>
  <si>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</si>
  <si>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</si>
  <si>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</si>
  <si>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</si>
  <si>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</si>
  <si>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</si>
  <si>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</si>
  <si>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</si>
  <si>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</si>
  <si>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</si>
  <si>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</si>
  <si>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</si>
  <si>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</si>
  <si>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</si>
  <si>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</si>
  <si>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</si>
  <si>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</si>
  <si>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</si>
  <si>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</si>
  <si>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</si>
  <si>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</si>
  <si>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</si>
  <si>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</si>
  <si>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</si>
  <si>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</si>
  <si>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</si>
  <si>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</si>
  <si>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</si>
  <si>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</si>
  <si>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</si>
  <si>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</si>
  <si>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</si>
  <si>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</si>
  <si>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</si>
  <si>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</si>
  <si>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</si>
  <si>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</si>
  <si>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</si>
  <si>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</si>
  <si>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</si>
  <si>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</si>
  <si>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</si>
  <si>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</si>
  <si>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</si>
  <si>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</si>
  <si>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</si>
  <si>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</si>
  <si>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</si>
  <si>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</si>
  <si>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</si>
  <si>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</si>
  <si>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</si>
  <si>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</si>
  <si>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</si>
  <si>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</si>
  <si>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</si>
  <si>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</si>
  <si>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</si>
  <si>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</si>
  <si>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</si>
  <si>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</si>
  <si>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</si>
  <si>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</si>
  <si>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</si>
  <si>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</si>
  <si>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</si>
  <si>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</si>
  <si>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</si>
  <si>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</si>
  <si>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</si>
  <si>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</si>
  <si>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</si>
  <si>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</si>
  <si>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</si>
  <si>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</si>
  <si>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</si>
  <si>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</si>
  <si>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</si>
  <si>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</si>
  <si>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</si>
  <si>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</si>
  <si>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</si>
  <si>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</si>
  <si>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</si>
  <si>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</si>
  <si>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</si>
  <si>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</si>
  <si>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</si>
  <si>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</si>
  <si>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</si>
  <si>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</si>
  <si>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</si>
  <si>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</si>
  <si>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</si>
  <si>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</si>
  <si>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</si>
  <si>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</si>
  <si>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</si>
  <si>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</si>
  <si>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1441 LAKE STRRET</t>
  </si>
  <si>
    <t xml:space="preserve">LIBERTYVILLE </t>
  </si>
  <si>
    <t>X</t>
  </si>
  <si>
    <t>EVOY, KAMSCHULTE, JACOBS &amp; CO., LLP</t>
  </si>
  <si>
    <t>KEVIN KINNAVY</t>
  </si>
  <si>
    <t>2122 YEOMAN ST</t>
  </si>
  <si>
    <t>WAUKEGAN</t>
  </si>
  <si>
    <t>IL</t>
  </si>
  <si>
    <t>847-662-8300</t>
  </si>
  <si>
    <t>847-662-8305</t>
  </si>
  <si>
    <t>066-033289</t>
  </si>
  <si>
    <t>kkinnavy@ekjllp.com</t>
  </si>
  <si>
    <t>Capital Leases</t>
  </si>
  <si>
    <t>GENERAL OBLIGATION DEBT CERTIFICATES</t>
  </si>
  <si>
    <t>NORTHERN ILLINOIS HEALTH INSURANCE POOL</t>
  </si>
  <si>
    <t>COLLECTIVE LIABILTY INSURANCE POOL</t>
  </si>
  <si>
    <t>ISDLAF</t>
  </si>
  <si>
    <t>HEARING ITINERANT TEACHER, SCHOOL BUSINESS OFFICIAL</t>
  </si>
  <si>
    <t>SPECIAL EDUCATION DISTRICT OF LAKE COUNTY</t>
  </si>
  <si>
    <t>20-2540-3410</t>
  </si>
  <si>
    <t>20-2540-3100</t>
  </si>
  <si>
    <t>40-2550-3310</t>
  </si>
  <si>
    <t>10-2560-3100</t>
  </si>
  <si>
    <t>10-2310-3800</t>
  </si>
  <si>
    <t>10-2520-3100</t>
  </si>
  <si>
    <t>10-2640-3100</t>
  </si>
  <si>
    <t>10-2210-3100</t>
  </si>
  <si>
    <t>ROSETTA STONE</t>
  </si>
  <si>
    <t>MARC HANS</t>
  </si>
  <si>
    <t>ACCESS ONE</t>
  </si>
  <si>
    <t>AKI CORP</t>
  </si>
  <si>
    <t>ALL-WAYS TRANSPORTATION</t>
  </si>
  <si>
    <t>AMERICAN FUNDING</t>
  </si>
  <si>
    <t>AMERICAN BUILDING CONTROLS</t>
  </si>
  <si>
    <t>CHARTWELLS</t>
  </si>
  <si>
    <t>CITICARE TRANSPORTATION</t>
  </si>
  <si>
    <t>CLIC</t>
  </si>
  <si>
    <t>FLEX PRINT</t>
  </si>
  <si>
    <t>FRONTLINE TECHNOLOGIES</t>
  </si>
  <si>
    <t>GHA TECHNOLOGIES</t>
  </si>
  <si>
    <t>LAKESIDE TRANSPORTATION</t>
  </si>
  <si>
    <t>Trans-transportation servs</t>
  </si>
  <si>
    <t>EDUC-CURRICLUM- PROFESSIONAL SERVICES</t>
  </si>
  <si>
    <t>TRANS-TRANSPORTATION-OTHER</t>
  </si>
  <si>
    <t>EDUC-FOOD SERVICE-PROFESSIONAL SERVICES</t>
  </si>
  <si>
    <t>GRAVEL DESIGN</t>
  </si>
  <si>
    <t>OM-OPERS/MAINT-PROFESSIONAL SERVICES</t>
  </si>
  <si>
    <t>EDUC-BOARD OF ED-PROFESSIONAL SERVICES</t>
  </si>
  <si>
    <t>EDUC-FISCAL SERVICES-PROFESSIONAL SERVICES</t>
  </si>
  <si>
    <t>EDUC-STAFF SERVICES-PROFESSIONAL SERVICES</t>
  </si>
  <si>
    <t>Ed Fund Other Local Revenue - Shared Services = 189,209, NIHIP Dist = 99,533, Refunds = 184,170</t>
  </si>
  <si>
    <t>Ed Fund Other Restricted  Revenue  State Sources =Library Grant</t>
  </si>
  <si>
    <t>Oper &amp; Maint Fund Other Local Revenue - Solar Rebate = 225000, Refunds = 5,979.</t>
  </si>
  <si>
    <t>Evoy, Kamschulte, Jacobs &amp; Co. LLP</t>
  </si>
  <si>
    <t>Libertyville SD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</si>
</sst>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 fillId="0" borderId="157" xfId="17" applyNumberFormat="1" applyFont="1" applyBorder="1" applyAlignment="1" applyProtection="1">
      <alignment horizontal="right"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838200</xdr:colOff>
          <xdr:row>4</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3" t="s">
        <v>404</v>
      </c>
      <c r="J1" s="1984"/>
      <c r="K1" s="1984"/>
      <c r="L1" s="1984"/>
      <c r="M1" s="1984"/>
      <c r="N1" s="1984"/>
      <c r="O1" s="1984"/>
      <c r="P1" s="1984"/>
      <c r="Q1" s="1984"/>
      <c r="R1" s="1984"/>
      <c r="S1" s="1984"/>
    </row>
    <row r="2" spans="1:28" ht="12" customHeight="1" x14ac:dyDescent="0.2">
      <c r="A2" s="47" t="s">
        <v>1992</v>
      </c>
      <c r="D2" s="48"/>
      <c r="I2" s="1985" t="s">
        <v>978</v>
      </c>
      <c r="J2" s="1984"/>
      <c r="K2" s="1984"/>
      <c r="L2" s="1984"/>
      <c r="M2" s="1984"/>
      <c r="N2" s="1984"/>
      <c r="O2" s="1984"/>
      <c r="P2" s="1984"/>
      <c r="Q2" s="1984"/>
      <c r="R2" s="1984"/>
      <c r="S2" s="1984"/>
    </row>
    <row r="3" spans="1:28" ht="12" customHeight="1" x14ac:dyDescent="0.2">
      <c r="A3" s="155" t="s">
        <v>1944</v>
      </c>
      <c r="B3" s="156"/>
      <c r="C3" s="156"/>
      <c r="D3" s="157"/>
      <c r="I3" s="1985" t="s">
        <v>52</v>
      </c>
      <c r="J3" s="1984"/>
      <c r="K3" s="1984"/>
      <c r="L3" s="1984"/>
      <c r="M3" s="1984"/>
      <c r="N3" s="1984"/>
      <c r="O3" s="1984"/>
      <c r="P3" s="1984"/>
      <c r="Q3" s="1984"/>
      <c r="R3" s="1984"/>
      <c r="S3" s="1984"/>
    </row>
    <row r="4" spans="1:28" ht="12" customHeight="1" x14ac:dyDescent="0.2">
      <c r="A4" s="37"/>
      <c r="I4" s="1985" t="s">
        <v>523</v>
      </c>
      <c r="J4" s="1984"/>
      <c r="K4" s="1984"/>
      <c r="L4" s="1984"/>
      <c r="M4" s="1984"/>
      <c r="N4" s="1984"/>
      <c r="O4" s="1984"/>
      <c r="P4" s="1984"/>
      <c r="Q4" s="1984"/>
      <c r="R4" s="1984"/>
      <c r="S4" s="1984"/>
    </row>
    <row r="5" spans="1:28" ht="14.1" customHeight="1" x14ac:dyDescent="0.2">
      <c r="B5" s="104" t="s">
        <v>2063</v>
      </c>
      <c r="C5" s="26" t="s">
        <v>909</v>
      </c>
      <c r="D5" s="84"/>
      <c r="E5" s="84"/>
      <c r="H5" s="38"/>
      <c r="I5" s="1993" t="s">
        <v>679</v>
      </c>
      <c r="J5" s="1992"/>
      <c r="K5" s="1992"/>
      <c r="L5" s="1992"/>
      <c r="M5" s="1992"/>
      <c r="N5" s="1992"/>
      <c r="O5" s="1992"/>
      <c r="P5" s="1992"/>
      <c r="Q5" s="1992"/>
      <c r="R5" s="1992"/>
      <c r="S5" s="1992"/>
    </row>
    <row r="6" spans="1:28" ht="14.1" customHeight="1" x14ac:dyDescent="0.2">
      <c r="B6" s="104"/>
      <c r="C6" s="26" t="s">
        <v>910</v>
      </c>
      <c r="D6" s="84"/>
      <c r="E6" s="84"/>
      <c r="I6" s="1991" t="s">
        <v>882</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673</v>
      </c>
      <c r="J9" s="1989"/>
      <c r="K9" s="1989"/>
      <c r="L9" s="1989"/>
      <c r="M9" s="1989"/>
      <c r="N9" s="1989"/>
      <c r="O9" s="1989"/>
      <c r="P9" s="1989"/>
      <c r="Q9" s="1989"/>
      <c r="R9" s="1989"/>
      <c r="S9" s="1990"/>
      <c r="T9" s="2004" t="s">
        <v>532</v>
      </c>
      <c r="U9" s="2005"/>
      <c r="V9" s="2005"/>
      <c r="W9" s="2005"/>
      <c r="X9" s="2005"/>
      <c r="Y9" s="2005"/>
      <c r="Z9" s="2005"/>
      <c r="AA9" s="2006"/>
    </row>
    <row r="10" spans="1:28" ht="13.5" customHeight="1" x14ac:dyDescent="0.2">
      <c r="A10" s="2011" t="s">
        <v>674</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954</v>
      </c>
      <c r="B11" s="2015"/>
      <c r="C11" s="2015"/>
      <c r="D11" s="2015"/>
      <c r="E11" s="2015"/>
      <c r="F11" s="2015"/>
      <c r="G11" s="2015"/>
      <c r="H11" s="2016"/>
      <c r="I11" s="27"/>
      <c r="J11" s="74"/>
      <c r="K11" s="27"/>
      <c r="O11" s="148" t="s">
        <v>2063</v>
      </c>
      <c r="P11" s="100" t="s">
        <v>201</v>
      </c>
      <c r="Q11" s="30"/>
      <c r="R11" s="28"/>
      <c r="S11" s="27"/>
      <c r="T11" s="2008"/>
      <c r="U11" s="2009"/>
      <c r="V11" s="2009"/>
      <c r="W11" s="2009"/>
      <c r="X11" s="2009"/>
      <c r="Y11" s="2009"/>
      <c r="Z11" s="2009"/>
      <c r="AA11" s="201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8">
        <v>34049070002</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7" t="s">
        <v>2064</v>
      </c>
      <c r="B15" s="2021"/>
      <c r="C15" s="2021"/>
      <c r="D15" s="2021"/>
      <c r="E15" s="2021"/>
      <c r="F15" s="2021"/>
      <c r="G15" s="2021"/>
      <c r="H15" s="2022"/>
      <c r="T15" s="2027" t="s">
        <v>2069</v>
      </c>
      <c r="U15" s="1971"/>
      <c r="V15" s="1971"/>
      <c r="W15" s="1971"/>
      <c r="X15" s="1971"/>
      <c r="Y15" s="2028"/>
      <c r="Z15" s="2028"/>
      <c r="AA15" s="202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7" t="s">
        <v>2119</v>
      </c>
      <c r="B17" s="1978"/>
      <c r="C17" s="1978"/>
      <c r="D17" s="1978"/>
      <c r="E17" s="1978"/>
      <c r="F17" s="1978"/>
      <c r="G17" s="1978"/>
      <c r="H17" s="2003"/>
      <c r="T17" s="2034" t="s">
        <v>2070</v>
      </c>
      <c r="U17" s="2035"/>
      <c r="V17" s="2035"/>
      <c r="W17" s="2035"/>
      <c r="X17" s="2035"/>
      <c r="Y17" s="2035"/>
      <c r="Z17" s="2035"/>
      <c r="AA17" s="2036"/>
    </row>
    <row r="18" spans="1:27" ht="13.5" customHeight="1" x14ac:dyDescent="0.2">
      <c r="A18" s="85" t="s">
        <v>529</v>
      </c>
      <c r="B18" s="76"/>
      <c r="C18" s="72"/>
      <c r="D18" s="76"/>
      <c r="E18" s="76"/>
      <c r="F18" s="76"/>
      <c r="G18" s="76"/>
      <c r="H18" s="56"/>
      <c r="I18" s="2002" t="s">
        <v>675</v>
      </c>
      <c r="J18" s="1953"/>
      <c r="K18" s="1953"/>
      <c r="L18" s="1953"/>
      <c r="M18" s="1953"/>
      <c r="N18" s="1953"/>
      <c r="O18" s="1953"/>
      <c r="P18" s="1953"/>
      <c r="Q18" s="1953"/>
      <c r="R18" s="1953"/>
      <c r="S18" s="1954"/>
      <c r="T18" s="85" t="s">
        <v>710</v>
      </c>
      <c r="U18" s="51"/>
      <c r="V18" s="72"/>
      <c r="W18" s="50"/>
      <c r="X18" s="85" t="s">
        <v>265</v>
      </c>
      <c r="Y18" s="81"/>
      <c r="Z18" s="159" t="s">
        <v>676</v>
      </c>
      <c r="AA18" s="46"/>
    </row>
    <row r="19" spans="1:27" ht="13.5" customHeight="1" x14ac:dyDescent="0.2">
      <c r="A19" s="2017" t="s">
        <v>2065</v>
      </c>
      <c r="B19" s="1963"/>
      <c r="C19" s="1963"/>
      <c r="D19" s="1963"/>
      <c r="E19" s="1963"/>
      <c r="F19" s="1963"/>
      <c r="G19" s="1963"/>
      <c r="H19" s="1943"/>
      <c r="I19" s="30"/>
      <c r="J19" s="99"/>
      <c r="K19" s="40"/>
      <c r="L19" s="38"/>
      <c r="M19" s="112" t="s">
        <v>314</v>
      </c>
      <c r="P19" s="27"/>
      <c r="Q19" s="27"/>
      <c r="R19" s="27"/>
      <c r="S19" s="31"/>
      <c r="T19" s="2017" t="s">
        <v>2071</v>
      </c>
      <c r="U19" s="1942"/>
      <c r="V19" s="1942"/>
      <c r="W19" s="1943"/>
      <c r="X19" s="2032" t="s">
        <v>2072</v>
      </c>
      <c r="Y19" s="2033"/>
      <c r="Z19" s="2030">
        <v>60087</v>
      </c>
      <c r="AA19" s="203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1" t="s">
        <v>2066</v>
      </c>
      <c r="B21" s="1942"/>
      <c r="C21" s="1942"/>
      <c r="D21" s="1942"/>
      <c r="E21" s="1942"/>
      <c r="F21" s="1942"/>
      <c r="G21" s="1942"/>
      <c r="H21" s="1943"/>
      <c r="I21" s="1997" t="s">
        <v>677</v>
      </c>
      <c r="J21" s="1992"/>
      <c r="K21" s="1992"/>
      <c r="L21" s="1992"/>
      <c r="M21" s="1992"/>
      <c r="N21" s="1992"/>
      <c r="O21" s="1992"/>
      <c r="P21" s="1992"/>
      <c r="Q21" s="1992"/>
      <c r="R21" s="1992"/>
      <c r="S21" s="1998"/>
      <c r="T21" s="2041" t="s">
        <v>2073</v>
      </c>
      <c r="U21" s="2042"/>
      <c r="V21" s="2042"/>
      <c r="W21" s="2042"/>
      <c r="X21" s="2047" t="s">
        <v>2074</v>
      </c>
      <c r="Y21" s="2048"/>
      <c r="Z21" s="2048"/>
      <c r="AA21" s="2049"/>
    </row>
    <row r="22" spans="1:27" ht="13.5" customHeight="1" x14ac:dyDescent="0.2">
      <c r="A22" s="87" t="s">
        <v>530</v>
      </c>
      <c r="B22" s="59"/>
      <c r="C22" s="59"/>
      <c r="D22" s="59"/>
      <c r="E22" s="59"/>
      <c r="F22" s="59"/>
      <c r="G22" s="59"/>
      <c r="H22" s="60"/>
      <c r="I22" s="1999" t="s">
        <v>1428</v>
      </c>
      <c r="J22" s="2000"/>
      <c r="K22" s="2000"/>
      <c r="L22" s="2000"/>
      <c r="M22" s="2000"/>
      <c r="N22" s="2000"/>
      <c r="O22" s="2000"/>
      <c r="P22" s="2000"/>
      <c r="Q22" s="2000"/>
      <c r="R22" s="2000"/>
      <c r="S22" s="2001"/>
      <c r="T22" s="85" t="s">
        <v>1515</v>
      </c>
      <c r="U22" s="51"/>
      <c r="V22" s="72"/>
      <c r="W22" s="51"/>
      <c r="X22" s="160" t="s">
        <v>1317</v>
      </c>
      <c r="Z22" s="45"/>
      <c r="AA22" s="46"/>
    </row>
    <row r="23" spans="1:27" ht="13.5" customHeight="1" x14ac:dyDescent="0.2">
      <c r="A23" s="1994"/>
      <c r="B23" s="1995"/>
      <c r="C23" s="1995"/>
      <c r="D23" s="1995"/>
      <c r="E23" s="1995"/>
      <c r="F23" s="1995"/>
      <c r="G23" s="1995"/>
      <c r="H23" s="1996"/>
      <c r="T23" s="1977" t="s">
        <v>2075</v>
      </c>
      <c r="U23" s="2040"/>
      <c r="V23" s="2040"/>
      <c r="W23" s="2040"/>
      <c r="X23" s="2044">
        <v>44530</v>
      </c>
      <c r="Y23" s="2045"/>
      <c r="Z23" s="2045"/>
      <c r="AA23" s="2046"/>
    </row>
    <row r="24" spans="1:27" ht="14.1" customHeight="1" x14ac:dyDescent="0.2">
      <c r="A24" s="88" t="s">
        <v>676</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530</v>
      </c>
      <c r="U24" s="106"/>
      <c r="V24" s="106"/>
      <c r="W24" s="106"/>
      <c r="X24" s="107"/>
      <c r="Y24" s="107"/>
      <c r="Z24" s="107"/>
      <c r="AA24" s="108"/>
    </row>
    <row r="25" spans="1:27" ht="14.1" customHeight="1" x14ac:dyDescent="0.2">
      <c r="A25" s="1941">
        <v>60048</v>
      </c>
      <c r="B25" s="1942"/>
      <c r="C25" s="1942"/>
      <c r="D25" s="1942"/>
      <c r="E25" s="1942"/>
      <c r="F25" s="1942"/>
      <c r="G25" s="1942"/>
      <c r="H25" s="1943"/>
      <c r="I25" s="113"/>
      <c r="J25" s="1966"/>
      <c r="K25" s="1966"/>
      <c r="L25" s="1966"/>
      <c r="M25" s="1966"/>
      <c r="N25" s="1966"/>
      <c r="O25" s="1966"/>
      <c r="P25" s="1966"/>
      <c r="Q25" s="1966"/>
      <c r="R25" s="1966"/>
      <c r="S25" s="1967"/>
      <c r="T25" s="2037" t="s">
        <v>2076</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2" t="s">
        <v>1510</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2067</v>
      </c>
      <c r="M29" s="40" t="s">
        <v>99</v>
      </c>
      <c r="N29" s="32" t="s">
        <v>1522</v>
      </c>
      <c r="O29" s="32"/>
      <c r="P29" s="32"/>
      <c r="Q29" s="32"/>
      <c r="R29" s="32"/>
      <c r="S29" s="123"/>
      <c r="T29" s="6"/>
      <c r="U29" s="6"/>
      <c r="V29" s="6"/>
      <c r="W29" s="6"/>
      <c r="X29" s="6"/>
      <c r="Y29" s="6"/>
      <c r="Z29" s="6"/>
      <c r="AA29" s="132"/>
    </row>
    <row r="30" spans="1:27" ht="13.5" customHeight="1" x14ac:dyDescent="0.2">
      <c r="A30" s="153"/>
      <c r="B30" s="136" t="s">
        <v>2067</v>
      </c>
      <c r="C30" s="124" t="s">
        <v>1163</v>
      </c>
      <c r="D30" s="28"/>
      <c r="E30" s="28"/>
      <c r="F30" s="140"/>
      <c r="G30" s="114"/>
      <c r="H30" s="114"/>
      <c r="I30" s="54"/>
      <c r="J30" s="102"/>
      <c r="K30" s="28" t="s">
        <v>575</v>
      </c>
      <c r="L30" s="148" t="s">
        <v>2067</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2067</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7"/>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530</v>
      </c>
      <c r="B39" s="1948"/>
      <c r="C39" s="72"/>
      <c r="D39" s="69"/>
      <c r="E39" s="69"/>
      <c r="F39" s="79"/>
      <c r="G39" s="69"/>
      <c r="H39" s="56"/>
      <c r="I39" s="1947" t="s">
        <v>530</v>
      </c>
      <c r="J39" s="1948"/>
      <c r="K39" s="1948"/>
      <c r="L39" s="1948"/>
      <c r="M39" s="1948"/>
      <c r="N39" s="67"/>
      <c r="O39" s="72"/>
      <c r="P39" s="72"/>
      <c r="Q39" s="78"/>
      <c r="R39" s="72"/>
      <c r="S39" s="56"/>
      <c r="T39" s="72" t="s">
        <v>530</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9"/>
      <c r="B42" s="1961"/>
      <c r="C42" s="1962"/>
      <c r="D42" s="1960"/>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1" sqref="E1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1801</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1154</v>
      </c>
      <c r="B4" s="1749">
        <f>'Revenues 9-14'!C5</f>
        <v>22565171</v>
      </c>
      <c r="C4" s="1524"/>
      <c r="D4" s="1752">
        <f>B4-C4</f>
        <v>22565171</v>
      </c>
      <c r="E4" s="1524">
        <v>25035050</v>
      </c>
      <c r="F4" s="1752">
        <f>E4-C4</f>
        <v>25035050</v>
      </c>
    </row>
    <row r="5" spans="1:6" ht="13.7" customHeight="1" x14ac:dyDescent="0.2">
      <c r="A5" s="715" t="s">
        <v>869</v>
      </c>
      <c r="B5" s="1750">
        <f>'Revenues 9-14'!D5</f>
        <v>3569802</v>
      </c>
      <c r="C5" s="585">
        <v>1778574</v>
      </c>
      <c r="D5" s="1753">
        <f t="shared" ref="D5:D18" si="0">B5-C5</f>
        <v>1791228</v>
      </c>
      <c r="E5" s="585">
        <v>3587115</v>
      </c>
      <c r="F5" s="1753">
        <f>E5-C5</f>
        <v>1808541</v>
      </c>
    </row>
    <row r="6" spans="1:6" ht="13.7" customHeight="1" x14ac:dyDescent="0.2">
      <c r="A6" s="715" t="s">
        <v>410</v>
      </c>
      <c r="B6" s="1750">
        <f>'Revenues 9-14'!E5</f>
        <v>764527</v>
      </c>
      <c r="C6" s="585">
        <v>431254</v>
      </c>
      <c r="D6" s="1753">
        <f t="shared" si="0"/>
        <v>333273</v>
      </c>
      <c r="E6" s="585">
        <v>869775</v>
      </c>
      <c r="F6" s="1753">
        <f t="shared" ref="F6:F18" si="1">E6-C6</f>
        <v>438521</v>
      </c>
    </row>
    <row r="7" spans="1:6" ht="13.7" customHeight="1" x14ac:dyDescent="0.2">
      <c r="A7" s="715" t="s">
        <v>155</v>
      </c>
      <c r="B7" s="1750">
        <f>'Revenues 9-14'!F5</f>
        <v>1004984</v>
      </c>
      <c r="C7" s="585">
        <v>592858</v>
      </c>
      <c r="D7" s="1753">
        <f t="shared" si="0"/>
        <v>412126</v>
      </c>
      <c r="E7" s="585">
        <v>1195705</v>
      </c>
      <c r="F7" s="1753">
        <f t="shared" si="1"/>
        <v>602847</v>
      </c>
    </row>
    <row r="8" spans="1:6" ht="13.7" customHeight="1" x14ac:dyDescent="0.2">
      <c r="A8" s="715" t="s">
        <v>1178</v>
      </c>
      <c r="B8" s="1750">
        <f>'Revenues 9-14'!G5</f>
        <v>234885</v>
      </c>
      <c r="C8" s="585">
        <v>128451</v>
      </c>
      <c r="D8" s="1753">
        <f t="shared" si="0"/>
        <v>106434</v>
      </c>
      <c r="E8" s="585">
        <v>259066</v>
      </c>
      <c r="F8" s="1753">
        <f t="shared" si="1"/>
        <v>130615</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94453</v>
      </c>
      <c r="C10" s="585">
        <v>51877</v>
      </c>
      <c r="D10" s="1753">
        <f t="shared" si="0"/>
        <v>42576</v>
      </c>
      <c r="E10" s="585">
        <v>104627</v>
      </c>
      <c r="F10" s="1753">
        <f t="shared" si="1"/>
        <v>52750</v>
      </c>
    </row>
    <row r="11" spans="1:6" x14ac:dyDescent="0.2">
      <c r="A11" s="715" t="s">
        <v>408</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66536</v>
      </c>
      <c r="C14" s="585">
        <v>33689</v>
      </c>
      <c r="D14" s="1753">
        <f t="shared" si="0"/>
        <v>32847</v>
      </c>
      <c r="E14" s="585">
        <v>67946</v>
      </c>
      <c r="F14" s="1753">
        <f t="shared" si="1"/>
        <v>34257</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234885</v>
      </c>
      <c r="C16" s="585">
        <v>128451</v>
      </c>
      <c r="D16" s="1753">
        <f t="shared" si="0"/>
        <v>106434</v>
      </c>
      <c r="E16" s="585">
        <v>259066</v>
      </c>
      <c r="F16" s="1753">
        <f t="shared" si="1"/>
        <v>130615</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28535243</v>
      </c>
      <c r="C19" s="1751">
        <f>SUM(C4:C18)</f>
        <v>3145154</v>
      </c>
      <c r="D19" s="1751">
        <f>SUM(D4:D18)</f>
        <v>25390089</v>
      </c>
      <c r="E19" s="1751">
        <f>SUM(E4:E18)</f>
        <v>31378350</v>
      </c>
      <c r="F19" s="1751">
        <f>SUM(F4:F18)</f>
        <v>28233196</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6" colorId="8" zoomScale="110" zoomScaleNormal="110" workbookViewId="0">
      <selection activeCell="H34" sqref="H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628</v>
      </c>
      <c r="B1" s="2203"/>
      <c r="C1" s="721"/>
    </row>
    <row r="2" spans="1:7" ht="33.75" x14ac:dyDescent="0.2">
      <c r="A2" s="2210" t="s">
        <v>1801</v>
      </c>
      <c r="B2" s="2211"/>
      <c r="C2" s="1884" t="s">
        <v>1955</v>
      </c>
      <c r="D2" s="723" t="s">
        <v>1956</v>
      </c>
      <c r="E2" s="723" t="s">
        <v>1957</v>
      </c>
      <c r="F2" s="1884" t="s">
        <v>1958</v>
      </c>
    </row>
    <row r="3" spans="1:7" ht="15.75" customHeight="1" x14ac:dyDescent="0.2">
      <c r="A3" s="2212" t="s">
        <v>1113</v>
      </c>
      <c r="B3" s="2213"/>
      <c r="C3" s="2206"/>
      <c r="D3" s="2207"/>
      <c r="E3" s="2207"/>
      <c r="F3" s="2208"/>
    </row>
    <row r="4" spans="1:7" ht="12.75" customHeight="1" thickBot="1" x14ac:dyDescent="0.25">
      <c r="A4" s="2200" t="s">
        <v>629</v>
      </c>
      <c r="B4" s="2201"/>
      <c r="C4" s="581"/>
      <c r="D4" s="581"/>
      <c r="E4" s="581"/>
      <c r="F4" s="1755">
        <f>SUM(C4+D4)-E4</f>
        <v>0</v>
      </c>
    </row>
    <row r="5" spans="1:7" ht="15.75" customHeight="1" thickTop="1" x14ac:dyDescent="0.2">
      <c r="A5" s="2204" t="s">
        <v>1109</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6" t="s">
        <v>630</v>
      </c>
      <c r="B15" s="2197"/>
      <c r="C15" s="1755">
        <f>SUM(C6:C14)</f>
        <v>0</v>
      </c>
      <c r="D15" s="1755">
        <f>SUM(D6:D14)</f>
        <v>0</v>
      </c>
      <c r="E15" s="1755">
        <f>SUM(E6:E14)</f>
        <v>0</v>
      </c>
      <c r="F15" s="1755">
        <f>SUM(F6:F14)</f>
        <v>0</v>
      </c>
      <c r="G15" s="552"/>
    </row>
    <row r="16" spans="1:7" s="202" customFormat="1" ht="15.75" customHeight="1" thickTop="1" x14ac:dyDescent="0.2">
      <c r="A16" s="2209" t="s">
        <v>1110</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387</v>
      </c>
      <c r="B19" s="2192"/>
      <c r="C19" s="726"/>
      <c r="D19" s="585"/>
      <c r="E19" s="726"/>
      <c r="F19" s="1755">
        <f>SUM(C19+D19)-E19</f>
        <v>0</v>
      </c>
    </row>
    <row r="20" spans="1:11" ht="12.75" customHeight="1" thickTop="1" thickBot="1" x14ac:dyDescent="0.25">
      <c r="A20" s="2191" t="s">
        <v>447</v>
      </c>
      <c r="B20" s="2192"/>
      <c r="C20" s="726"/>
      <c r="D20" s="585"/>
      <c r="E20" s="726"/>
      <c r="F20" s="1755">
        <f>SUM(C20+D20)-E20</f>
        <v>0</v>
      </c>
    </row>
    <row r="21" spans="1:11" ht="14.25" thickTop="1" thickBot="1" x14ac:dyDescent="0.25">
      <c r="A21" s="2196" t="s">
        <v>631</v>
      </c>
      <c r="B21" s="2197"/>
      <c r="C21" s="1755">
        <f>SUM(C17:C20)</f>
        <v>0</v>
      </c>
      <c r="D21" s="1755">
        <f>SUM(D17:D20)</f>
        <v>0</v>
      </c>
      <c r="E21" s="1755">
        <f>SUM(E17:E20)</f>
        <v>0</v>
      </c>
      <c r="F21" s="1755">
        <f>SUM(F17:F20)</f>
        <v>0</v>
      </c>
      <c r="G21" s="552"/>
    </row>
    <row r="22" spans="1:11" ht="15.75" customHeight="1" thickTop="1" x14ac:dyDescent="0.2">
      <c r="A22" s="2198" t="s">
        <v>1111</v>
      </c>
      <c r="B22" s="2199"/>
      <c r="C22" s="2193"/>
      <c r="D22" s="2194"/>
      <c r="E22" s="2194"/>
      <c r="F22" s="2195"/>
    </row>
    <row r="23" spans="1:11" ht="13.5" thickBot="1" x14ac:dyDescent="0.25">
      <c r="A23" s="2200" t="s">
        <v>632</v>
      </c>
      <c r="B23" s="2201"/>
      <c r="C23" s="581"/>
      <c r="D23" s="581"/>
      <c r="E23" s="581"/>
      <c r="F23" s="1755">
        <f>SUM(C23+D23)-E23</f>
        <v>0</v>
      </c>
      <c r="G23" s="552"/>
    </row>
    <row r="24" spans="1:11" ht="15.75" customHeight="1" thickTop="1" x14ac:dyDescent="0.2">
      <c r="A24" s="2198" t="s">
        <v>1112</v>
      </c>
      <c r="B24" s="2199"/>
      <c r="C24" s="2193"/>
      <c r="D24" s="2194"/>
      <c r="E24" s="2194"/>
      <c r="F24" s="2195"/>
    </row>
    <row r="25" spans="1:11" ht="13.5" thickBot="1" x14ac:dyDescent="0.25">
      <c r="A25" s="2200" t="s">
        <v>633</v>
      </c>
      <c r="B25" s="2201"/>
      <c r="C25" s="581"/>
      <c r="D25" s="581"/>
      <c r="E25" s="581"/>
      <c r="F25" s="1755">
        <f>SUM(C25+D25)-E25</f>
        <v>0</v>
      </c>
      <c r="G25" s="552"/>
    </row>
    <row r="26" spans="1:11" ht="15.75" customHeight="1" thickTop="1" x14ac:dyDescent="0.2">
      <c r="A26" s="2204" t="s">
        <v>656</v>
      </c>
      <c r="B26" s="2199"/>
      <c r="C26" s="727"/>
      <c r="D26" s="727"/>
      <c r="E26" s="727"/>
      <c r="F26" s="728"/>
    </row>
    <row r="27" spans="1:11" ht="13.5" thickBot="1" x14ac:dyDescent="0.25">
      <c r="A27" s="2196" t="s">
        <v>1069</v>
      </c>
      <c r="B27" s="2197"/>
      <c r="C27" s="585"/>
      <c r="D27" s="585"/>
      <c r="E27" s="585"/>
      <c r="F27" s="1755">
        <f>SUM(C27+D27)-E27</f>
        <v>0</v>
      </c>
      <c r="G27" s="552"/>
    </row>
    <row r="28" spans="1:11" ht="7.5" customHeight="1" thickTop="1" x14ac:dyDescent="0.2">
      <c r="A28" s="593"/>
    </row>
    <row r="29" spans="1:11" ht="23.25" customHeight="1" x14ac:dyDescent="0.2">
      <c r="A29" s="2202" t="s">
        <v>581</v>
      </c>
      <c r="B29" s="2203"/>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c r="B31" s="733">
        <v>39934</v>
      </c>
      <c r="C31" s="734">
        <v>5310000</v>
      </c>
      <c r="D31" s="735">
        <v>6</v>
      </c>
      <c r="E31" s="734">
        <v>1660000</v>
      </c>
      <c r="F31" s="734"/>
      <c r="G31" s="734"/>
      <c r="H31" s="734">
        <v>1000000</v>
      </c>
      <c r="I31" s="1756">
        <f>((E31+F31)-H31)+G31</f>
        <v>660000</v>
      </c>
      <c r="J31" s="734">
        <v>660000</v>
      </c>
      <c r="K31" s="736"/>
    </row>
    <row r="32" spans="1:11" ht="12" customHeight="1" x14ac:dyDescent="0.2">
      <c r="A32" s="732"/>
      <c r="B32" s="733">
        <v>40764</v>
      </c>
      <c r="C32" s="734">
        <v>4270000</v>
      </c>
      <c r="D32" s="735">
        <v>2</v>
      </c>
      <c r="E32" s="734">
        <v>1440000</v>
      </c>
      <c r="F32" s="734"/>
      <c r="G32" s="734"/>
      <c r="H32" s="734">
        <v>460000</v>
      </c>
      <c r="I32" s="1756">
        <f>((E32+F32)-H32)+G32</f>
        <v>980000</v>
      </c>
      <c r="J32" s="734">
        <v>1158187</v>
      </c>
      <c r="K32" s="736"/>
    </row>
    <row r="33" spans="1:11" ht="12" customHeight="1" x14ac:dyDescent="0.2">
      <c r="A33" s="732"/>
      <c r="B33" s="733">
        <v>42535</v>
      </c>
      <c r="C33" s="734">
        <v>6000000</v>
      </c>
      <c r="D33" s="735">
        <v>1</v>
      </c>
      <c r="E33" s="734">
        <v>5975000</v>
      </c>
      <c r="F33" s="734"/>
      <c r="G33" s="734"/>
      <c r="H33" s="734"/>
      <c r="I33" s="1756">
        <f t="shared" ref="I33:I48" si="1">((E33+F33)-H33)+G33</f>
        <v>5975000</v>
      </c>
      <c r="J33" s="734">
        <v>5569373</v>
      </c>
      <c r="K33" s="736"/>
    </row>
    <row r="34" spans="1:11" ht="12" customHeight="1" x14ac:dyDescent="0.2">
      <c r="A34" s="732"/>
      <c r="B34" s="733">
        <v>42775</v>
      </c>
      <c r="C34" s="734">
        <v>5495000</v>
      </c>
      <c r="D34" s="735">
        <v>3</v>
      </c>
      <c r="E34" s="734">
        <v>4945000</v>
      </c>
      <c r="F34" s="734"/>
      <c r="G34" s="734"/>
      <c r="H34" s="734">
        <v>490000</v>
      </c>
      <c r="I34" s="1756">
        <f t="shared" si="1"/>
        <v>4455000</v>
      </c>
      <c r="J34" s="734">
        <v>4681242</v>
      </c>
      <c r="K34" s="737"/>
    </row>
    <row r="35" spans="1:11" ht="12" customHeight="1" x14ac:dyDescent="0.2">
      <c r="A35" s="732" t="s">
        <v>2078</v>
      </c>
      <c r="B35" s="733">
        <v>43264</v>
      </c>
      <c r="C35" s="738">
        <v>5460000</v>
      </c>
      <c r="D35" s="735">
        <v>7</v>
      </c>
      <c r="E35" s="738"/>
      <c r="F35" s="738">
        <v>5460000</v>
      </c>
      <c r="G35" s="738"/>
      <c r="H35" s="738"/>
      <c r="I35" s="1756">
        <f t="shared" si="1"/>
        <v>5460000</v>
      </c>
      <c r="J35" s="738">
        <v>5460000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t="s">
        <v>2077</v>
      </c>
      <c r="B38" s="733"/>
      <c r="C38" s="734"/>
      <c r="D38" s="741">
        <v>7</v>
      </c>
      <c r="E38" s="742">
        <v>413100</v>
      </c>
      <c r="F38" s="742"/>
      <c r="G38" s="742"/>
      <c r="H38" s="742">
        <v>160071</v>
      </c>
      <c r="I38" s="1756">
        <f t="shared" si="1"/>
        <v>253029</v>
      </c>
      <c r="J38" s="743">
        <v>253029</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26535000</v>
      </c>
      <c r="D49" s="745"/>
      <c r="E49" s="1756">
        <f t="shared" ref="E49:J49" si="2">SUM(E31:E48)</f>
        <v>14433100</v>
      </c>
      <c r="F49" s="1756">
        <f t="shared" si="2"/>
        <v>5460000</v>
      </c>
      <c r="G49" s="1756">
        <f t="shared" si="2"/>
        <v>0</v>
      </c>
      <c r="H49" s="1756">
        <f t="shared" si="2"/>
        <v>2110071</v>
      </c>
      <c r="I49" s="1756">
        <f t="shared" si="2"/>
        <v>17783029</v>
      </c>
      <c r="J49" s="1756">
        <f t="shared" si="2"/>
        <v>17781831</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5" t="s">
        <v>583</v>
      </c>
      <c r="C52" s="2186"/>
      <c r="D52" s="2186"/>
      <c r="E52" s="749" t="s">
        <v>844</v>
      </c>
      <c r="F52" s="2187"/>
      <c r="G52" s="2188"/>
      <c r="H52" s="736"/>
      <c r="I52" s="736"/>
      <c r="J52" s="746"/>
    </row>
    <row r="53" spans="1:11" ht="11.25" customHeight="1" x14ac:dyDescent="0.2">
      <c r="A53" s="750" t="s">
        <v>912</v>
      </c>
      <c r="B53" s="751" t="s">
        <v>950</v>
      </c>
      <c r="C53" s="746"/>
      <c r="D53" s="737"/>
      <c r="E53" s="749" t="s">
        <v>496</v>
      </c>
      <c r="F53" s="2189"/>
      <c r="G53" s="2190"/>
      <c r="H53" s="736"/>
      <c r="I53" s="736"/>
      <c r="J53" s="746"/>
    </row>
    <row r="54" spans="1:11" ht="11.25" customHeight="1" x14ac:dyDescent="0.2">
      <c r="A54" s="752" t="s">
        <v>913</v>
      </c>
      <c r="B54" s="747" t="s">
        <v>951</v>
      </c>
      <c r="C54" s="746"/>
      <c r="D54" s="737"/>
      <c r="E54" s="749" t="s">
        <v>497</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9" colorId="8" zoomScale="110" zoomScaleNormal="110" workbookViewId="0">
      <selection activeCell="G40" sqref="G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855</v>
      </c>
      <c r="B1" s="2215"/>
      <c r="C1" s="2215"/>
      <c r="D1" s="2215"/>
      <c r="E1" s="2215"/>
      <c r="F1" s="2215"/>
      <c r="G1" s="2216"/>
      <c r="H1" s="1530"/>
      <c r="I1" s="760"/>
      <c r="J1" s="433"/>
    </row>
    <row r="2" spans="1:11" ht="26.25" x14ac:dyDescent="0.2">
      <c r="A2" s="2233" t="s">
        <v>1676</v>
      </c>
      <c r="B2" s="2234"/>
      <c r="C2" s="2234"/>
      <c r="D2" s="2234"/>
      <c r="E2" s="2235"/>
      <c r="F2" s="761" t="s">
        <v>903</v>
      </c>
      <c r="G2" s="762" t="s">
        <v>1673</v>
      </c>
      <c r="H2" s="762" t="s">
        <v>409</v>
      </c>
      <c r="I2" s="762" t="s">
        <v>1157</v>
      </c>
      <c r="J2" s="762" t="s">
        <v>1811</v>
      </c>
      <c r="K2" s="762" t="s">
        <v>138</v>
      </c>
    </row>
    <row r="3" spans="1:11" x14ac:dyDescent="0.2">
      <c r="A3" s="2236" t="s">
        <v>1963</v>
      </c>
      <c r="B3" s="2237"/>
      <c r="C3" s="2237"/>
      <c r="D3" s="2237"/>
      <c r="E3" s="2238"/>
      <c r="F3" s="763"/>
      <c r="G3" s="764"/>
      <c r="H3" s="764"/>
      <c r="I3" s="764"/>
      <c r="J3" s="765"/>
      <c r="K3" s="765"/>
    </row>
    <row r="4" spans="1:11" x14ac:dyDescent="0.2">
      <c r="A4" s="2239" t="s">
        <v>368</v>
      </c>
      <c r="B4" s="2240"/>
      <c r="C4" s="2240"/>
      <c r="D4" s="2240"/>
      <c r="E4" s="2186"/>
      <c r="F4" s="766"/>
      <c r="G4" s="767"/>
      <c r="H4" s="768"/>
      <c r="I4" s="767"/>
      <c r="J4" s="769"/>
      <c r="K4" s="769"/>
    </row>
    <row r="5" spans="1:11" x14ac:dyDescent="0.2">
      <c r="A5" s="2217" t="s">
        <v>1068</v>
      </c>
      <c r="B5" s="2218"/>
      <c r="C5" s="2218"/>
      <c r="D5" s="2218"/>
      <c r="E5" s="2219"/>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17" t="s">
        <v>1812</v>
      </c>
      <c r="B10" s="2218"/>
      <c r="C10" s="2218"/>
      <c r="D10" s="2218"/>
      <c r="E10" s="2220"/>
      <c r="F10" s="783" t="s">
        <v>861</v>
      </c>
      <c r="G10" s="782"/>
      <c r="H10" s="784"/>
      <c r="I10" s="764"/>
      <c r="J10" s="765"/>
      <c r="K10" s="765"/>
    </row>
    <row r="11" spans="1:11" x14ac:dyDescent="0.2">
      <c r="A11" s="2217" t="s">
        <v>160</v>
      </c>
      <c r="B11" s="2218"/>
      <c r="C11" s="2218"/>
      <c r="D11" s="2218"/>
      <c r="E11" s="2219"/>
      <c r="F11" s="770" t="s">
        <v>851</v>
      </c>
      <c r="G11" s="771"/>
      <c r="H11" s="764"/>
      <c r="I11" s="764"/>
      <c r="J11" s="765"/>
      <c r="K11" s="773"/>
    </row>
    <row r="12" spans="1:11" ht="13.5" thickBot="1" x14ac:dyDescent="0.25">
      <c r="A12" s="2244" t="s">
        <v>904</v>
      </c>
      <c r="B12" s="2245"/>
      <c r="C12" s="2245"/>
      <c r="D12" s="2245"/>
      <c r="E12" s="2246"/>
      <c r="F12" s="1757"/>
      <c r="G12" s="1758">
        <f>SUM(G5:G11)</f>
        <v>0</v>
      </c>
      <c r="H12" s="1758">
        <f>SUM(H5:H11)</f>
        <v>0</v>
      </c>
      <c r="I12" s="1758">
        <f>SUM(I5:I11)</f>
        <v>0</v>
      </c>
      <c r="J12" s="1758">
        <f>SUM(J5:J11)</f>
        <v>0</v>
      </c>
      <c r="K12" s="1758">
        <f>SUM(K5:K11)</f>
        <v>0</v>
      </c>
    </row>
    <row r="13" spans="1:11" ht="13.5" thickTop="1" x14ac:dyDescent="0.2">
      <c r="A13" s="2241" t="s">
        <v>369</v>
      </c>
      <c r="B13" s="2242"/>
      <c r="C13" s="2242"/>
      <c r="D13" s="2242"/>
      <c r="E13" s="2243"/>
      <c r="F13" s="785"/>
      <c r="G13" s="786"/>
      <c r="H13" s="787"/>
      <c r="I13" s="788"/>
      <c r="J13" s="788"/>
      <c r="K13" s="788"/>
    </row>
    <row r="14" spans="1:11" x14ac:dyDescent="0.2">
      <c r="A14" s="2224" t="s">
        <v>455</v>
      </c>
      <c r="B14" s="2224"/>
      <c r="C14" s="2224"/>
      <c r="D14" s="2224"/>
      <c r="E14" s="2225"/>
      <c r="F14" s="789" t="s">
        <v>853</v>
      </c>
      <c r="G14" s="782"/>
      <c r="H14" s="764"/>
      <c r="I14" s="771"/>
      <c r="J14" s="773"/>
      <c r="K14" s="765"/>
    </row>
    <row r="15" spans="1:11" x14ac:dyDescent="0.2">
      <c r="A15" s="2218" t="s">
        <v>4</v>
      </c>
      <c r="B15" s="2218"/>
      <c r="C15" s="2218"/>
      <c r="D15" s="2218"/>
      <c r="E15" s="2219"/>
      <c r="F15" s="789" t="s">
        <v>854</v>
      </c>
      <c r="G15" s="771"/>
      <c r="H15" s="764"/>
      <c r="I15" s="764"/>
      <c r="J15" s="765"/>
      <c r="K15" s="765"/>
    </row>
    <row r="16" spans="1:11" x14ac:dyDescent="0.2">
      <c r="A16" s="2218" t="s">
        <v>297</v>
      </c>
      <c r="B16" s="2218"/>
      <c r="C16" s="2218"/>
      <c r="D16" s="2218"/>
      <c r="E16" s="2219"/>
      <c r="F16" s="789" t="s">
        <v>922</v>
      </c>
      <c r="G16" s="772"/>
      <c r="H16" s="767"/>
      <c r="I16" s="767"/>
      <c r="J16" s="769"/>
      <c r="K16" s="769"/>
    </row>
    <row r="17" spans="1:11" x14ac:dyDescent="0.2">
      <c r="A17" s="2249" t="s">
        <v>934</v>
      </c>
      <c r="B17" s="2249"/>
      <c r="C17" s="2249"/>
      <c r="D17" s="2249"/>
      <c r="E17" s="2250"/>
      <c r="F17" s="790"/>
      <c r="G17" s="791"/>
      <c r="H17" s="792"/>
      <c r="I17" s="792"/>
      <c r="J17" s="793"/>
      <c r="K17" s="794"/>
    </row>
    <row r="18" spans="1:11" x14ac:dyDescent="0.2">
      <c r="A18" s="2228" t="s">
        <v>367</v>
      </c>
      <c r="B18" s="2229"/>
      <c r="C18" s="2229"/>
      <c r="D18" s="2229"/>
      <c r="E18" s="2230"/>
      <c r="F18" s="789" t="s">
        <v>931</v>
      </c>
      <c r="G18" s="782"/>
      <c r="H18" s="782"/>
      <c r="I18" s="782"/>
      <c r="J18" s="765"/>
      <c r="K18" s="795"/>
    </row>
    <row r="19" spans="1:11" ht="21.75" customHeight="1" x14ac:dyDescent="0.2">
      <c r="A19" s="2226" t="s">
        <v>1808</v>
      </c>
      <c r="B19" s="2226"/>
      <c r="C19" s="2226"/>
      <c r="D19" s="2226"/>
      <c r="E19" s="2227"/>
      <c r="F19" s="789" t="s">
        <v>932</v>
      </c>
      <c r="G19" s="782"/>
      <c r="H19" s="782"/>
      <c r="I19" s="782"/>
      <c r="J19" s="765"/>
      <c r="K19" s="795"/>
    </row>
    <row r="20" spans="1:11" x14ac:dyDescent="0.2">
      <c r="A20" s="2228" t="s">
        <v>1813</v>
      </c>
      <c r="B20" s="2229"/>
      <c r="C20" s="2229"/>
      <c r="D20" s="2229"/>
      <c r="E20" s="2230"/>
      <c r="F20" s="789" t="s">
        <v>933</v>
      </c>
      <c r="G20" s="782"/>
      <c r="H20" s="782"/>
      <c r="I20" s="782"/>
      <c r="J20" s="765"/>
      <c r="K20" s="795"/>
    </row>
    <row r="21" spans="1:11" ht="13.5" thickBot="1" x14ac:dyDescent="0.25">
      <c r="A21" s="2247" t="s">
        <v>637</v>
      </c>
      <c r="B21" s="2247"/>
      <c r="C21" s="2247"/>
      <c r="D21" s="2247"/>
      <c r="E21" s="2247"/>
      <c r="F21" s="1759"/>
      <c r="G21" s="792"/>
      <c r="H21" s="796"/>
      <c r="I21" s="796"/>
      <c r="J21" s="1760">
        <f>SUM(J18:J20)</f>
        <v>0</v>
      </c>
      <c r="K21" s="793"/>
    </row>
    <row r="22" spans="1:11" ht="13.5" thickTop="1" x14ac:dyDescent="0.2">
      <c r="A22" s="2218" t="s">
        <v>1814</v>
      </c>
      <c r="B22" s="2218"/>
      <c r="C22" s="2218"/>
      <c r="D22" s="2218"/>
      <c r="E22" s="2219"/>
      <c r="F22" s="789" t="s">
        <v>861</v>
      </c>
      <c r="G22" s="782"/>
      <c r="H22" s="764"/>
      <c r="I22" s="764"/>
      <c r="J22" s="797"/>
      <c r="K22" s="765"/>
    </row>
    <row r="23" spans="1:11" ht="13.5" thickBot="1" x14ac:dyDescent="0.25">
      <c r="A23" s="2248" t="s">
        <v>905</v>
      </c>
      <c r="B23" s="2247"/>
      <c r="C23" s="2247"/>
      <c r="D23" s="2247"/>
      <c r="E23" s="2247"/>
      <c r="F23" s="1761"/>
      <c r="G23" s="1758">
        <f>SUM(G14:G16,G21,G22)</f>
        <v>0</v>
      </c>
      <c r="H23" s="1758">
        <f>SUM(H14:H16,H21,H22)</f>
        <v>0</v>
      </c>
      <c r="I23" s="1758">
        <f>SUM(I14:I16,I21,I22)</f>
        <v>0</v>
      </c>
      <c r="J23" s="1758">
        <f>SUM(J14:J16,J21,J22)</f>
        <v>0</v>
      </c>
      <c r="K23" s="1758">
        <f>SUM(K14:K16,K21,K22)</f>
        <v>0</v>
      </c>
    </row>
    <row r="24" spans="1:11" ht="14.25" thickTop="1" thickBot="1" x14ac:dyDescent="0.25">
      <c r="A24" s="2248" t="s">
        <v>1964</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2067</v>
      </c>
      <c r="E30" s="808" t="s">
        <v>767</v>
      </c>
      <c r="F30" s="202"/>
      <c r="G30" s="805"/>
    </row>
    <row r="31" spans="1:11" x14ac:dyDescent="0.2">
      <c r="A31" s="809"/>
      <c r="D31" s="237"/>
      <c r="E31" s="810" t="s">
        <v>768</v>
      </c>
      <c r="F31" s="811" t="s">
        <v>538</v>
      </c>
      <c r="G31" s="764"/>
      <c r="H31" s="2221"/>
      <c r="I31" s="2222"/>
      <c r="J31" s="2222"/>
      <c r="K31" s="2222"/>
    </row>
    <row r="32" spans="1:11" x14ac:dyDescent="0.2">
      <c r="A32" s="809"/>
      <c r="B32" s="237"/>
      <c r="C32" s="237"/>
      <c r="D32" s="237"/>
      <c r="E32" s="805"/>
      <c r="F32" s="811" t="s">
        <v>539</v>
      </c>
      <c r="G32" s="764"/>
      <c r="H32" s="2223"/>
      <c r="I32" s="2222"/>
      <c r="J32" s="2222"/>
      <c r="K32" s="2222"/>
    </row>
    <row r="33" spans="1:11" ht="1.5" customHeight="1" x14ac:dyDescent="0.2">
      <c r="A33" s="812" t="s">
        <v>1168</v>
      </c>
      <c r="B33" s="364"/>
      <c r="C33" s="364"/>
      <c r="D33" s="364"/>
      <c r="E33" s="364"/>
      <c r="F33" s="364"/>
      <c r="G33" s="813"/>
      <c r="H33" s="2223"/>
      <c r="I33" s="2222"/>
      <c r="J33" s="2222"/>
      <c r="K33" s="2222"/>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v>78796</v>
      </c>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v>81061</v>
      </c>
    </row>
    <row r="40" spans="1:11" x14ac:dyDescent="0.2">
      <c r="A40" s="820" t="s">
        <v>994</v>
      </c>
      <c r="B40" s="818"/>
      <c r="C40" s="818"/>
      <c r="D40" s="818"/>
      <c r="E40" s="818"/>
      <c r="F40" s="819"/>
      <c r="G40" s="765"/>
    </row>
    <row r="41" spans="1:11" x14ac:dyDescent="0.2">
      <c r="A41" s="2218" t="s">
        <v>540</v>
      </c>
      <c r="B41" s="2231"/>
      <c r="C41" s="2231"/>
      <c r="D41" s="2231"/>
      <c r="E41" s="2231"/>
      <c r="F41" s="223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H12" sqref="H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313824</v>
      </c>
      <c r="D5" s="841"/>
      <c r="E5" s="841"/>
      <c r="F5" s="1760">
        <f>(C5+D5)-E5</f>
        <v>313824</v>
      </c>
      <c r="G5" s="837"/>
      <c r="H5" s="842"/>
      <c r="I5" s="842"/>
      <c r="J5" s="842"/>
      <c r="K5" s="793"/>
      <c r="L5" s="1769">
        <f>F5-K5</f>
        <v>313824</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62389091</v>
      </c>
      <c r="D8" s="844">
        <v>957486</v>
      </c>
      <c r="E8" s="844"/>
      <c r="F8" s="1760">
        <f>(C8+D8)-E8</f>
        <v>63346577</v>
      </c>
      <c r="G8" s="843">
        <v>50</v>
      </c>
      <c r="H8" s="765">
        <v>15616959</v>
      </c>
      <c r="I8" s="765">
        <v>1257357</v>
      </c>
      <c r="J8" s="765"/>
      <c r="K8" s="1769">
        <f>(H8+I8)-J8</f>
        <v>16874316</v>
      </c>
      <c r="L8" s="1769">
        <f>F8-K8</f>
        <v>46472261</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1781874</v>
      </c>
      <c r="D10" s="846"/>
      <c r="E10" s="846"/>
      <c r="F10" s="1764">
        <f>(C10+D10)-E10</f>
        <v>1781874</v>
      </c>
      <c r="G10" s="843">
        <v>20</v>
      </c>
      <c r="H10" s="847">
        <v>886885</v>
      </c>
      <c r="I10" s="847">
        <v>61862</v>
      </c>
      <c r="J10" s="847"/>
      <c r="K10" s="1769">
        <f>(H10+I10)-J10</f>
        <v>948747</v>
      </c>
      <c r="L10" s="1769">
        <f>F10-K10</f>
        <v>833127</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13655721</v>
      </c>
      <c r="D12" s="844">
        <v>308009</v>
      </c>
      <c r="E12" s="844"/>
      <c r="F12" s="1760">
        <f>(C12+D12)-E12</f>
        <v>13963730</v>
      </c>
      <c r="G12" s="843">
        <v>10</v>
      </c>
      <c r="H12" s="765">
        <v>10617209</v>
      </c>
      <c r="I12" s="765">
        <v>597874</v>
      </c>
      <c r="J12" s="765"/>
      <c r="K12" s="1769">
        <f>(H12+I12)-J12</f>
        <v>11215083</v>
      </c>
      <c r="L12" s="1769">
        <f>F12-K12</f>
        <v>2748647</v>
      </c>
    </row>
    <row r="13" spans="1:14" ht="14.25" thickTop="1" thickBot="1" x14ac:dyDescent="0.25">
      <c r="A13" s="848" t="s">
        <v>1121</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78140510</v>
      </c>
      <c r="D16" s="1760">
        <f>SUM(D3,D5:D6,D8:D10,D12:D15)</f>
        <v>1265495</v>
      </c>
      <c r="E16" s="1760">
        <f>SUM(E3,E5:E6,E8:E10,E12:E15)</f>
        <v>0</v>
      </c>
      <c r="F16" s="1760">
        <f>SUM(F3,F5:F6,F8:F10,F12:F15)</f>
        <v>79406005</v>
      </c>
      <c r="G16" s="843"/>
      <c r="H16" s="1760">
        <f>SUM(H3,H6,H8:H10,H12:H14,)</f>
        <v>27121053</v>
      </c>
      <c r="I16" s="1760">
        <f>SUM(I3,I6,I8:I10,I12:I14,)</f>
        <v>1917093</v>
      </c>
      <c r="J16" s="1760">
        <f>SUM(J3,J6,J8:J10,J12:J14,)</f>
        <v>0</v>
      </c>
      <c r="K16" s="1760">
        <f>(H16+I16)-J16</f>
        <v>29038146</v>
      </c>
      <c r="L16" s="1760">
        <f>F16-K16</f>
        <v>50367859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1917093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2"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476</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5"/>
      <c r="B5" s="2266"/>
      <c r="C5" s="2266"/>
      <c r="D5" s="2266"/>
      <c r="E5" s="2266"/>
      <c r="F5" s="2266"/>
    </row>
    <row r="6" spans="1:7" ht="13.5" customHeight="1" thickBot="1" x14ac:dyDescent="0.25">
      <c r="A6" s="2256" t="s">
        <v>1103</v>
      </c>
      <c r="B6" s="2257"/>
      <c r="C6" s="2257"/>
      <c r="D6" s="2257"/>
      <c r="E6" s="2257"/>
      <c r="F6" s="2258"/>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28948176</v>
      </c>
      <c r="G8" s="865"/>
    </row>
    <row r="9" spans="1:7" x14ac:dyDescent="0.2">
      <c r="A9" s="869" t="s">
        <v>459</v>
      </c>
      <c r="B9" s="870" t="s">
        <v>1876</v>
      </c>
      <c r="C9" s="871"/>
      <c r="D9" s="869" t="s">
        <v>500</v>
      </c>
      <c r="E9" s="868"/>
      <c r="F9" s="1909">
        <f>'Expenditures 15-22'!K151</f>
        <v>3794582</v>
      </c>
      <c r="G9" s="872"/>
    </row>
    <row r="10" spans="1:7" x14ac:dyDescent="0.2">
      <c r="A10" s="869" t="s">
        <v>498</v>
      </c>
      <c r="B10" s="870" t="s">
        <v>1877</v>
      </c>
      <c r="C10" s="871"/>
      <c r="D10" s="869" t="s">
        <v>500</v>
      </c>
      <c r="E10" s="868"/>
      <c r="F10" s="1909">
        <f>'Expenditures 15-22'!K174</f>
        <v>2589322</v>
      </c>
      <c r="G10" s="872"/>
    </row>
    <row r="11" spans="1:7" x14ac:dyDescent="0.2">
      <c r="A11" s="869" t="s">
        <v>460</v>
      </c>
      <c r="B11" s="870" t="s">
        <v>1878</v>
      </c>
      <c r="C11" s="871"/>
      <c r="D11" s="869" t="s">
        <v>500</v>
      </c>
      <c r="E11" s="868"/>
      <c r="F11" s="1909">
        <f>'Expenditures 15-22'!K210</f>
        <v>2275169</v>
      </c>
      <c r="G11" s="872"/>
    </row>
    <row r="12" spans="1:7" x14ac:dyDescent="0.2">
      <c r="A12" s="869" t="s">
        <v>461</v>
      </c>
      <c r="B12" s="870" t="s">
        <v>1879</v>
      </c>
      <c r="C12" s="871"/>
      <c r="D12" s="869" t="s">
        <v>500</v>
      </c>
      <c r="E12" s="868"/>
      <c r="F12" s="1909">
        <f>'Expenditures 15-22'!K295</f>
        <v>1022050</v>
      </c>
      <c r="G12" s="872"/>
    </row>
    <row r="13" spans="1:7" x14ac:dyDescent="0.2">
      <c r="A13" s="869" t="s">
        <v>106</v>
      </c>
      <c r="B13" s="870" t="s">
        <v>1880</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38629299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495448</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70083</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304358</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457163</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83805</v>
      </c>
      <c r="G52" s="865"/>
    </row>
    <row r="53" spans="1:7" x14ac:dyDescent="0.2">
      <c r="A53" s="869" t="s">
        <v>458</v>
      </c>
      <c r="B53" s="869" t="s">
        <v>1474</v>
      </c>
      <c r="C53" s="889">
        <f>'Expenditures 15-22'!B102</f>
        <v>4000</v>
      </c>
      <c r="D53" s="888" t="str">
        <f>'Expenditures 15-22'!A102</f>
        <v>Total Payments to Other Govt Units</v>
      </c>
      <c r="E53" s="868"/>
      <c r="F53" s="1913">
        <f>'Expenditures 15-22'!K102</f>
        <v>604674</v>
      </c>
      <c r="G53" s="865"/>
    </row>
    <row r="54" spans="1:7" x14ac:dyDescent="0.2">
      <c r="A54" s="869" t="s">
        <v>458</v>
      </c>
      <c r="B54" s="869" t="s">
        <v>1475</v>
      </c>
      <c r="C54" s="889" t="s">
        <v>981</v>
      </c>
      <c r="D54" s="885" t="s">
        <v>1094</v>
      </c>
      <c r="E54" s="868"/>
      <c r="F54" s="1913">
        <f>'Expenditures 15-22'!G114</f>
        <v>308009</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99492</v>
      </c>
      <c r="G57" s="865"/>
    </row>
    <row r="58" spans="1:7" x14ac:dyDescent="0.2">
      <c r="A58" s="869" t="s">
        <v>459</v>
      </c>
      <c r="B58" s="869" t="s">
        <v>1882</v>
      </c>
      <c r="C58" s="886" t="s">
        <v>981</v>
      </c>
      <c r="D58" s="885" t="s">
        <v>1094</v>
      </c>
      <c r="E58" s="868"/>
      <c r="F58" s="1915">
        <f>'Expenditures 15-22'!G151</f>
        <v>957486</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2110071</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0</v>
      </c>
      <c r="G64" s="865"/>
    </row>
    <row r="65" spans="1:8" x14ac:dyDescent="0.2">
      <c r="A65" s="869" t="s">
        <v>460</v>
      </c>
      <c r="B65" s="869" t="s">
        <v>1889</v>
      </c>
      <c r="C65" s="886" t="s">
        <v>981</v>
      </c>
      <c r="D65" s="885" t="s">
        <v>1094</v>
      </c>
      <c r="E65" s="868"/>
      <c r="F65" s="1913">
        <f>'Expenditures 15-22'!G210</f>
        <v>0</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918</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10022</v>
      </c>
      <c r="G71" s="865"/>
    </row>
    <row r="72" spans="1:8" x14ac:dyDescent="0.2">
      <c r="A72" s="869" t="s">
        <v>461</v>
      </c>
      <c r="B72" s="869" t="s">
        <v>1895</v>
      </c>
      <c r="C72" s="886">
        <f>'Expenditures 15-22'!B280</f>
        <v>3000</v>
      </c>
      <c r="D72" s="876" t="s">
        <v>448</v>
      </c>
      <c r="E72" s="868"/>
      <c r="F72" s="1913">
        <f>'Expenditures 15-22'!K280</f>
        <v>315</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77155</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5578999</v>
      </c>
      <c r="G76" s="865"/>
    </row>
    <row r="77" spans="1:8" s="893" customFormat="1" ht="12" customHeight="1" thickTop="1" thickBot="1" x14ac:dyDescent="0.25">
      <c r="A77" s="1779"/>
      <c r="B77" s="1776"/>
      <c r="C77" s="1772"/>
      <c r="D77" s="1777" t="s">
        <v>1899</v>
      </c>
      <c r="E77" s="1774"/>
      <c r="F77" s="1780">
        <f>(F14-F76)</f>
        <v>33050300</v>
      </c>
      <c r="G77" s="869"/>
    </row>
    <row r="78" spans="1:8" s="893" customFormat="1" ht="12" customHeight="1" thickTop="1" x14ac:dyDescent="0.2">
      <c r="A78" s="1781"/>
      <c r="B78" s="1776"/>
      <c r="C78" s="1772"/>
      <c r="D78" s="1777" t="s">
        <v>2061</v>
      </c>
      <c r="E78" s="1774"/>
      <c r="F78" s="898">
        <v>2144.8000000000002</v>
      </c>
      <c r="G78" s="899"/>
      <c r="H78" s="869"/>
    </row>
    <row r="79" spans="1:8" s="893" customFormat="1" ht="12" customHeight="1" thickBot="1" x14ac:dyDescent="0.25">
      <c r="A79" s="1782"/>
      <c r="B79" s="1776"/>
      <c r="C79" s="1772"/>
      <c r="D79" s="1777" t="s">
        <v>1900</v>
      </c>
      <c r="E79" s="1774" t="s">
        <v>957</v>
      </c>
      <c r="F79" s="1783">
        <f>IF(F78&gt;0,F77/F78," Complete Line 78")</f>
        <v>15409.50205147333</v>
      </c>
      <c r="G79" s="869"/>
    </row>
    <row r="80" spans="1:8" s="893" customFormat="1" ht="8.25" customHeight="1" thickTop="1" x14ac:dyDescent="0.2">
      <c r="A80" s="900"/>
      <c r="B80" s="869"/>
      <c r="C80" s="871"/>
      <c r="D80" s="901"/>
      <c r="E80" s="868"/>
      <c r="F80" s="902"/>
      <c r="G80" s="869"/>
    </row>
    <row r="81" spans="1:7" s="893" customFormat="1" ht="12" thickBot="1" x14ac:dyDescent="0.25">
      <c r="A81" s="2256" t="s">
        <v>1104</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2975</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379518</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458</v>
      </c>
      <c r="B96" s="908" t="s">
        <v>176</v>
      </c>
      <c r="C96" s="910">
        <f>'Revenues 9-14'!B84</f>
        <v>1811</v>
      </c>
      <c r="D96" s="911" t="str">
        <f>'Revenues 9-14'!A84</f>
        <v>Rentals - Regular Textbooks</v>
      </c>
      <c r="E96" s="906"/>
      <c r="F96" s="1789">
        <f>'Revenues 9-14'!C84</f>
        <v>277783</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75762</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117387</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0</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698565</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3237</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0</v>
      </c>
      <c r="G125" s="930"/>
    </row>
    <row r="126" spans="1:7" x14ac:dyDescent="0.2">
      <c r="A126" s="927" t="s">
        <v>667</v>
      </c>
      <c r="B126" s="927" t="s">
        <v>2023</v>
      </c>
      <c r="C126" s="932">
        <v>4300</v>
      </c>
      <c r="D126" s="933" t="str">
        <f>'Revenues 9-14'!A204</f>
        <v>Total Title I</v>
      </c>
      <c r="E126" s="906"/>
      <c r="F126" s="1789">
        <f>SUM('Revenues 9-14'!C204,'Revenues 9-14'!D204,'Revenues 9-14'!F204,'Revenues 9-14'!G204)</f>
        <v>91849</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5291</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6245</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126418</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50348</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58767</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763893</v>
      </c>
      <c r="G171" s="927"/>
    </row>
    <row r="172" spans="1:7" x14ac:dyDescent="0.2">
      <c r="A172" s="1918" t="s">
        <v>663</v>
      </c>
      <c r="B172" s="1919" t="s">
        <v>1919</v>
      </c>
      <c r="C172" s="1920">
        <v>3300</v>
      </c>
      <c r="D172" s="1921" t="s">
        <v>1922</v>
      </c>
      <c r="E172" s="906"/>
      <c r="F172" s="1906">
        <v>42</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2658080</v>
      </c>
    </row>
    <row r="175" spans="1:7" ht="12" customHeight="1" x14ac:dyDescent="0.2">
      <c r="A175" s="1770"/>
      <c r="B175" s="1784"/>
      <c r="C175" s="1785"/>
      <c r="D175" s="1786" t="s">
        <v>2056</v>
      </c>
      <c r="E175" s="1787"/>
      <c r="F175" s="1789">
        <f>'PCTC-OEPP 27-28'!F77-F174</f>
        <v>30392220</v>
      </c>
    </row>
    <row r="176" spans="1:7" ht="12" customHeight="1" x14ac:dyDescent="0.2">
      <c r="A176" s="1770"/>
      <c r="B176" s="1784"/>
      <c r="C176" s="1785"/>
      <c r="D176" s="1786" t="s">
        <v>1816</v>
      </c>
      <c r="E176" s="1787"/>
      <c r="F176" s="1789">
        <f>'Cap Outlay Deprec 26'!I18</f>
        <v>1917093</v>
      </c>
    </row>
    <row r="177" spans="1:7" ht="12" customHeight="1" x14ac:dyDescent="0.2">
      <c r="A177" s="1770"/>
      <c r="B177" s="1784"/>
      <c r="C177" s="1785"/>
      <c r="D177" s="1786" t="s">
        <v>2057</v>
      </c>
      <c r="E177" s="1787"/>
      <c r="F177" s="1789">
        <f>F175+F176</f>
        <v>32309313</v>
      </c>
    </row>
    <row r="178" spans="1:7" ht="12" customHeight="1" x14ac:dyDescent="0.2">
      <c r="A178" s="1770"/>
      <c r="B178" s="1790"/>
      <c r="C178" s="1785"/>
      <c r="D178" s="1786" t="str">
        <f>D78</f>
        <v>9 Month ADA from District Average Daily Attendance/Prior General State Aid Inquiry 2018-2019</v>
      </c>
      <c r="E178" s="1787"/>
      <c r="F178" s="1791">
        <f>'PCTC-OEPP 27-28'!F78</f>
        <v>2144.8000000000002</v>
      </c>
      <c r="G178" s="930"/>
    </row>
    <row r="179" spans="1:7" ht="12" customHeight="1" thickBot="1" x14ac:dyDescent="0.25">
      <c r="A179" s="1770"/>
      <c r="B179" s="1790"/>
      <c r="C179" s="1785"/>
      <c r="D179" s="1786" t="s">
        <v>2058</v>
      </c>
      <c r="E179" s="1787" t="s">
        <v>1544</v>
      </c>
      <c r="F179" s="1792">
        <f>F177/F178</f>
        <v>15064.021353972397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6" zoomScaleNormal="100" workbookViewId="0">
      <selection activeCell="A25" sqref="A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534" t="s">
        <v>1818</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1819</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1824</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2111</v>
      </c>
      <c r="B17" s="1937" t="s">
        <v>2084</v>
      </c>
      <c r="C17" s="1939" t="s">
        <v>2094</v>
      </c>
      <c r="D17" s="1938">
        <v>59809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40" t="s">
        <v>2111</v>
      </c>
      <c r="B18" s="1937" t="s">
        <v>2085</v>
      </c>
      <c r="C18" s="1939" t="s">
        <v>2095</v>
      </c>
      <c r="D18" s="1844">
        <v>85800</v>
      </c>
      <c r="E18" s="1540">
        <f t="shared" ref="E18:E140" si="2">IF(D18&lt;=25000,D18,IF(D18&gt;25000,25000,0))</f>
        <v>25000</v>
      </c>
      <c r="F18" s="1932">
        <f t="shared" si="1"/>
        <v>0</v>
      </c>
      <c r="G18" s="1793">
        <f t="shared" ref="G18:G140" si="3">IF(F18=0,0,D18-F18)</f>
        <v>0</v>
      </c>
    </row>
    <row r="19" spans="1:8" x14ac:dyDescent="0.25">
      <c r="A19" s="1940" t="s">
        <v>2108</v>
      </c>
      <c r="B19" s="1937" t="s">
        <v>2086</v>
      </c>
      <c r="C19" s="1939" t="s">
        <v>2096</v>
      </c>
      <c r="D19" s="1844">
        <v>33473</v>
      </c>
      <c r="E19" s="1540">
        <f t="shared" si="2"/>
        <v>25000</v>
      </c>
      <c r="F19" s="1932">
        <f t="shared" si="1"/>
        <v>0</v>
      </c>
      <c r="G19" s="1793">
        <f t="shared" si="3"/>
        <v>0</v>
      </c>
    </row>
    <row r="20" spans="1:8" x14ac:dyDescent="0.25">
      <c r="A20" s="1940" t="s">
        <v>2108</v>
      </c>
      <c r="B20" s="1937" t="s">
        <v>2086</v>
      </c>
      <c r="C20" s="1939" t="s">
        <v>2097</v>
      </c>
      <c r="D20" s="1844">
        <v>85155</v>
      </c>
      <c r="E20" s="1540">
        <f t="shared" si="2"/>
        <v>25000</v>
      </c>
      <c r="F20" s="1932">
        <f t="shared" si="1"/>
        <v>0</v>
      </c>
      <c r="G20" s="1793">
        <f t="shared" si="3"/>
        <v>0</v>
      </c>
    </row>
    <row r="21" spans="1:8" x14ac:dyDescent="0.25">
      <c r="A21" s="1940" t="s">
        <v>2111</v>
      </c>
      <c r="B21" s="1937" t="s">
        <v>2085</v>
      </c>
      <c r="C21" s="1939" t="s">
        <v>2098</v>
      </c>
      <c r="D21" s="1844">
        <v>44755</v>
      </c>
      <c r="E21" s="1540">
        <f t="shared" si="2"/>
        <v>25000</v>
      </c>
      <c r="F21" s="1932">
        <f t="shared" si="1"/>
        <v>0</v>
      </c>
      <c r="G21" s="1793">
        <f t="shared" si="3"/>
        <v>0</v>
      </c>
    </row>
    <row r="22" spans="1:8" x14ac:dyDescent="0.25">
      <c r="A22" s="1940" t="s">
        <v>2109</v>
      </c>
      <c r="B22" s="1937" t="s">
        <v>2087</v>
      </c>
      <c r="C22" s="1939" t="s">
        <v>2099</v>
      </c>
      <c r="D22" s="1844">
        <v>410820</v>
      </c>
      <c r="E22" s="1540">
        <f t="shared" si="2"/>
        <v>25000</v>
      </c>
      <c r="F22" s="1932">
        <f t="shared" si="1"/>
        <v>0</v>
      </c>
      <c r="G22" s="1793">
        <f t="shared" si="3"/>
        <v>0</v>
      </c>
    </row>
    <row r="23" spans="1:8" x14ac:dyDescent="0.25">
      <c r="A23" s="1940" t="s">
        <v>2108</v>
      </c>
      <c r="B23" s="1937" t="s">
        <v>2086</v>
      </c>
      <c r="C23" s="1939" t="s">
        <v>2100</v>
      </c>
      <c r="D23" s="1844">
        <v>84221</v>
      </c>
      <c r="E23" s="1540">
        <f t="shared" si="2"/>
        <v>25000</v>
      </c>
      <c r="F23" s="1932">
        <f t="shared" si="1"/>
        <v>0</v>
      </c>
      <c r="G23" s="1793">
        <f t="shared" si="3"/>
        <v>0</v>
      </c>
    </row>
    <row r="24" spans="1:8" x14ac:dyDescent="0.25">
      <c r="A24" s="1940" t="s">
        <v>2112</v>
      </c>
      <c r="B24" s="1937" t="s">
        <v>2088</v>
      </c>
      <c r="C24" s="1939" t="s">
        <v>2101</v>
      </c>
      <c r="D24" s="1844">
        <v>160077</v>
      </c>
      <c r="E24" s="1540">
        <f t="shared" si="2"/>
        <v>25000</v>
      </c>
      <c r="F24" s="1932">
        <f t="shared" si="1"/>
        <v>0</v>
      </c>
      <c r="G24" s="1793">
        <f t="shared" si="3"/>
        <v>0</v>
      </c>
    </row>
    <row r="25" spans="1:8" x14ac:dyDescent="0.25">
      <c r="A25" s="1940" t="s">
        <v>2113</v>
      </c>
      <c r="B25" s="1937" t="s">
        <v>2089</v>
      </c>
      <c r="C25" s="1939" t="s">
        <v>2102</v>
      </c>
      <c r="D25" s="1844">
        <v>63000</v>
      </c>
      <c r="E25" s="1540">
        <f t="shared" si="2"/>
        <v>25000</v>
      </c>
      <c r="F25" s="1932">
        <f t="shared" si="1"/>
        <v>0</v>
      </c>
      <c r="G25" s="1793">
        <f t="shared" si="3"/>
        <v>0</v>
      </c>
    </row>
    <row r="26" spans="1:8" x14ac:dyDescent="0.25">
      <c r="A26" s="1940" t="s">
        <v>2114</v>
      </c>
      <c r="B26" s="1937" t="s">
        <v>2090</v>
      </c>
      <c r="C26" s="1939" t="s">
        <v>2103</v>
      </c>
      <c r="D26" s="1844">
        <v>26239</v>
      </c>
      <c r="E26" s="1540">
        <f t="shared" si="2"/>
        <v>25000</v>
      </c>
      <c r="F26" s="1932">
        <f t="shared" si="1"/>
        <v>0</v>
      </c>
      <c r="G26" s="1793">
        <f t="shared" si="3"/>
        <v>0</v>
      </c>
    </row>
    <row r="27" spans="1:8" x14ac:dyDescent="0.25">
      <c r="A27" s="1940" t="s">
        <v>2111</v>
      </c>
      <c r="B27" s="1937" t="s">
        <v>2085</v>
      </c>
      <c r="C27" s="1939" t="s">
        <v>2104</v>
      </c>
      <c r="D27" s="1844">
        <v>31909</v>
      </c>
      <c r="E27" s="1540">
        <f t="shared" si="2"/>
        <v>25000</v>
      </c>
      <c r="F27" s="1932">
        <f t="shared" si="1"/>
        <v>0</v>
      </c>
      <c r="G27" s="1793">
        <f t="shared" si="3"/>
        <v>0</v>
      </c>
    </row>
    <row r="28" spans="1:8" x14ac:dyDescent="0.25">
      <c r="A28" s="1940" t="s">
        <v>2111</v>
      </c>
      <c r="B28" s="1937" t="s">
        <v>2085</v>
      </c>
      <c r="C28" s="1939" t="s">
        <v>2110</v>
      </c>
      <c r="D28" s="1844">
        <v>137181</v>
      </c>
      <c r="E28" s="1540">
        <f t="shared" si="2"/>
        <v>25000</v>
      </c>
      <c r="F28" s="1932">
        <f t="shared" si="1"/>
        <v>0</v>
      </c>
      <c r="G28" s="1793">
        <f t="shared" si="3"/>
        <v>0</v>
      </c>
    </row>
    <row r="29" spans="1:8" x14ac:dyDescent="0.25">
      <c r="A29" s="1940" t="s">
        <v>2106</v>
      </c>
      <c r="B29" s="1937" t="s">
        <v>2086</v>
      </c>
      <c r="C29" s="1939" t="s">
        <v>2105</v>
      </c>
      <c r="D29" s="1844">
        <v>1401811</v>
      </c>
      <c r="E29" s="1540">
        <f t="shared" si="2"/>
        <v>25000</v>
      </c>
      <c r="F29" s="1932">
        <f t="shared" si="1"/>
        <v>0</v>
      </c>
      <c r="G29" s="1793">
        <f t="shared" si="3"/>
        <v>0</v>
      </c>
    </row>
    <row r="30" spans="1:8" x14ac:dyDescent="0.25">
      <c r="A30" s="1940" t="s">
        <v>2107</v>
      </c>
      <c r="B30" s="1937" t="s">
        <v>2091</v>
      </c>
      <c r="C30" s="1939" t="s">
        <v>2093</v>
      </c>
      <c r="D30" s="1844">
        <v>25995</v>
      </c>
      <c r="E30" s="1540">
        <f t="shared" si="2"/>
        <v>25000</v>
      </c>
      <c r="F30" s="1932">
        <f t="shared" si="1"/>
        <v>0</v>
      </c>
      <c r="G30" s="1793">
        <f t="shared" si="3"/>
        <v>0</v>
      </c>
    </row>
    <row r="31" spans="1:8" x14ac:dyDescent="0.25">
      <c r="A31" s="1940" t="s">
        <v>2107</v>
      </c>
      <c r="B31" s="1937" t="s">
        <v>2091</v>
      </c>
      <c r="C31" s="1939" t="s">
        <v>2092</v>
      </c>
      <c r="D31" s="1844">
        <v>38386</v>
      </c>
      <c r="E31" s="1540">
        <f t="shared" si="2"/>
        <v>25000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2688631</v>
      </c>
      <c r="E141" s="1541">
        <f t="shared" si="0"/>
        <v>25000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2" t="s">
        <v>1678</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1976</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19005314</v>
      </c>
      <c r="F19" s="1799"/>
      <c r="G19" s="1801">
        <f>'Expenditures 15-22'!K33-SUM('Expenditures 15-22'!G33,'Expenditures 15-22'!I33)+'Expenditures 15-22'!D229</f>
        <v>19005314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2606005</v>
      </c>
      <c r="F21" s="1802"/>
      <c r="G21" s="1805">
        <f>'Expenditures 15-22'!K42-SUM('Expenditures 15-22'!G42,'Expenditures 15-22'!I42)+'Expenditures 15-22'!K120-SUM('Expenditures 15-22'!G120,'Expenditures 15-22'!I120)+'Expenditures 15-22'!K180-SUM('Expenditures 15-22'!G180,'Expenditures 15-22'!I180)+'Expenditures 15-22'!D238</f>
        <v>2606005</v>
      </c>
      <c r="H21" s="987"/>
      <c r="I21" s="162"/>
    </row>
    <row r="22" spans="1:9" s="668" customFormat="1" ht="12" customHeight="1" x14ac:dyDescent="0.2">
      <c r="A22" s="994" t="s">
        <v>563</v>
      </c>
      <c r="B22" s="995"/>
      <c r="C22" s="993">
        <v>2200</v>
      </c>
      <c r="D22" s="1802"/>
      <c r="E22" s="1804">
        <f>'Expenditures 15-22'!K47-SUM('Expenditures 15-22'!G47,'Expenditures 15-22'!I47)+'Expenditures 15-22'!D243</f>
        <v>1575670</v>
      </c>
      <c r="F22" s="1802"/>
      <c r="G22" s="1805">
        <f>'Expenditures 15-22'!K47-SUM('Expenditures 15-22'!G47,'Expenditures 15-22'!I47)+'Expenditures 15-22'!D243</f>
        <v>1575670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987441</v>
      </c>
      <c r="F23" s="1802"/>
      <c r="G23" s="1804">
        <f>'Expenditures 15-22'!K53-SUM('Expenditures 15-22'!G53,'Expenditures 15-22'!I53)+'Expenditures 15-22'!D257+'Expenditures 15-22'!K330-SUM('Expenditures 15-22'!G330,'Expenditures 15-22'!I330)</f>
        <v>987441</v>
      </c>
      <c r="H23" s="987"/>
      <c r="I23" s="162"/>
    </row>
    <row r="24" spans="1:9" s="668" customFormat="1" ht="12" customHeight="1" x14ac:dyDescent="0.2">
      <c r="A24" s="994" t="s">
        <v>565</v>
      </c>
      <c r="B24" s="995"/>
      <c r="C24" s="993">
        <v>2400</v>
      </c>
      <c r="D24" s="1802"/>
      <c r="E24" s="1804">
        <f>'Expenditures 15-22'!K57-SUM('Expenditures 15-22'!G57,'Expenditures 15-22'!I57)+'Expenditures 15-22'!D261</f>
        <v>1496446</v>
      </c>
      <c r="F24" s="1802"/>
      <c r="G24" s="1805">
        <f>'Expenditures 15-22'!K57-SUM('Expenditures 15-22'!G57,'Expenditures 15-22'!I57)+'Expenditures 15-22'!D261</f>
        <v>1496446</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404965</v>
      </c>
      <c r="E26" s="1804">
        <f>'Expenditures 15-22'!K122-SUM('Expenditures 15-22'!G122,'Expenditures 15-22'!I122)+E7</f>
        <v>0</v>
      </c>
      <c r="F26" s="1804">
        <f>'Expenditures 15-22'!K59-SUM('Expenditures 15-22'!G59,'Expenditures 15-22'!I59)+'Expenditures 15-22'!D263-E7</f>
        <v>404965</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367958</v>
      </c>
      <c r="E27" s="1804">
        <f>E8</f>
        <v>0</v>
      </c>
      <c r="F27" s="1804">
        <f>'Expenditures 15-22'!K60-SUM('Expenditures 15-22'!G60,'Expenditures 15-22'!I60)+'Expenditures 15-22'!D264-E8</f>
        <v>367958</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2968610</v>
      </c>
      <c r="F28" s="1806">
        <f>'Expenditures 15-22'!K61-SUM('Expenditures 15-22'!G61,'Expenditures 15-22'!I61)+'Expenditures 15-22'!K124-SUM('Expenditures 15-22'!G124,'Expenditures 15-22'!I124)+'Expenditures 15-22'!D266-E9</f>
        <v>2968610</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2275169</v>
      </c>
      <c r="F29" s="1802"/>
      <c r="G29" s="1805">
        <f>'Expenditures 15-22'!K62-SUM('Expenditures 15-22'!G62,'Expenditures 15-22'!I62)+'Expenditures 15-22'!K125-SUM('Expenditures 15-22'!G125,'Expenditures 15-22'!I125)+'Expenditures 15-22'!K182-SUM('Expenditures 15-22'!G182,'Expenditures 15-22'!I182)+'Expenditures 15-22'!D267</f>
        <v>2275169</v>
      </c>
      <c r="H29" s="985"/>
    </row>
    <row r="30" spans="1:9" ht="12" customHeight="1" x14ac:dyDescent="0.2">
      <c r="A30" s="994" t="s">
        <v>100</v>
      </c>
      <c r="B30" s="997"/>
      <c r="C30" s="993">
        <v>2560</v>
      </c>
      <c r="D30" s="1802"/>
      <c r="E30" s="1804">
        <f>'Expenditures 15-22'!K63-SUM('Expenditures 15-22'!G63,'Expenditures 15-22'!I63)+'Expenditures 15-22'!D268-E10</f>
        <v>557033</v>
      </c>
      <c r="F30" s="1802"/>
      <c r="G30" s="1804">
        <f>'Expenditures 15-22'!K63-SUM('Expenditures 15-22'!G63,'Expenditures 15-22'!I63)+'Expenditures 15-22'!D268-E10</f>
        <v>557033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113021</v>
      </c>
      <c r="F35" s="1802"/>
      <c r="G35" s="1804">
        <f>'Expenditures 15-22'!K69-SUM('Expenditures 15-22'!G69,'Expenditures 15-22'!I69)+'Expenditures 15-22'!D274</f>
        <v>113021</v>
      </c>
    </row>
    <row r="36" spans="1:7" ht="12" customHeight="1" x14ac:dyDescent="0.2">
      <c r="A36" s="994" t="s">
        <v>402</v>
      </c>
      <c r="B36" s="997"/>
      <c r="C36" s="993">
        <v>2640</v>
      </c>
      <c r="D36" s="1804">
        <f>'Expenditures 15-22'!K70-SUM('Expenditures 15-22'!G70,'Expenditures 15-22'!I70)+'Expenditures 15-22'!D275-E13</f>
        <v>299530</v>
      </c>
      <c r="E36" s="1804">
        <f>E13</f>
        <v>0</v>
      </c>
      <c r="F36" s="1804">
        <f>'Expenditures 15-22'!K70-SUM('Expenditures 15-22'!G70,'Expenditures 15-22'!I70)+'Expenditures 15-22'!D275-E13</f>
        <v>299530</v>
      </c>
      <c r="G36" s="1804">
        <f>E13</f>
        <v>0</v>
      </c>
    </row>
    <row r="37" spans="1:7" ht="12" customHeight="1" x14ac:dyDescent="0.2">
      <c r="A37" s="994" t="s">
        <v>403</v>
      </c>
      <c r="B37" s="997"/>
      <c r="C37" s="993">
        <v>2660</v>
      </c>
      <c r="D37" s="1804">
        <f>'Expenditures 15-22'!K71-SUM('Expenditures 15-22'!G71,'Expenditures 15-22'!I71)+'Expenditures 15-22'!D276-E14</f>
        <v>1251879</v>
      </c>
      <c r="E37" s="1804">
        <f>E14</f>
        <v>0</v>
      </c>
      <c r="F37" s="1804">
        <f>'Expenditures 15-22'!K71-SUM('Expenditures 15-22'!G71,'Expenditures 15-22'!I71)+'Expenditures 15-22'!D276-E14</f>
        <v>1251879</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84120</v>
      </c>
      <c r="F39" s="1802"/>
      <c r="G39" s="1804">
        <f>'Expenditures 15-22'!K75-SUM('Expenditures 15-22'!G75,'Expenditures 15-22'!I75)+'Expenditures 15-22'!K130-SUM('Expenditures 15-22'!G130,'Expenditures 15-22'!I130)+'Expenditures 15-22'!K185-SUM('Expenditures 15-22'!G185,'Expenditures 15-22'!I185)+'Expenditures 15-22'!D280</f>
        <v>84120</v>
      </c>
    </row>
    <row r="40" spans="1:7" ht="12" customHeight="1" x14ac:dyDescent="0.2">
      <c r="A40" s="990" t="s">
        <v>1822</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2324332</v>
      </c>
      <c r="E41" s="1806">
        <f>SUM(E19:E40)</f>
        <v>31668829</v>
      </c>
      <c r="F41" s="1806">
        <f>SUM(F19:F39)</f>
        <v>5292942</v>
      </c>
      <c r="G41" s="1806">
        <f>SUM(G19:G40)</f>
        <v>28700219</v>
      </c>
    </row>
    <row r="42" spans="1:7" x14ac:dyDescent="0.2">
      <c r="A42" s="987"/>
      <c r="B42" s="162"/>
      <c r="C42" s="1001"/>
      <c r="D42" s="2285" t="s">
        <v>521</v>
      </c>
      <c r="E42" s="2286"/>
      <c r="F42" s="1002" t="s">
        <v>522</v>
      </c>
      <c r="G42" s="1003"/>
    </row>
    <row r="43" spans="1:7" ht="12" customHeight="1" x14ac:dyDescent="0.2">
      <c r="A43" s="987"/>
      <c r="B43" s="162"/>
      <c r="C43" s="1001"/>
      <c r="D43" s="1807" t="s">
        <v>472</v>
      </c>
      <c r="E43" s="1808">
        <f>D41</f>
        <v>2324332</v>
      </c>
      <c r="F43" s="1807" t="s">
        <v>472</v>
      </c>
      <c r="G43" s="1808">
        <f>F41</f>
        <v>5292942</v>
      </c>
    </row>
    <row r="44" spans="1:7" ht="12" customHeight="1" x14ac:dyDescent="0.2">
      <c r="A44" s="987"/>
      <c r="B44" s="162"/>
      <c r="C44" s="1001"/>
      <c r="D44" s="1807" t="s">
        <v>473</v>
      </c>
      <c r="E44" s="1808">
        <f>E41</f>
        <v>31668829</v>
      </c>
      <c r="F44" s="1807" t="s">
        <v>473</v>
      </c>
      <c r="G44" s="1808">
        <f>G41</f>
        <v>28700219</v>
      </c>
    </row>
    <row r="45" spans="1:7" ht="12" customHeight="1" x14ac:dyDescent="0.2">
      <c r="A45" s="987"/>
      <c r="B45" s="162"/>
      <c r="C45" s="162"/>
      <c r="D45" s="1809" t="s">
        <v>1005</v>
      </c>
      <c r="E45" s="1810">
        <f>(E43/E44)</f>
        <v>7.3394946178780396E-2</v>
      </c>
      <c r="F45" s="1809" t="s">
        <v>1005</v>
      </c>
      <c r="G45" s="1810">
        <f>(G43/G44)</f>
        <v>0.18442165894274187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9" sqref="F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1378</v>
      </c>
      <c r="B1" s="2304"/>
      <c r="C1" s="2304"/>
      <c r="D1" s="2304"/>
      <c r="E1" s="2304"/>
      <c r="F1" s="2304"/>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5" t="s">
        <v>1545</v>
      </c>
      <c r="B5" s="2306"/>
      <c r="C5" s="2307"/>
      <c r="D5" s="2307"/>
      <c r="E5" s="2307"/>
      <c r="F5" s="2307"/>
    </row>
    <row r="6" spans="1:10" ht="12" customHeight="1" x14ac:dyDescent="0.25">
      <c r="A6" s="1850"/>
      <c r="B6" s="1851"/>
      <c r="C6" s="2308" t="str">
        <f>COVER!A17</f>
        <v>Libertyville SD 70</v>
      </c>
      <c r="D6" s="2308"/>
      <c r="E6" s="2308"/>
      <c r="F6" s="1852"/>
    </row>
    <row r="7" spans="1:10" ht="11.25" customHeight="1" thickBot="1" x14ac:dyDescent="0.3">
      <c r="A7" s="1850"/>
      <c r="B7" s="1851"/>
      <c r="C7" s="2309">
        <f>COVER!A13</f>
        <v>34049070002</v>
      </c>
      <c r="D7" s="2309"/>
      <c r="E7" s="2309"/>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2063</v>
      </c>
      <c r="D14" s="1865" t="s">
        <v>2063</v>
      </c>
      <c r="E14" s="1868" t="s">
        <v>2063</v>
      </c>
      <c r="F14" s="1867" t="s">
        <v>2079</v>
      </c>
      <c r="H14" s="1878">
        <f t="shared" si="0"/>
        <v>5</v>
      </c>
      <c r="I14" s="1878">
        <f t="shared" si="1"/>
        <v>5</v>
      </c>
      <c r="J14" s="1878">
        <f t="shared" si="2"/>
        <v>5</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2067</v>
      </c>
      <c r="D19" s="1865" t="s">
        <v>2067</v>
      </c>
      <c r="E19" s="1868" t="s">
        <v>2067</v>
      </c>
      <c r="F19" s="1867" t="s">
        <v>2080</v>
      </c>
      <c r="H19" s="1878">
        <f t="shared" si="0"/>
        <v>5</v>
      </c>
      <c r="I19" s="1878">
        <f t="shared" si="1"/>
        <v>5</v>
      </c>
      <c r="J19" s="1878">
        <f t="shared" si="2"/>
        <v>5</v>
      </c>
    </row>
    <row r="20" spans="1:12" ht="12" customHeight="1" x14ac:dyDescent="0.2">
      <c r="A20" s="1863" t="s">
        <v>1527</v>
      </c>
      <c r="B20" s="1864"/>
      <c r="C20" s="1865" t="s">
        <v>2067</v>
      </c>
      <c r="D20" s="1865" t="s">
        <v>2067</v>
      </c>
      <c r="E20" s="1868" t="s">
        <v>2067</v>
      </c>
      <c r="F20" s="1867" t="s">
        <v>2081</v>
      </c>
      <c r="H20" s="1878">
        <f t="shared" si="0"/>
        <v>5</v>
      </c>
      <c r="I20" s="1878">
        <f t="shared" si="1"/>
        <v>5</v>
      </c>
      <c r="J20" s="1878">
        <f t="shared" si="2"/>
        <v>5</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t="s">
        <v>2067</v>
      </c>
      <c r="D25" s="1865" t="s">
        <v>2067</v>
      </c>
      <c r="E25" s="1868" t="s">
        <v>2067</v>
      </c>
      <c r="F25" s="1867" t="s">
        <v>2082</v>
      </c>
      <c r="H25" s="1878">
        <f t="shared" si="0"/>
        <v>5</v>
      </c>
      <c r="I25" s="1878">
        <f t="shared" si="1"/>
        <v>5</v>
      </c>
      <c r="J25" s="1878">
        <f t="shared" si="2"/>
        <v>5</v>
      </c>
    </row>
    <row r="26" spans="1:12" ht="12" customHeight="1" x14ac:dyDescent="0.2">
      <c r="A26" s="1863" t="s">
        <v>1533</v>
      </c>
      <c r="B26" s="1864"/>
      <c r="C26" s="1865" t="s">
        <v>2067</v>
      </c>
      <c r="D26" s="1865" t="s">
        <v>2067</v>
      </c>
      <c r="E26" s="1868" t="s">
        <v>2067</v>
      </c>
      <c r="F26" s="1867" t="s">
        <v>2083</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1391</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1390</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7" t="str">
        <f>COVER!A17</f>
        <v>Libertyville SD 70</v>
      </c>
      <c r="J6" s="2318"/>
      <c r="Q6" s="1664"/>
    </row>
    <row r="7" spans="1:17" x14ac:dyDescent="0.2">
      <c r="A7" s="2319" t="s">
        <v>868</v>
      </c>
      <c r="B7" s="2320"/>
      <c r="C7" s="2320"/>
      <c r="D7" s="2320"/>
      <c r="E7" s="2321"/>
      <c r="F7" s="1017"/>
      <c r="G7" s="1009"/>
      <c r="H7" s="1016" t="s">
        <v>371</v>
      </c>
      <c r="I7" s="2322">
        <f>COVER!A13</f>
        <v>34049070002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3" t="s">
        <v>480</v>
      </c>
      <c r="B11" s="2324"/>
      <c r="C11" s="2325"/>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422873</v>
      </c>
      <c r="F12" s="1039"/>
      <c r="G12" s="1811">
        <f t="shared" ref="G12:G18" si="0">SUM(E12:F12)</f>
        <v>422873</v>
      </c>
      <c r="H12" s="1040">
        <v>328154</v>
      </c>
      <c r="I12" s="1039"/>
      <c r="J12" s="1811">
        <f t="shared" ref="J12:J18" si="1">SUM(H12:I12)</f>
        <v>328154</v>
      </c>
    </row>
    <row r="13" spans="1:17" ht="15" customHeight="1" x14ac:dyDescent="0.2">
      <c r="A13" s="1035">
        <v>2</v>
      </c>
      <c r="B13" s="1036" t="s">
        <v>42</v>
      </c>
      <c r="C13" s="1037"/>
      <c r="D13" s="1038">
        <v>2330</v>
      </c>
      <c r="E13" s="1811">
        <f>'Expenditures 15-22'!K51</f>
        <v>237108</v>
      </c>
      <c r="F13" s="1039"/>
      <c r="G13" s="1811">
        <f t="shared" si="0"/>
        <v>237108</v>
      </c>
      <c r="H13" s="1040">
        <v>247470</v>
      </c>
      <c r="I13" s="1039"/>
      <c r="J13" s="1811">
        <f t="shared" si="1"/>
        <v>247470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388634</v>
      </c>
      <c r="F15" s="1811">
        <f>'Expenditures 15-22'!K122</f>
        <v>0</v>
      </c>
      <c r="G15" s="1811">
        <f t="shared" si="0"/>
        <v>388634</v>
      </c>
      <c r="H15" s="1040">
        <v>186050</v>
      </c>
      <c r="I15" s="1040"/>
      <c r="J15" s="1811">
        <f t="shared" si="1"/>
        <v>186050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1048615</v>
      </c>
      <c r="F19" s="1813">
        <f t="shared" si="2"/>
        <v>0</v>
      </c>
      <c r="G19" s="1813">
        <f t="shared" si="2"/>
        <v>1048615</v>
      </c>
      <c r="H19" s="1813">
        <f t="shared" si="2"/>
        <v>761674</v>
      </c>
      <c r="I19" s="1813">
        <f t="shared" si="2"/>
        <v>0</v>
      </c>
      <c r="J19" s="1813">
        <f t="shared" si="2"/>
        <v>761674</v>
      </c>
    </row>
    <row r="20" spans="1:10" ht="13.5" thickTop="1" x14ac:dyDescent="0.2">
      <c r="A20" s="1035">
        <v>9</v>
      </c>
      <c r="B20" s="2329" t="s">
        <v>1980</v>
      </c>
      <c r="C20" s="2329"/>
      <c r="D20" s="2330"/>
      <c r="E20" s="1046"/>
      <c r="F20" s="1046"/>
      <c r="G20" s="1046"/>
      <c r="H20" s="1046"/>
      <c r="I20" s="1046"/>
      <c r="J20" s="1814">
        <f>IF(AND(G19&gt;0,J19&gt;0),(((J19-G19)/G19)),"Enter Budget Data")</f>
        <v>-0.27363808452101107</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1032</v>
      </c>
      <c r="D27" s="1052"/>
      <c r="E27" s="1053"/>
      <c r="F27" s="2331" t="s">
        <v>1508</v>
      </c>
      <c r="G27" s="2331"/>
    </row>
    <row r="28" spans="1:10" ht="28.5" customHeight="1" x14ac:dyDescent="0.2">
      <c r="B28" s="1047"/>
      <c r="C28" s="2333"/>
      <c r="D28" s="2333"/>
      <c r="E28" s="1054"/>
      <c r="F28" s="2333"/>
      <c r="G28" s="2333"/>
    </row>
    <row r="29" spans="1:10" x14ac:dyDescent="0.2">
      <c r="B29" s="1047"/>
      <c r="C29" s="1055" t="s">
        <v>1560</v>
      </c>
      <c r="E29" s="1056"/>
      <c r="F29" s="2332" t="s">
        <v>1509</v>
      </c>
      <c r="G29" s="2332"/>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881</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2115</v>
      </c>
    </row>
    <row r="6" spans="1:2" x14ac:dyDescent="0.2">
      <c r="A6" s="1068">
        <v>2</v>
      </c>
      <c r="B6" s="329" t="s">
        <v>2116</v>
      </c>
    </row>
    <row r="7" spans="1:2" x14ac:dyDescent="0.2">
      <c r="A7" s="1068">
        <v>3</v>
      </c>
      <c r="B7" s="329" t="s">
        <v>2117</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Libertyville SD 70</v>
      </c>
    </row>
    <row r="65" spans="2:2" x14ac:dyDescent="0.2">
      <c r="B65" s="1070">
        <f>COVER!A13</f>
        <v>34049070002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3" t="s">
        <v>1064</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690</v>
      </c>
      <c r="B40" s="2050"/>
      <c r="C40" s="2050"/>
      <c r="D40" s="2050"/>
      <c r="E40" s="2050"/>
    </row>
    <row r="41" spans="1:5" x14ac:dyDescent="0.2">
      <c r="A41" s="2051" t="s">
        <v>1607</v>
      </c>
      <c r="B41" s="2051"/>
      <c r="C41" s="2051"/>
      <c r="D41" s="2051"/>
      <c r="E41" s="2051"/>
    </row>
    <row r="42" spans="1:5" ht="12.75" customHeight="1" x14ac:dyDescent="0.2">
      <c r="A42" s="2052" t="s">
        <v>1021</v>
      </c>
      <c r="B42" s="2052"/>
      <c r="C42" s="2052"/>
      <c r="D42" s="2052"/>
      <c r="E42" s="2052"/>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21" sqref="H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6" t="s">
        <v>1684</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1</xdr:row>
                <xdr:rowOff>0</xdr:rowOff>
              </from>
              <to>
                <xdr:col>1</xdr:col>
                <xdr:colOff>838200</xdr:colOff>
                <xdr:row>4</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1689</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1685</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1690</v>
      </c>
      <c r="B6" s="2354"/>
      <c r="C6" s="2354"/>
      <c r="D6" s="2354"/>
      <c r="E6" s="2354"/>
      <c r="F6" s="2355"/>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26935072</v>
      </c>
      <c r="C8" s="1815">
        <f>'Acct Summary 7-8'!D8</f>
        <v>4453329</v>
      </c>
      <c r="D8" s="1815">
        <f>'Acct Summary 7-8'!F8</f>
        <v>2206837</v>
      </c>
      <c r="E8" s="1815">
        <f>'Acct Summary 7-8'!I8</f>
        <v>202347</v>
      </c>
      <c r="F8" s="1815">
        <f>SUM(B8:E8)</f>
        <v>33797585</v>
      </c>
    </row>
    <row r="9" spans="1:8" s="1079" customFormat="1" ht="14.25" customHeight="1" thickBot="1" x14ac:dyDescent="0.25">
      <c r="A9" s="1078" t="s">
        <v>1368</v>
      </c>
      <c r="B9" s="1816">
        <f>'Acct Summary 7-8'!C17</f>
        <v>28948176</v>
      </c>
      <c r="C9" s="1816">
        <f>'Acct Summary 7-8'!D17</f>
        <v>3794582</v>
      </c>
      <c r="D9" s="1816">
        <f>'Acct Summary 7-8'!F17</f>
        <v>2275169</v>
      </c>
      <c r="E9" s="1815"/>
      <c r="F9" s="1815">
        <f>SUM(B9:E9)</f>
        <v>35017927</v>
      </c>
    </row>
    <row r="10" spans="1:8" s="1079" customFormat="1" ht="14.25" thickTop="1" thickBot="1" x14ac:dyDescent="0.25">
      <c r="A10" s="1080" t="s">
        <v>1369</v>
      </c>
      <c r="B10" s="1817">
        <f>(B8-B9)</f>
        <v>-2013104</v>
      </c>
      <c r="C10" s="1817">
        <f>(C8-C9)</f>
        <v>658747</v>
      </c>
      <c r="D10" s="1817">
        <f>(D8-D9)</f>
        <v>-68332</v>
      </c>
      <c r="E10" s="1816">
        <f>(E8-E9)</f>
        <v>202347</v>
      </c>
      <c r="F10" s="1818">
        <f>SUM(F8-F9)</f>
        <v>-1220342</v>
      </c>
    </row>
    <row r="11" spans="1:8" s="1079" customFormat="1" ht="14.25" thickTop="1" thickBot="1" x14ac:dyDescent="0.25">
      <c r="A11" s="1081" t="s">
        <v>1984</v>
      </c>
      <c r="B11" s="1819">
        <f>'Acct Summary 7-8'!C81</f>
        <v>11032951</v>
      </c>
      <c r="C11" s="1819">
        <f>'Acct Summary 7-8'!D81</f>
        <v>1403807</v>
      </c>
      <c r="D11" s="1819">
        <f>'Acct Summary 7-8'!F81</f>
        <v>262956</v>
      </c>
      <c r="E11" s="1819">
        <f>'Acct Summary 7-8'!I81</f>
        <v>5630496</v>
      </c>
      <c r="F11" s="1820">
        <f>SUM(B11:E11)</f>
        <v>18330210</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1686</v>
      </c>
      <c r="B16" s="2340"/>
      <c r="C16" s="2340"/>
      <c r="D16" s="2340"/>
      <c r="E16" s="2340"/>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0" colorId="8" zoomScale="110" zoomScaleNormal="110" workbookViewId="0">
      <selection activeCell="H52" sqref="H5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664</v>
      </c>
      <c r="B3" s="2363"/>
      <c r="C3" s="2363"/>
      <c r="D3" s="2364"/>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3" t="s">
        <v>1503</v>
      </c>
      <c r="D7" s="2374"/>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5" t="s">
        <v>1007</v>
      </c>
      <c r="B15" s="2366"/>
      <c r="C15" s="2366"/>
      <c r="D15" s="2367"/>
    </row>
    <row r="16" spans="1:4" s="668" customFormat="1" ht="24" customHeight="1" x14ac:dyDescent="0.2">
      <c r="A16" s="2368" t="s">
        <v>662</v>
      </c>
      <c r="B16" s="2369"/>
      <c r="C16" s="2369"/>
      <c r="D16" s="2370"/>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7" t="s">
        <v>313</v>
      </c>
      <c r="D21" s="2378"/>
    </row>
    <row r="22" spans="1:10" ht="12.75" x14ac:dyDescent="0.2">
      <c r="A22" s="1139"/>
      <c r="B22" s="1140">
        <v>2</v>
      </c>
      <c r="C22" s="2375" t="s">
        <v>1523</v>
      </c>
      <c r="D22" s="2376"/>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9" t="s">
        <v>535</v>
      </c>
      <c r="D43" s="2380"/>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1" t="s">
        <v>783</v>
      </c>
      <c r="D56" s="2372"/>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1695</v>
      </c>
      <c r="D70" s="2372"/>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34049070002</v>
      </c>
    </row>
    <row r="3" spans="1:2" x14ac:dyDescent="0.2">
      <c r="A3" t="s">
        <v>955</v>
      </c>
      <c r="B3" s="138" t="str">
        <f>COVER!A15</f>
        <v>LAKE</v>
      </c>
    </row>
    <row r="4" spans="1:2" x14ac:dyDescent="0.2">
      <c r="A4" t="s">
        <v>1006</v>
      </c>
      <c r="B4" s="138" t="str">
        <f>COVER!A17</f>
        <v>Libertyville SD 70</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066-033289</v>
      </c>
    </row>
    <row r="16" spans="1:2" x14ac:dyDescent="0.2">
      <c r="A16" t="s">
        <v>421</v>
      </c>
      <c r="B16" s="138" t="str">
        <f>COVER!T13</f>
        <v>EVOY, KAMSCHULTE, JACOBS &amp; CO., LLP</v>
      </c>
    </row>
    <row r="17" spans="1:2" x14ac:dyDescent="0.2">
      <c r="A17" t="s">
        <v>883</v>
      </c>
      <c r="B17" s="138" t="str">
        <f>COVER!T15</f>
        <v>KEVIN KINNAVY</v>
      </c>
    </row>
    <row r="18" spans="1:2" x14ac:dyDescent="0.2">
      <c r="A18" t="s">
        <v>1149</v>
      </c>
      <c r="B18" s="138" t="str">
        <f>COVER!T17</f>
        <v>2122 YEOMAN ST</v>
      </c>
    </row>
    <row r="19" spans="1:2" x14ac:dyDescent="0.2">
      <c r="A19" t="s">
        <v>885</v>
      </c>
      <c r="B19" s="138" t="str">
        <f>COVER!T25</f>
        <v>kkinnavy@ekjllp.com</v>
      </c>
    </row>
    <row r="20" spans="1:2" x14ac:dyDescent="0.2">
      <c r="A20" t="s">
        <v>886</v>
      </c>
      <c r="B20" s="138" t="str">
        <f>COVER!T19</f>
        <v>WAUKEGAN</v>
      </c>
    </row>
    <row r="21" spans="1:2" x14ac:dyDescent="0.2">
      <c r="A21" t="s">
        <v>478</v>
      </c>
      <c r="B21" s="138" t="str">
        <f>COVER!X19</f>
        <v>IL</v>
      </c>
    </row>
    <row r="22" spans="1:2" x14ac:dyDescent="0.2">
      <c r="A22" t="s">
        <v>887</v>
      </c>
      <c r="B22" s="138">
        <f>COVER!Z19</f>
        <v>60087</v>
      </c>
    </row>
    <row r="23" spans="1:2" x14ac:dyDescent="0.2">
      <c r="A23" t="s">
        <v>1151</v>
      </c>
      <c r="B23" s="138" t="str">
        <f>COVER!T21</f>
        <v>847-662-8300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33604</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12180968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1148017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1148017</v>
      </c>
      <c r="C91" s="2" t="s">
        <v>572</v>
      </c>
      <c r="D91" s="2" t="str">
        <f t="shared" si="0"/>
        <v>Error?</v>
      </c>
    </row>
    <row r="92" spans="1:4" x14ac:dyDescent="0.2">
      <c r="A92" s="5">
        <v>31</v>
      </c>
      <c r="B92" s="138">
        <f>'Assets-Liab 5-6'!C39</f>
        <v>11032951</v>
      </c>
      <c r="D92" s="2" t="str">
        <f t="shared" si="0"/>
        <v>Error?</v>
      </c>
    </row>
    <row r="93" spans="1:4" x14ac:dyDescent="0.2">
      <c r="A93" s="5">
        <v>32</v>
      </c>
      <c r="B93" s="138">
        <f>'Assets-Liab 5-6'!C41</f>
        <v>12180968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1404662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855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855</v>
      </c>
      <c r="C122" s="2" t="s">
        <v>572</v>
      </c>
      <c r="D122" s="2" t="str">
        <f t="shared" si="0"/>
        <v>Error?</v>
      </c>
    </row>
    <row r="123" spans="1:4" x14ac:dyDescent="0.2">
      <c r="A123" s="5">
        <v>62</v>
      </c>
      <c r="B123" s="138">
        <f>'Assets-Liab 5-6'!D39</f>
        <v>1403807</v>
      </c>
      <c r="D123" s="2" t="str">
        <f t="shared" si="0"/>
        <v>Error?</v>
      </c>
    </row>
    <row r="124" spans="1:4" x14ac:dyDescent="0.2">
      <c r="A124" s="5">
        <v>63</v>
      </c>
      <c r="B124" s="138">
        <f>'Assets-Liab 5-6'!D41</f>
        <v>1404662</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1198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1198</v>
      </c>
      <c r="D140" s="2" t="str">
        <f t="shared" si="1"/>
        <v>Error?</v>
      </c>
    </row>
    <row r="141" spans="1:4" x14ac:dyDescent="0.2">
      <c r="A141" s="5">
        <v>80</v>
      </c>
      <c r="B141" s="138">
        <f>'Assets-Liab 5-6'!E41</f>
        <v>1198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262956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262956</v>
      </c>
      <c r="D170" s="2" t="str">
        <f t="shared" si="1"/>
        <v>Error?</v>
      </c>
    </row>
    <row r="171" spans="1:4" x14ac:dyDescent="0.2">
      <c r="A171" s="5">
        <v>110</v>
      </c>
      <c r="B171" s="138">
        <f>'Assets-Liab 5-6'!F41</f>
        <v>262956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354174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67005</v>
      </c>
      <c r="C188" s="2" t="s">
        <v>572</v>
      </c>
      <c r="D188" s="2" t="str">
        <f t="shared" si="1"/>
        <v>Error?</v>
      </c>
    </row>
    <row r="189" spans="1:4" x14ac:dyDescent="0.2">
      <c r="A189" s="5">
        <v>128</v>
      </c>
      <c r="B189" s="138">
        <f>'Assets-Liab 5-6'!G39</f>
        <v>287169</v>
      </c>
      <c r="D189" s="2" t="str">
        <f t="shared" si="1"/>
        <v>Error?</v>
      </c>
    </row>
    <row r="190" spans="1:4" x14ac:dyDescent="0.2">
      <c r="A190" s="5">
        <v>129</v>
      </c>
      <c r="B190" s="138">
        <f>'Assets-Liab 5-6'!G41</f>
        <v>354174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6005493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6005493</v>
      </c>
      <c r="D212" s="2" t="str">
        <f t="shared" si="2"/>
        <v>Error?</v>
      </c>
    </row>
    <row r="213" spans="1:4" x14ac:dyDescent="0.2">
      <c r="A213" s="12">
        <v>152</v>
      </c>
      <c r="B213" s="138">
        <f>'Assets-Liab 5-6'!H41</f>
        <v>6005493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313824</v>
      </c>
      <c r="D273" s="2" t="str">
        <f t="shared" si="3"/>
        <v>Error?</v>
      </c>
    </row>
    <row r="274" spans="1:4" x14ac:dyDescent="0.2">
      <c r="A274" s="5">
        <v>213</v>
      </c>
      <c r="B274" s="138">
        <f>'Assets-Liab 5-6'!M17</f>
        <v>46419296</v>
      </c>
      <c r="D274" s="2" t="str">
        <f t="shared" si="3"/>
        <v>Error?</v>
      </c>
    </row>
    <row r="275" spans="1:4" x14ac:dyDescent="0.2">
      <c r="A275" s="5">
        <v>214</v>
      </c>
      <c r="B275" s="138">
        <f>'Assets-Liab 5-6'!M18</f>
        <v>833127</v>
      </c>
      <c r="D275" s="2" t="str">
        <f t="shared" si="3"/>
        <v>Error?</v>
      </c>
    </row>
    <row r="276" spans="1:4" x14ac:dyDescent="0.2">
      <c r="A276" s="5">
        <v>215</v>
      </c>
      <c r="B276" s="138">
        <f>'Assets-Liab 5-6'!M19</f>
        <v>2801614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50367861</v>
      </c>
      <c r="C279" s="2" t="s">
        <v>572</v>
      </c>
      <c r="D279" s="2" t="str">
        <f t="shared" si="3"/>
        <v>Error?</v>
      </c>
    </row>
    <row r="280" spans="1:4" x14ac:dyDescent="0.2">
      <c r="A280" s="5">
        <v>219</v>
      </c>
      <c r="B280" s="138">
        <f>'Assets-Liab 5-6'!M40</f>
        <v>50367861</v>
      </c>
      <c r="D280" s="2" t="str">
        <f t="shared" si="3"/>
        <v>Error?</v>
      </c>
    </row>
    <row r="281" spans="1:4" x14ac:dyDescent="0.2">
      <c r="A281" s="5">
        <v>220</v>
      </c>
      <c r="B281" s="138">
        <f>'Assets-Liab 5-6'!M41</f>
        <v>50367861</v>
      </c>
      <c r="C281" s="2" t="s">
        <v>572</v>
      </c>
      <c r="D281" s="2" t="str">
        <f t="shared" si="3"/>
        <v>Error?</v>
      </c>
    </row>
    <row r="282" spans="1:4" x14ac:dyDescent="0.2">
      <c r="A282" s="5">
        <v>221</v>
      </c>
      <c r="B282" s="138">
        <f>'Assets-Liab 5-6'!N21</f>
        <v>1198</v>
      </c>
      <c r="D282" s="2" t="str">
        <f t="shared" si="3"/>
        <v>Error?</v>
      </c>
    </row>
    <row r="283" spans="1:4" x14ac:dyDescent="0.2">
      <c r="A283" s="5">
        <v>222</v>
      </c>
      <c r="B283" s="138">
        <f>'Assets-Liab 5-6'!N22</f>
        <v>17781831</v>
      </c>
      <c r="D283" s="2" t="str">
        <f t="shared" si="3"/>
        <v>Error?</v>
      </c>
    </row>
    <row r="284" spans="1:4" x14ac:dyDescent="0.2">
      <c r="A284" s="5">
        <v>223</v>
      </c>
      <c r="B284" s="138">
        <f>'Assets-Liab 5-6'!N23</f>
        <v>17783029</v>
      </c>
      <c r="C284" s="2" t="s">
        <v>572</v>
      </c>
      <c r="D284" s="2" t="str">
        <f t="shared" si="3"/>
        <v>Error?</v>
      </c>
    </row>
    <row r="285" spans="1:4" x14ac:dyDescent="0.2">
      <c r="A285" s="5">
        <v>224</v>
      </c>
      <c r="B285" s="138">
        <f>'Assets-Liab 5-6'!N36</f>
        <v>17783029</v>
      </c>
      <c r="D285" s="2" t="str">
        <f t="shared" si="3"/>
        <v>Error?</v>
      </c>
    </row>
    <row r="286" spans="1:4" x14ac:dyDescent="0.2">
      <c r="A286" s="10">
        <v>225</v>
      </c>
      <c r="D286" s="2" t="str">
        <f t="shared" si="3"/>
        <v>OK</v>
      </c>
    </row>
    <row r="287" spans="1:4" x14ac:dyDescent="0.2">
      <c r="A287" s="5">
        <v>226</v>
      </c>
      <c r="B287" s="138">
        <f>'Assets-Liab 5-6'!N37</f>
        <v>17783029</v>
      </c>
      <c r="C287" s="2" t="s">
        <v>572</v>
      </c>
      <c r="D287" s="2" t="str">
        <f t="shared" si="3"/>
        <v>Error?</v>
      </c>
    </row>
    <row r="288" spans="1:4" x14ac:dyDescent="0.2">
      <c r="A288" s="5">
        <v>227</v>
      </c>
      <c r="B288" s="138">
        <f>'Assets-Liab 5-6'!N41</f>
        <v>17783029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5460000</v>
      </c>
      <c r="D618" s="2" t="str">
        <f t="shared" si="8"/>
        <v>Error?</v>
      </c>
    </row>
    <row r="619" spans="1:4" x14ac:dyDescent="0.2">
      <c r="A619" s="5">
        <v>558</v>
      </c>
      <c r="B619" s="138">
        <f>'Acct Summary 7-8'!H34</f>
        <v>642443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11990736</v>
      </c>
      <c r="D705" s="2" t="str">
        <f t="shared" si="10"/>
        <v>Error?</v>
      </c>
    </row>
    <row r="706" spans="1:4" x14ac:dyDescent="0.2">
      <c r="A706" s="5">
        <v>645</v>
      </c>
      <c r="B706" s="138">
        <f>'Expenditures 15-22'!C16</f>
        <v>408151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188087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476815</v>
      </c>
      <c r="D718" s="2" t="str">
        <f t="shared" si="10"/>
        <v>Error?</v>
      </c>
    </row>
    <row r="719" spans="1:4" x14ac:dyDescent="0.2">
      <c r="A719" s="5">
        <v>658</v>
      </c>
      <c r="B719" s="138">
        <f>'Expenditures 15-22'!C15</f>
        <v>285779</v>
      </c>
      <c r="D719" s="2" t="str">
        <f t="shared" si="10"/>
        <v>Error?</v>
      </c>
    </row>
    <row r="720" spans="1:4" x14ac:dyDescent="0.2">
      <c r="A720" s="5">
        <v>659</v>
      </c>
      <c r="B720" s="138">
        <f>'Expenditures 15-22'!C33</f>
        <v>15254097</v>
      </c>
      <c r="C720" s="2" t="s">
        <v>572</v>
      </c>
      <c r="D720" s="2" t="str">
        <f t="shared" si="10"/>
        <v>Error?</v>
      </c>
    </row>
    <row r="721" spans="1:4" x14ac:dyDescent="0.2">
      <c r="A721" s="5">
        <v>660</v>
      </c>
      <c r="B721" s="138">
        <f>'Expenditures 15-22'!C36</f>
        <v>599625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430807</v>
      </c>
      <c r="D723" s="2" t="str">
        <f t="shared" si="10"/>
        <v>Error?</v>
      </c>
    </row>
    <row r="724" spans="1:4" x14ac:dyDescent="0.2">
      <c r="A724" s="5">
        <v>663</v>
      </c>
      <c r="B724" s="138">
        <f>'Expenditures 15-22'!C39</f>
        <v>268804</v>
      </c>
      <c r="D724" s="2" t="str">
        <f t="shared" si="10"/>
        <v>Error?</v>
      </c>
    </row>
    <row r="725" spans="1:4" x14ac:dyDescent="0.2">
      <c r="A725" s="5">
        <v>664</v>
      </c>
      <c r="B725" s="138">
        <f>'Expenditures 15-22'!C40</f>
        <v>831953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2131189</v>
      </c>
      <c r="C727" s="2" t="s">
        <v>572</v>
      </c>
      <c r="D727" s="2" t="str">
        <f t="shared" si="10"/>
        <v>Error?</v>
      </c>
    </row>
    <row r="728" spans="1:4" x14ac:dyDescent="0.2">
      <c r="A728" s="5">
        <v>667</v>
      </c>
      <c r="B728" s="138">
        <f>'Expenditures 15-22'!C44</f>
        <v>262619</v>
      </c>
      <c r="D728" s="2" t="str">
        <f t="shared" si="10"/>
        <v>Error?</v>
      </c>
    </row>
    <row r="729" spans="1:4" x14ac:dyDescent="0.2">
      <c r="A729" s="5">
        <v>668</v>
      </c>
      <c r="B729" s="138">
        <f>'Expenditures 15-22'!C45</f>
        <v>586756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849375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362713</v>
      </c>
      <c r="D733" s="2" t="str">
        <f t="shared" si="10"/>
        <v>Error?</v>
      </c>
    </row>
    <row r="734" spans="1:4" x14ac:dyDescent="0.2">
      <c r="A734" s="5">
        <v>673</v>
      </c>
      <c r="B734" s="138">
        <f>'Expenditures 15-22'!C53</f>
        <v>565052</v>
      </c>
      <c r="C734" s="2" t="s">
        <v>572</v>
      </c>
      <c r="D734" s="2" t="str">
        <f t="shared" si="10"/>
        <v>Error?</v>
      </c>
    </row>
    <row r="735" spans="1:4" x14ac:dyDescent="0.2">
      <c r="A735" s="5">
        <v>674</v>
      </c>
      <c r="B735" s="138">
        <f>'Expenditures 15-22'!C55</f>
        <v>1217253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1217253</v>
      </c>
      <c r="C737" s="2" t="s">
        <v>572</v>
      </c>
      <c r="D737" s="2" t="str">
        <f t="shared" si="10"/>
        <v>Error?</v>
      </c>
    </row>
    <row r="738" spans="1:4" x14ac:dyDescent="0.2">
      <c r="A738" s="5">
        <v>677</v>
      </c>
      <c r="B738" s="138">
        <f>'Expenditures 15-22'!C59</f>
        <v>328771</v>
      </c>
      <c r="D738" s="2" t="str">
        <f t="shared" si="10"/>
        <v>Error?</v>
      </c>
    </row>
    <row r="739" spans="1:4" x14ac:dyDescent="0.2">
      <c r="A739" s="5">
        <v>678</v>
      </c>
      <c r="B739" s="138">
        <f>'Expenditures 15-22'!C60</f>
        <v>142946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111703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583420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75369</v>
      </c>
      <c r="D748" s="2" t="str">
        <f t="shared" si="10"/>
        <v>Error?</v>
      </c>
    </row>
    <row r="749" spans="1:4" x14ac:dyDescent="0.2">
      <c r="A749" s="5">
        <v>688</v>
      </c>
      <c r="B749" s="138">
        <f>'Expenditures 15-22'!C70</f>
        <v>224858</v>
      </c>
      <c r="D749" s="2" t="str">
        <f t="shared" si="10"/>
        <v>Error?</v>
      </c>
    </row>
    <row r="750" spans="1:4" x14ac:dyDescent="0.2">
      <c r="A750" s="10">
        <v>689</v>
      </c>
      <c r="D750" s="2" t="str">
        <f t="shared" si="10"/>
        <v>OK</v>
      </c>
    </row>
    <row r="751" spans="1:4" x14ac:dyDescent="0.2">
      <c r="A751" s="5">
        <v>690</v>
      </c>
      <c r="B751" s="138">
        <f>'Expenditures 15-22'!C71</f>
        <v>633331</v>
      </c>
      <c r="D751" s="2" t="str">
        <f t="shared" si="10"/>
        <v>Error?</v>
      </c>
    </row>
    <row r="752" spans="1:4" x14ac:dyDescent="0.2">
      <c r="A752" s="10">
        <v>691</v>
      </c>
      <c r="D752" s="2" t="str">
        <f t="shared" si="10"/>
        <v>OK</v>
      </c>
    </row>
    <row r="753" spans="1:4" x14ac:dyDescent="0.2">
      <c r="A753" s="5">
        <v>692</v>
      </c>
      <c r="B753" s="138">
        <f>'Expenditures 15-22'!C72</f>
        <v>933558</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6279847</v>
      </c>
      <c r="C755" s="2" t="s">
        <v>572</v>
      </c>
      <c r="D755" s="2" t="str">
        <f t="shared" si="10"/>
        <v>Error?</v>
      </c>
    </row>
    <row r="756" spans="1:4" x14ac:dyDescent="0.2">
      <c r="A756" s="5">
        <v>695</v>
      </c>
      <c r="B756" s="138">
        <f>'Expenditures 15-22'!C75</f>
        <v>21075</v>
      </c>
      <c r="D756" s="2" t="str">
        <f t="shared" si="10"/>
        <v>Error?</v>
      </c>
    </row>
    <row r="757" spans="1:4" x14ac:dyDescent="0.2">
      <c r="A757" s="5">
        <v>696</v>
      </c>
      <c r="B757" s="138">
        <f>'Expenditures 15-22'!C114</f>
        <v>21555019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1778708</v>
      </c>
      <c r="D763" s="2" t="str">
        <f t="shared" si="10"/>
        <v>Error?</v>
      </c>
    </row>
    <row r="764" spans="1:4" x14ac:dyDescent="0.2">
      <c r="A764" s="5">
        <v>703</v>
      </c>
      <c r="B764" s="138">
        <f>'Expenditures 15-22'!D16</f>
        <v>63638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21123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6654</v>
      </c>
      <c r="D776" s="2" t="str">
        <f t="shared" si="11"/>
        <v>Error?</v>
      </c>
    </row>
    <row r="777" spans="1:4" x14ac:dyDescent="0.2">
      <c r="A777" s="5">
        <v>716</v>
      </c>
      <c r="B777" s="138">
        <f>'Expenditures 15-22'!D15</f>
        <v>3115</v>
      </c>
      <c r="D777" s="2" t="str">
        <f t="shared" si="11"/>
        <v>Error?</v>
      </c>
    </row>
    <row r="778" spans="1:4" x14ac:dyDescent="0.2">
      <c r="A778" s="5">
        <v>717</v>
      </c>
      <c r="B778" s="138">
        <f>'Expenditures 15-22'!D33</f>
        <v>2334808</v>
      </c>
      <c r="C778" s="2" t="s">
        <v>572</v>
      </c>
      <c r="D778" s="2" t="str">
        <f t="shared" si="11"/>
        <v>Error?</v>
      </c>
    </row>
    <row r="779" spans="1:4" x14ac:dyDescent="0.2">
      <c r="A779" s="5">
        <v>718</v>
      </c>
      <c r="B779" s="138">
        <f>'Expenditures 15-22'!D36</f>
        <v>80752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59614</v>
      </c>
      <c r="D781" s="2" t="str">
        <f t="shared" si="11"/>
        <v>Error?</v>
      </c>
    </row>
    <row r="782" spans="1:4" x14ac:dyDescent="0.2">
      <c r="A782" s="5">
        <v>721</v>
      </c>
      <c r="B782" s="138">
        <f>'Expenditures 15-22'!D39</f>
        <v>49499</v>
      </c>
      <c r="D782" s="2" t="str">
        <f t="shared" si="11"/>
        <v>Error?</v>
      </c>
    </row>
    <row r="783" spans="1:4" x14ac:dyDescent="0.2">
      <c r="A783" s="5">
        <v>722</v>
      </c>
      <c r="B783" s="138">
        <f>'Expenditures 15-22'!D40</f>
        <v>113529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303394</v>
      </c>
      <c r="C785" s="2" t="s">
        <v>572</v>
      </c>
      <c r="D785" s="2" t="str">
        <f t="shared" si="11"/>
        <v>Error?</v>
      </c>
    </row>
    <row r="786" spans="1:4" x14ac:dyDescent="0.2">
      <c r="A786" s="5">
        <v>725</v>
      </c>
      <c r="B786" s="138">
        <f>'Expenditures 15-22'!D44</f>
        <v>85196</v>
      </c>
      <c r="D786" s="2" t="str">
        <f t="shared" si="11"/>
        <v>Error?</v>
      </c>
    </row>
    <row r="787" spans="1:4" x14ac:dyDescent="0.2">
      <c r="A787" s="5">
        <v>726</v>
      </c>
      <c r="B787" s="138">
        <f>'Expenditures 15-22'!D45</f>
        <v>99293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184489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41761</v>
      </c>
      <c r="D791" s="2" t="str">
        <f t="shared" si="11"/>
        <v>Error?</v>
      </c>
    </row>
    <row r="792" spans="1:4" x14ac:dyDescent="0.2">
      <c r="A792" s="5">
        <v>731</v>
      </c>
      <c r="B792" s="138">
        <f>'Expenditures 15-22'!D53</f>
        <v>66825</v>
      </c>
      <c r="C792" s="2" t="s">
        <v>572</v>
      </c>
      <c r="D792" s="2" t="str">
        <f t="shared" si="11"/>
        <v>Error?</v>
      </c>
    </row>
    <row r="793" spans="1:4" x14ac:dyDescent="0.2">
      <c r="A793" s="5">
        <v>732</v>
      </c>
      <c r="B793" s="138">
        <f>'Expenditures 15-22'!D55</f>
        <v>177391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177391</v>
      </c>
      <c r="C795" s="2" t="s">
        <v>572</v>
      </c>
      <c r="D795" s="2" t="str">
        <f t="shared" si="11"/>
        <v>Error?</v>
      </c>
    </row>
    <row r="796" spans="1:4" x14ac:dyDescent="0.2">
      <c r="A796" s="5">
        <v>735</v>
      </c>
      <c r="B796" s="138">
        <f>'Expenditures 15-22'!D59</f>
        <v>48693</v>
      </c>
      <c r="D796" s="2" t="str">
        <f t="shared" si="11"/>
        <v>Error?</v>
      </c>
    </row>
    <row r="797" spans="1:4" x14ac:dyDescent="0.2">
      <c r="A797" s="5">
        <v>736</v>
      </c>
      <c r="B797" s="138">
        <f>'Expenditures 15-22'!D60</f>
        <v>9834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8170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66697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16630</v>
      </c>
      <c r="D806" s="2" t="str">
        <f t="shared" si="11"/>
        <v>Error?</v>
      </c>
    </row>
    <row r="807" spans="1:4" x14ac:dyDescent="0.2">
      <c r="A807" s="5">
        <v>746</v>
      </c>
      <c r="B807" s="138">
        <f>'Expenditures 15-22'!D70</f>
        <v>28705</v>
      </c>
      <c r="D807" s="2" t="str">
        <f t="shared" si="11"/>
        <v>Error?</v>
      </c>
    </row>
    <row r="808" spans="1:4" x14ac:dyDescent="0.2">
      <c r="A808" s="10">
        <v>747</v>
      </c>
      <c r="D808" s="2" t="str">
        <f t="shared" si="11"/>
        <v>OK</v>
      </c>
    </row>
    <row r="809" spans="1:4" x14ac:dyDescent="0.2">
      <c r="A809" s="5">
        <v>748</v>
      </c>
      <c r="B809" s="138">
        <f>'Expenditures 15-22'!D71</f>
        <v>63123</v>
      </c>
      <c r="D809" s="2" t="str">
        <f t="shared" si="11"/>
        <v>Error?</v>
      </c>
    </row>
    <row r="810" spans="1:4" x14ac:dyDescent="0.2">
      <c r="A810" s="10">
        <v>749</v>
      </c>
      <c r="D810" s="2" t="str">
        <f t="shared" si="11"/>
        <v>OK</v>
      </c>
    </row>
    <row r="811" spans="1:4" x14ac:dyDescent="0.2">
      <c r="A811" s="5">
        <v>750</v>
      </c>
      <c r="B811" s="138">
        <f>'Expenditures 15-22'!D72</f>
        <v>108458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907254</v>
      </c>
      <c r="C813" s="2" t="s">
        <v>572</v>
      </c>
      <c r="D813" s="2" t="str">
        <f t="shared" si="11"/>
        <v>Error?</v>
      </c>
    </row>
    <row r="814" spans="1:4" x14ac:dyDescent="0.2">
      <c r="A814" s="5">
        <v>753</v>
      </c>
      <c r="B814" s="138">
        <f>'Expenditures 15-22'!D75</f>
        <v>34</v>
      </c>
      <c r="D814" s="2" t="str">
        <f t="shared" si="11"/>
        <v>Error?</v>
      </c>
    </row>
    <row r="815" spans="1:4" x14ac:dyDescent="0.2">
      <c r="A815" s="5">
        <v>754</v>
      </c>
      <c r="B815" s="138">
        <f>'Expenditures 15-22'!D114</f>
        <v>3242096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35384</v>
      </c>
      <c r="D821" s="2" t="str">
        <f t="shared" si="11"/>
        <v>Error?</v>
      </c>
    </row>
    <row r="822" spans="1:4" x14ac:dyDescent="0.2">
      <c r="A822" s="5">
        <v>761</v>
      </c>
      <c r="B822" s="138">
        <f>'Expenditures 15-22'!E16</f>
        <v>7055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6008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9245</v>
      </c>
      <c r="D834" s="2" t="str">
        <f t="shared" si="12"/>
        <v>Error?</v>
      </c>
    </row>
    <row r="835" spans="1:4" x14ac:dyDescent="0.2">
      <c r="A835" s="5">
        <v>774</v>
      </c>
      <c r="B835" s="138">
        <f>'Expenditures 15-22'!E15</f>
        <v>2500</v>
      </c>
      <c r="D835" s="2" t="str">
        <f t="shared" si="12"/>
        <v>Error?</v>
      </c>
    </row>
    <row r="836" spans="1:4" x14ac:dyDescent="0.2">
      <c r="A836" s="5">
        <v>775</v>
      </c>
      <c r="B836" s="138">
        <f>'Expenditures 15-22'!E33</f>
        <v>112683</v>
      </c>
      <c r="C836" s="2" t="s">
        <v>572</v>
      </c>
      <c r="D836" s="2" t="str">
        <f t="shared" si="12"/>
        <v>Error?</v>
      </c>
    </row>
    <row r="837" spans="1:4" x14ac:dyDescent="0.2">
      <c r="A837" s="5">
        <v>776</v>
      </c>
      <c r="B837" s="138">
        <f>'Expenditures 15-22'!E36</f>
        <v>309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11060</v>
      </c>
      <c r="D839" s="2" t="str">
        <f t="shared" si="12"/>
        <v>Error?</v>
      </c>
    </row>
    <row r="840" spans="1:4" x14ac:dyDescent="0.2">
      <c r="A840" s="5">
        <v>779</v>
      </c>
      <c r="B840" s="138">
        <f>'Expenditures 15-22'!E39</f>
        <v>1723</v>
      </c>
      <c r="D840" s="2" t="str">
        <f t="shared" si="12"/>
        <v>Error?</v>
      </c>
    </row>
    <row r="841" spans="1:4" x14ac:dyDescent="0.2">
      <c r="A841" s="5">
        <v>780</v>
      </c>
      <c r="B841" s="138">
        <f>'Expenditures 15-22'!E40</f>
        <v>1815</v>
      </c>
      <c r="D841" s="2" t="str">
        <f t="shared" si="12"/>
        <v>Error?</v>
      </c>
    </row>
    <row r="842" spans="1:4" x14ac:dyDescent="0.2">
      <c r="A842" s="5">
        <v>781</v>
      </c>
      <c r="B842" s="138">
        <f>'Expenditures 15-22'!E41</f>
        <v>50713</v>
      </c>
      <c r="D842" s="2" t="str">
        <f t="shared" si="12"/>
        <v>Error?</v>
      </c>
    </row>
    <row r="843" spans="1:4" x14ac:dyDescent="0.2">
      <c r="A843" s="5">
        <v>782</v>
      </c>
      <c r="B843" s="138">
        <f>'Expenditures 15-22'!E42</f>
        <v>65620</v>
      </c>
      <c r="C843" s="2" t="s">
        <v>572</v>
      </c>
      <c r="D843" s="2" t="str">
        <f t="shared" si="12"/>
        <v>Error?</v>
      </c>
    </row>
    <row r="844" spans="1:4" x14ac:dyDescent="0.2">
      <c r="A844" s="5">
        <v>783</v>
      </c>
      <c r="B844" s="138">
        <f>'Expenditures 15-22'!E44</f>
        <v>155636</v>
      </c>
      <c r="D844" s="2" t="str">
        <f t="shared" si="12"/>
        <v>Error?</v>
      </c>
    </row>
    <row r="845" spans="1:4" x14ac:dyDescent="0.2">
      <c r="A845" s="5">
        <v>784</v>
      </c>
      <c r="B845" s="138">
        <f>'Expenditures 15-22'!E45</f>
        <v>11540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167176</v>
      </c>
      <c r="C847" s="2" t="s">
        <v>572</v>
      </c>
      <c r="D847" s="2" t="str">
        <f t="shared" si="12"/>
        <v>Error?</v>
      </c>
    </row>
    <row r="848" spans="1:4" x14ac:dyDescent="0.2">
      <c r="A848" s="5">
        <v>787</v>
      </c>
      <c r="B848" s="138">
        <f>'Expenditures 15-22'!E49</f>
        <v>295618</v>
      </c>
      <c r="D848" s="2" t="str">
        <f t="shared" si="12"/>
        <v>Error?</v>
      </c>
    </row>
    <row r="849" spans="1:4" x14ac:dyDescent="0.2">
      <c r="A849" s="5">
        <v>788</v>
      </c>
      <c r="B849" s="138">
        <f>'Expenditures 15-22'!E50</f>
        <v>14146</v>
      </c>
      <c r="D849" s="2" t="str">
        <f t="shared" si="12"/>
        <v>Error?</v>
      </c>
    </row>
    <row r="850" spans="1:4" x14ac:dyDescent="0.2">
      <c r="A850" s="5">
        <v>789</v>
      </c>
      <c r="B850" s="138">
        <f>'Expenditures 15-22'!E53</f>
        <v>317392</v>
      </c>
      <c r="C850" s="2" t="s">
        <v>572</v>
      </c>
      <c r="D850" s="2" t="str">
        <f t="shared" si="12"/>
        <v>Error?</v>
      </c>
    </row>
    <row r="851" spans="1:4" x14ac:dyDescent="0.2">
      <c r="A851" s="5">
        <v>790</v>
      </c>
      <c r="B851" s="138">
        <f>'Expenditures 15-22'!E55</f>
        <v>25468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25468</v>
      </c>
      <c r="C853" s="2" t="s">
        <v>572</v>
      </c>
      <c r="D853" s="2" t="str">
        <f t="shared" si="12"/>
        <v>Error?</v>
      </c>
    </row>
    <row r="854" spans="1:4" x14ac:dyDescent="0.2">
      <c r="A854" s="5">
        <v>793</v>
      </c>
      <c r="B854" s="138">
        <f>'Expenditures 15-22'!E59</f>
        <v>10232</v>
      </c>
      <c r="D854" s="2" t="str">
        <f t="shared" si="12"/>
        <v>Error?</v>
      </c>
    </row>
    <row r="855" spans="1:4" x14ac:dyDescent="0.2">
      <c r="A855" s="5">
        <v>794</v>
      </c>
      <c r="B855" s="138">
        <f>'Expenditures 15-22'!E60</f>
        <v>175720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424119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610071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6922</v>
      </c>
      <c r="D864" s="2" t="str">
        <f t="shared" si="12"/>
        <v>Error?</v>
      </c>
    </row>
    <row r="865" spans="1:4" x14ac:dyDescent="0.2">
      <c r="A865" s="5">
        <v>804</v>
      </c>
      <c r="B865" s="138">
        <f>'Expenditures 15-22'!E70</f>
        <v>33921</v>
      </c>
      <c r="D865" s="2" t="str">
        <f t="shared" si="12"/>
        <v>Error?</v>
      </c>
    </row>
    <row r="866" spans="1:4" x14ac:dyDescent="0.2">
      <c r="A866" s="10">
        <v>805</v>
      </c>
      <c r="D866" s="2" t="str">
        <f t="shared" si="12"/>
        <v>OK</v>
      </c>
    </row>
    <row r="867" spans="1:4" x14ac:dyDescent="0.2">
      <c r="A867" s="5">
        <v>806</v>
      </c>
      <c r="B867" s="138">
        <f>'Expenditures 15-22'!E71</f>
        <v>280844</v>
      </c>
      <c r="D867" s="2" t="str">
        <f t="shared" si="12"/>
        <v>Error?</v>
      </c>
    </row>
    <row r="868" spans="1:4" x14ac:dyDescent="0.2">
      <c r="A868" s="10">
        <v>807</v>
      </c>
      <c r="D868" s="2" t="str">
        <f t="shared" si="12"/>
        <v>OK</v>
      </c>
    </row>
    <row r="869" spans="1:4" x14ac:dyDescent="0.2">
      <c r="A869" s="5">
        <v>808</v>
      </c>
      <c r="B869" s="138">
        <f>'Expenditures 15-22'!E72</f>
        <v>321687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1507414</v>
      </c>
      <c r="C871" s="2" t="s">
        <v>572</v>
      </c>
      <c r="D871" s="2" t="str">
        <f t="shared" si="12"/>
        <v>Error?</v>
      </c>
    </row>
    <row r="872" spans="1:4" x14ac:dyDescent="0.2">
      <c r="A872" s="5">
        <v>811</v>
      </c>
      <c r="B872" s="138">
        <f>'Expenditures 15-22'!E75</f>
        <v>9898</v>
      </c>
      <c r="D872" s="2" t="str">
        <f t="shared" si="12"/>
        <v>Error?</v>
      </c>
    </row>
    <row r="873" spans="1:4" x14ac:dyDescent="0.2">
      <c r="A873" s="5">
        <v>812</v>
      </c>
      <c r="B873" s="138">
        <f>'Expenditures 15-22'!E114</f>
        <v>1738411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350326</v>
      </c>
      <c r="D879" s="2" t="str">
        <f t="shared" si="12"/>
        <v>Error?</v>
      </c>
    </row>
    <row r="880" spans="1:4" x14ac:dyDescent="0.2">
      <c r="A880" s="5">
        <v>819</v>
      </c>
      <c r="B880" s="138">
        <f>'Expenditures 15-22'!F16</f>
        <v>3343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1226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3048</v>
      </c>
      <c r="D892" s="2" t="str">
        <f t="shared" si="12"/>
        <v>Error?</v>
      </c>
    </row>
    <row r="893" spans="1:4" x14ac:dyDescent="0.2">
      <c r="A893" s="5">
        <v>832</v>
      </c>
      <c r="B893" s="138">
        <f>'Expenditures 15-22'!F15</f>
        <v>12964</v>
      </c>
      <c r="D893" s="2" t="str">
        <f t="shared" si="12"/>
        <v>Error?</v>
      </c>
    </row>
    <row r="894" spans="1:4" x14ac:dyDescent="0.2">
      <c r="A894" s="5">
        <v>833</v>
      </c>
      <c r="B894" s="138">
        <f>'Expenditures 15-22'!F33</f>
        <v>396301</v>
      </c>
      <c r="C894" s="2" t="s">
        <v>572</v>
      </c>
      <c r="D894" s="2" t="str">
        <f t="shared" si="12"/>
        <v>Error?</v>
      </c>
    </row>
    <row r="895" spans="1:4" x14ac:dyDescent="0.2">
      <c r="A895" s="5">
        <v>834</v>
      </c>
      <c r="B895" s="138">
        <f>'Expenditures 15-22'!F36</f>
        <v>2198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2982</v>
      </c>
      <c r="D897" s="2" t="str">
        <f t="shared" si="13"/>
        <v>Error?</v>
      </c>
    </row>
    <row r="898" spans="1:4" x14ac:dyDescent="0.2">
      <c r="A898" s="5">
        <v>837</v>
      </c>
      <c r="B898" s="138">
        <f>'Expenditures 15-22'!F39</f>
        <v>2814</v>
      </c>
      <c r="D898" s="2" t="str">
        <f t="shared" si="13"/>
        <v>Error?</v>
      </c>
    </row>
    <row r="899" spans="1:4" x14ac:dyDescent="0.2">
      <c r="A899" s="5">
        <v>838</v>
      </c>
      <c r="B899" s="138">
        <f>'Expenditures 15-22'!F40</f>
        <v>3419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11413</v>
      </c>
      <c r="C901" s="2" t="s">
        <v>572</v>
      </c>
      <c r="D901" s="2" t="str">
        <f t="shared" si="13"/>
        <v>Error?</v>
      </c>
    </row>
    <row r="902" spans="1:4" x14ac:dyDescent="0.2">
      <c r="A902" s="5">
        <v>841</v>
      </c>
      <c r="B902" s="138">
        <f>'Expenditures 15-22'!F44</f>
        <v>283140</v>
      </c>
      <c r="D902" s="2" t="str">
        <f t="shared" si="13"/>
        <v>Error?</v>
      </c>
    </row>
    <row r="903" spans="1:4" x14ac:dyDescent="0.2">
      <c r="A903" s="5">
        <v>842</v>
      </c>
      <c r="B903" s="138">
        <f>'Expenditures 15-22'!F45</f>
        <v>43085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326225</v>
      </c>
      <c r="C905" s="2" t="s">
        <v>572</v>
      </c>
      <c r="D905" s="2" t="str">
        <f t="shared" si="13"/>
        <v>Error?</v>
      </c>
    </row>
    <row r="906" spans="1:4" x14ac:dyDescent="0.2">
      <c r="A906" s="5">
        <v>845</v>
      </c>
      <c r="B906" s="138">
        <f>'Expenditures 15-22'!F49</f>
        <v>5284</v>
      </c>
      <c r="D906" s="2" t="str">
        <f t="shared" si="13"/>
        <v>Error?</v>
      </c>
    </row>
    <row r="907" spans="1:4" x14ac:dyDescent="0.2">
      <c r="A907" s="5">
        <v>846</v>
      </c>
      <c r="B907" s="138">
        <f>'Expenditures 15-22'!F50</f>
        <v>4253</v>
      </c>
      <c r="D907" s="2" t="str">
        <f t="shared" si="13"/>
        <v>Error?</v>
      </c>
    </row>
    <row r="908" spans="1:4" x14ac:dyDescent="0.2">
      <c r="A908" s="5">
        <v>847</v>
      </c>
      <c r="B908" s="138">
        <f>'Expenditures 15-22'!F53</f>
        <v>11614</v>
      </c>
      <c r="C908" s="2" t="s">
        <v>572</v>
      </c>
      <c r="D908" s="2" t="str">
        <f t="shared" si="13"/>
        <v>Error?</v>
      </c>
    </row>
    <row r="909" spans="1:4" x14ac:dyDescent="0.2">
      <c r="A909" s="5">
        <v>848</v>
      </c>
      <c r="B909" s="138">
        <f>'Expenditures 15-22'!F55</f>
        <v>12063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12063</v>
      </c>
      <c r="C911" s="2" t="s">
        <v>572</v>
      </c>
      <c r="D911" s="2" t="str">
        <f t="shared" si="13"/>
        <v>Error?</v>
      </c>
    </row>
    <row r="912" spans="1:4" x14ac:dyDescent="0.2">
      <c r="A912" s="5">
        <v>851</v>
      </c>
      <c r="B912" s="138">
        <f>'Expenditures 15-22'!F59</f>
        <v>938</v>
      </c>
      <c r="D912" s="2" t="str">
        <f t="shared" si="13"/>
        <v>Error?</v>
      </c>
    </row>
    <row r="913" spans="1:4" x14ac:dyDescent="0.2">
      <c r="A913" s="5">
        <v>852</v>
      </c>
      <c r="B913" s="138">
        <f>'Expenditures 15-22'!F60</f>
        <v>11488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12426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31</v>
      </c>
      <c r="D922" s="2" t="str">
        <f t="shared" si="13"/>
        <v>Error?</v>
      </c>
    </row>
    <row r="923" spans="1:4" x14ac:dyDescent="0.2">
      <c r="A923" s="5">
        <v>862</v>
      </c>
      <c r="B923" s="138">
        <f>'Expenditures 15-22'!F70</f>
        <v>1099</v>
      </c>
      <c r="D923" s="2" t="str">
        <f t="shared" si="13"/>
        <v>Error?</v>
      </c>
    </row>
    <row r="924" spans="1:4" x14ac:dyDescent="0.2">
      <c r="A924" s="10">
        <v>863</v>
      </c>
      <c r="D924" s="2" t="str">
        <f t="shared" si="13"/>
        <v>OK</v>
      </c>
    </row>
    <row r="925" spans="1:4" x14ac:dyDescent="0.2">
      <c r="A925" s="5">
        <v>864</v>
      </c>
      <c r="B925" s="138">
        <f>'Expenditures 15-22'!F71</f>
        <v>202832</v>
      </c>
      <c r="D925" s="2" t="str">
        <f t="shared" si="13"/>
        <v>Error?</v>
      </c>
    </row>
    <row r="926" spans="1:4" x14ac:dyDescent="0.2">
      <c r="A926" s="10">
        <v>865</v>
      </c>
      <c r="D926" s="2" t="str">
        <f t="shared" si="13"/>
        <v>OK</v>
      </c>
    </row>
    <row r="927" spans="1:4" x14ac:dyDescent="0.2">
      <c r="A927" s="5">
        <v>866</v>
      </c>
      <c r="B927" s="138">
        <f>'Expenditures 15-22'!F72</f>
        <v>203962</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577703</v>
      </c>
      <c r="C929" s="2" t="s">
        <v>572</v>
      </c>
      <c r="D929" s="2" t="str">
        <f t="shared" si="13"/>
        <v>Error?</v>
      </c>
    </row>
    <row r="930" spans="1:4" x14ac:dyDescent="0.2">
      <c r="A930" s="5">
        <v>869</v>
      </c>
      <c r="B930" s="138">
        <f>'Expenditures 15-22'!F75</f>
        <v>52798</v>
      </c>
      <c r="D930" s="2" t="str">
        <f t="shared" si="13"/>
        <v>Error?</v>
      </c>
    </row>
    <row r="931" spans="1:4" x14ac:dyDescent="0.2">
      <c r="A931" s="5">
        <v>870</v>
      </c>
      <c r="B931" s="138">
        <f>'Expenditures 15-22'!F114</f>
        <v>1026802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45894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2945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48839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2858</v>
      </c>
      <c r="D960" s="2" t="str">
        <f t="shared" si="14"/>
        <v>Error?</v>
      </c>
    </row>
    <row r="961" spans="1:4" x14ac:dyDescent="0.2">
      <c r="A961" s="5">
        <v>900</v>
      </c>
      <c r="B961" s="138">
        <f>'Expenditures 15-22'!G45</f>
        <v>10391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13249</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8698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8698</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3855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3855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233368</v>
      </c>
      <c r="D983" s="2" t="str">
        <f t="shared" si="14"/>
        <v>Error?</v>
      </c>
    </row>
    <row r="984" spans="1:4" x14ac:dyDescent="0.2">
      <c r="A984" s="10">
        <v>923</v>
      </c>
      <c r="D984" s="2" t="str">
        <f t="shared" si="14"/>
        <v>OK</v>
      </c>
    </row>
    <row r="985" spans="1:4" x14ac:dyDescent="0.2">
      <c r="A985" s="5">
        <v>924</v>
      </c>
      <c r="B985" s="138">
        <f>'Expenditures 15-22'!G72</f>
        <v>233368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259170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308009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124418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581581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496258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1077839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14325466</v>
      </c>
      <c r="C1093" s="2" t="s">
        <v>572</v>
      </c>
      <c r="D1093" s="2" t="str">
        <f t="shared" si="16"/>
        <v>Error?</v>
      </c>
    </row>
    <row r="1094" spans="1:4" x14ac:dyDescent="0.2">
      <c r="A1094" s="5">
        <v>1033</v>
      </c>
      <c r="B1094" s="138">
        <f>'Expenditures 15-22'!K16</f>
        <v>482187</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216444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498707</v>
      </c>
      <c r="C1106" s="2" t="s">
        <v>572</v>
      </c>
      <c r="D1106" s="2" t="str">
        <f t="shared" si="16"/>
        <v>Error?</v>
      </c>
    </row>
    <row r="1107" spans="1:4" x14ac:dyDescent="0.2">
      <c r="A1107" s="5">
        <v>1046</v>
      </c>
      <c r="B1107" s="138">
        <f>'Expenditures 15-22'!K15</f>
        <v>304358</v>
      </c>
      <c r="C1107" s="2" t="s">
        <v>572</v>
      </c>
      <c r="D1107" s="2" t="str">
        <f t="shared" si="16"/>
        <v>Error?</v>
      </c>
    </row>
    <row r="1108" spans="1:4" x14ac:dyDescent="0.2">
      <c r="A1108" s="5">
        <v>1047</v>
      </c>
      <c r="B1108" s="138">
        <f>'Expenditures 15-22'!K33</f>
        <v>18728309</v>
      </c>
      <c r="C1108" s="2" t="s">
        <v>572</v>
      </c>
      <c r="D1108" s="2" t="str">
        <f t="shared" si="16"/>
        <v>Error?</v>
      </c>
    </row>
    <row r="1109" spans="1:4" x14ac:dyDescent="0.2">
      <c r="A1109" s="5">
        <v>1048</v>
      </c>
      <c r="B1109" s="138">
        <f>'Expenditures 15-22'!K36</f>
        <v>682884</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504463</v>
      </c>
      <c r="C1111" s="2" t="s">
        <v>572</v>
      </c>
      <c r="D1111" s="2" t="str">
        <f t="shared" si="16"/>
        <v>Error?</v>
      </c>
    </row>
    <row r="1112" spans="1:4" x14ac:dyDescent="0.2">
      <c r="A1112" s="5">
        <v>1051</v>
      </c>
      <c r="B1112" s="138">
        <f>'Expenditures 15-22'!K39</f>
        <v>322840</v>
      </c>
      <c r="C1112" s="2" t="s">
        <v>572</v>
      </c>
      <c r="D1112" s="2" t="str">
        <f t="shared" si="16"/>
        <v>Error?</v>
      </c>
    </row>
    <row r="1113" spans="1:4" x14ac:dyDescent="0.2">
      <c r="A1113" s="5">
        <v>1052</v>
      </c>
      <c r="B1113" s="138">
        <f>'Expenditures 15-22'!K40</f>
        <v>950716</v>
      </c>
      <c r="C1113" s="2" t="s">
        <v>572</v>
      </c>
      <c r="D1113" s="2" t="str">
        <f t="shared" si="16"/>
        <v>Error?</v>
      </c>
    </row>
    <row r="1114" spans="1:4" x14ac:dyDescent="0.2">
      <c r="A1114" s="5">
        <v>1053</v>
      </c>
      <c r="B1114" s="138">
        <f>'Expenditures 15-22'!K41</f>
        <v>50713</v>
      </c>
      <c r="C1114" s="2" t="s">
        <v>572</v>
      </c>
      <c r="D1114" s="2" t="str">
        <f t="shared" si="16"/>
        <v>Error?</v>
      </c>
    </row>
    <row r="1115" spans="1:4" x14ac:dyDescent="0.2">
      <c r="A1115" s="5">
        <v>1054</v>
      </c>
      <c r="B1115" s="138">
        <f>'Expenditures 15-22'!K42</f>
        <v>2511616</v>
      </c>
      <c r="C1115" s="2" t="s">
        <v>572</v>
      </c>
      <c r="D1115" s="2" t="str">
        <f t="shared" si="16"/>
        <v>Error?</v>
      </c>
    </row>
    <row r="1116" spans="1:4" x14ac:dyDescent="0.2">
      <c r="A1116" s="5">
        <v>1055</v>
      </c>
      <c r="B1116" s="138">
        <f>'Expenditures 15-22'!K44</f>
        <v>789449</v>
      </c>
      <c r="C1116" s="2" t="s">
        <v>572</v>
      </c>
      <c r="D1116" s="2" t="str">
        <f t="shared" si="16"/>
        <v>Error?</v>
      </c>
    </row>
    <row r="1117" spans="1:4" x14ac:dyDescent="0.2">
      <c r="A1117" s="5">
        <v>1056</v>
      </c>
      <c r="B1117" s="138">
        <f>'Expenditures 15-22'!K45</f>
        <v>751065</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1540514</v>
      </c>
      <c r="C1119" s="2" t="s">
        <v>572</v>
      </c>
      <c r="D1119" s="2" t="str">
        <f t="shared" si="16"/>
        <v>Error?</v>
      </c>
    </row>
    <row r="1120" spans="1:4" x14ac:dyDescent="0.2">
      <c r="A1120" s="5">
        <v>1059</v>
      </c>
      <c r="B1120" s="138">
        <f>'Expenditures 15-22'!K49</f>
        <v>300902</v>
      </c>
      <c r="C1120" s="2" t="s">
        <v>572</v>
      </c>
      <c r="D1120" s="2" t="str">
        <f t="shared" si="16"/>
        <v>Error?</v>
      </c>
    </row>
    <row r="1121" spans="1:4" x14ac:dyDescent="0.2">
      <c r="A1121" s="5">
        <v>1060</v>
      </c>
      <c r="B1121" s="138">
        <f>'Expenditures 15-22'!K50</f>
        <v>422873</v>
      </c>
      <c r="C1121" s="2" t="s">
        <v>572</v>
      </c>
      <c r="D1121" s="2" t="str">
        <f t="shared" si="16"/>
        <v>Error?</v>
      </c>
    </row>
    <row r="1122" spans="1:4" x14ac:dyDescent="0.2">
      <c r="A1122" s="5">
        <v>1061</v>
      </c>
      <c r="B1122" s="138">
        <f>'Expenditures 15-22'!K53</f>
        <v>960883</v>
      </c>
      <c r="C1122" s="2" t="s">
        <v>572</v>
      </c>
      <c r="D1122" s="2" t="str">
        <f t="shared" si="16"/>
        <v>Error?</v>
      </c>
    </row>
    <row r="1123" spans="1:4" x14ac:dyDescent="0.2">
      <c r="A1123" s="5">
        <v>1062</v>
      </c>
      <c r="B1123" s="138">
        <f>'Expenditures 15-22'!K55</f>
        <v>1440873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1440873</v>
      </c>
      <c r="C1125" s="2" t="s">
        <v>572</v>
      </c>
      <c r="D1125" s="2" t="str">
        <f t="shared" si="16"/>
        <v>Error?</v>
      </c>
    </row>
    <row r="1126" spans="1:4" x14ac:dyDescent="0.2">
      <c r="A1126" s="5">
        <v>1065</v>
      </c>
      <c r="B1126" s="138">
        <f>'Expenditures 15-22'!K59</f>
        <v>388634</v>
      </c>
      <c r="C1126" s="2" t="s">
        <v>572</v>
      </c>
      <c r="D1126" s="2" t="str">
        <f t="shared" si="16"/>
        <v>Error?</v>
      </c>
    </row>
    <row r="1127" spans="1:4" x14ac:dyDescent="0.2">
      <c r="A1127" s="5">
        <v>1066</v>
      </c>
      <c r="B1127" s="138">
        <f>'Expenditures 15-22'!K60</f>
        <v>343843</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543992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1276469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98952</v>
      </c>
      <c r="C1136" s="2" t="s">
        <v>572</v>
      </c>
      <c r="D1136" s="2" t="str">
        <f t="shared" si="16"/>
        <v>Error?</v>
      </c>
    </row>
    <row r="1137" spans="1:4" x14ac:dyDescent="0.2">
      <c r="A1137" s="5">
        <v>1076</v>
      </c>
      <c r="B1137" s="138">
        <f>'Expenditures 15-22'!K70</f>
        <v>288583</v>
      </c>
      <c r="C1137" s="2" t="s">
        <v>572</v>
      </c>
      <c r="D1137" s="2" t="str">
        <f t="shared" si="16"/>
        <v>Error?</v>
      </c>
    </row>
    <row r="1138" spans="1:4" x14ac:dyDescent="0.2">
      <c r="A1138" s="10">
        <v>1077</v>
      </c>
      <c r="D1138" s="2" t="str">
        <f t="shared" si="16"/>
        <v>OK</v>
      </c>
    </row>
    <row r="1139" spans="1:4" x14ac:dyDescent="0.2">
      <c r="A1139" s="5">
        <v>1078</v>
      </c>
      <c r="B1139" s="138">
        <f>'Expenditures 15-22'!K71</f>
        <v>1413498</v>
      </c>
      <c r="C1139" s="2" t="s">
        <v>572</v>
      </c>
      <c r="D1139" s="2" t="str">
        <f t="shared" si="16"/>
        <v>Error?</v>
      </c>
    </row>
    <row r="1140" spans="1:4" x14ac:dyDescent="0.2">
      <c r="A1140" s="10">
        <v>1079</v>
      </c>
      <c r="D1140" s="2" t="str">
        <f t="shared" si="16"/>
        <v>OK</v>
      </c>
    </row>
    <row r="1141" spans="1:4" x14ac:dyDescent="0.2">
      <c r="A1141" s="5">
        <v>1080</v>
      </c>
      <c r="B1141" s="138">
        <f>'Expenditures 15-22'!K72</f>
        <v>1801033</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9531388</v>
      </c>
      <c r="C1143" s="2" t="s">
        <v>572</v>
      </c>
      <c r="D1143" s="2" t="str">
        <f t="shared" si="16"/>
        <v>Error?</v>
      </c>
    </row>
    <row r="1144" spans="1:4" x14ac:dyDescent="0.2">
      <c r="A1144" s="5">
        <v>1083</v>
      </c>
      <c r="B1144" s="138">
        <f>'Expenditures 15-22'!K75</f>
        <v>83805</v>
      </c>
      <c r="C1144" s="2" t="s">
        <v>572</v>
      </c>
      <c r="D1144" s="2" t="str">
        <f t="shared" si="16"/>
        <v>Error?</v>
      </c>
    </row>
    <row r="1145" spans="1:4" x14ac:dyDescent="0.2">
      <c r="A1145" s="5">
        <v>1084</v>
      </c>
      <c r="B1145" s="138">
        <f>'Expenditures 15-22'!K102</f>
        <v>604674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28948176</v>
      </c>
      <c r="C1152" s="2" t="s">
        <v>572</v>
      </c>
      <c r="D1152" s="2" t="str">
        <f t="shared" si="17"/>
        <v>Error?</v>
      </c>
    </row>
    <row r="1153" spans="1:4" x14ac:dyDescent="0.2">
      <c r="A1153" s="5">
        <v>1092</v>
      </c>
      <c r="B1153" s="138">
        <f>'Expenditures 15-22'!K115</f>
        <v>-2013104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1203328</v>
      </c>
      <c r="D1221" s="2" t="str">
        <f t="shared" si="18"/>
        <v>Error?</v>
      </c>
    </row>
    <row r="1222" spans="1:4" x14ac:dyDescent="0.2">
      <c r="A1222" s="10">
        <v>1161</v>
      </c>
      <c r="D1222" s="2" t="str">
        <f t="shared" si="18"/>
        <v>OK</v>
      </c>
    </row>
    <row r="1223" spans="1:4" x14ac:dyDescent="0.2">
      <c r="A1223" s="5">
        <v>1162</v>
      </c>
      <c r="B1223" s="138">
        <f>'Expenditures 15-22'!C127</f>
        <v>1203328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1203328</v>
      </c>
      <c r="C1225" s="2" t="s">
        <v>572</v>
      </c>
      <c r="D1225" s="2" t="str">
        <f t="shared" si="18"/>
        <v>Error?</v>
      </c>
    </row>
    <row r="1226" spans="1:4" x14ac:dyDescent="0.2">
      <c r="A1226" s="5">
        <v>1165</v>
      </c>
      <c r="B1226" s="138">
        <f>'Expenditures 15-22'!C151</f>
        <v>1203328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275366</v>
      </c>
      <c r="D1229" s="2" t="str">
        <f t="shared" si="18"/>
        <v>Error?</v>
      </c>
    </row>
    <row r="1230" spans="1:4" x14ac:dyDescent="0.2">
      <c r="A1230" s="10">
        <v>1169</v>
      </c>
      <c r="D1230" s="2" t="str">
        <f t="shared" si="18"/>
        <v>OK</v>
      </c>
    </row>
    <row r="1231" spans="1:4" x14ac:dyDescent="0.2">
      <c r="A1231" s="5">
        <v>1170</v>
      </c>
      <c r="B1231" s="138">
        <f>'Expenditures 15-22'!D127</f>
        <v>275366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275366</v>
      </c>
      <c r="C1233" s="2" t="s">
        <v>572</v>
      </c>
      <c r="D1233" s="2" t="str">
        <f t="shared" si="18"/>
        <v>Error?</v>
      </c>
    </row>
    <row r="1234" spans="1:4" x14ac:dyDescent="0.2">
      <c r="A1234" s="5">
        <v>1173</v>
      </c>
      <c r="B1234" s="138">
        <f>'Expenditures 15-22'!D151</f>
        <v>275366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588716</v>
      </c>
      <c r="D1237" s="2" t="str">
        <f t="shared" si="18"/>
        <v>Error?</v>
      </c>
    </row>
    <row r="1238" spans="1:4" x14ac:dyDescent="0.2">
      <c r="A1238" s="10">
        <v>1177</v>
      </c>
      <c r="D1238" s="2" t="str">
        <f t="shared" si="18"/>
        <v>OK</v>
      </c>
    </row>
    <row r="1239" spans="1:4" x14ac:dyDescent="0.2">
      <c r="A1239" s="5">
        <v>1178</v>
      </c>
      <c r="B1239" s="138">
        <f>'Expenditures 15-22'!E127</f>
        <v>588716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588716</v>
      </c>
      <c r="C1241" s="2" t="s">
        <v>572</v>
      </c>
      <c r="D1241" s="2" t="str">
        <f t="shared" si="18"/>
        <v>Error?</v>
      </c>
    </row>
    <row r="1242" spans="1:4" x14ac:dyDescent="0.2">
      <c r="A1242" s="5">
        <v>1181</v>
      </c>
      <c r="B1242" s="138">
        <f>'Expenditures 15-22'!E151</f>
        <v>688208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670194</v>
      </c>
      <c r="D1245" s="2" t="str">
        <f t="shared" si="18"/>
        <v>Error?</v>
      </c>
    </row>
    <row r="1246" spans="1:4" x14ac:dyDescent="0.2">
      <c r="A1246" s="10">
        <v>1185</v>
      </c>
      <c r="D1246" s="2" t="str">
        <f t="shared" si="18"/>
        <v>OK</v>
      </c>
    </row>
    <row r="1247" spans="1:4" x14ac:dyDescent="0.2">
      <c r="A1247" s="5">
        <v>1186</v>
      </c>
      <c r="B1247" s="138">
        <f>'Expenditures 15-22'!F127</f>
        <v>670194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670194</v>
      </c>
      <c r="C1249" s="2" t="s">
        <v>572</v>
      </c>
      <c r="D1249" s="2" t="str">
        <f t="shared" si="18"/>
        <v>Error?</v>
      </c>
    </row>
    <row r="1250" spans="1:4" x14ac:dyDescent="0.2">
      <c r="A1250" s="5">
        <v>1189</v>
      </c>
      <c r="B1250" s="138">
        <f>'Expenditures 15-22'!F151</f>
        <v>670194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957486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957486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957486</v>
      </c>
      <c r="C1258" s="2" t="s">
        <v>572</v>
      </c>
      <c r="D1258" s="2" t="str">
        <f t="shared" si="18"/>
        <v>Error?</v>
      </c>
    </row>
    <row r="1259" spans="1:4" x14ac:dyDescent="0.2">
      <c r="A1259" s="5">
        <v>1198</v>
      </c>
      <c r="B1259" s="138">
        <f>'Expenditures 15-22'!G151</f>
        <v>957486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3695090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3695090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3695090</v>
      </c>
      <c r="C1281" s="2" t="s">
        <v>572</v>
      </c>
      <c r="D1281" s="2" t="str">
        <f t="shared" si="19"/>
        <v>Error?</v>
      </c>
    </row>
    <row r="1282" spans="1:4" x14ac:dyDescent="0.2">
      <c r="A1282" s="5">
        <v>1221</v>
      </c>
      <c r="B1282" s="138">
        <f>'Expenditures 15-22'!K139</f>
        <v>99492</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3794582</v>
      </c>
      <c r="C1288" s="2" t="s">
        <v>572</v>
      </c>
      <c r="D1288" s="2" t="str">
        <f t="shared" si="19"/>
        <v>Error?</v>
      </c>
    </row>
    <row r="1289" spans="1:4" x14ac:dyDescent="0.2">
      <c r="A1289" s="5">
        <v>1228</v>
      </c>
      <c r="B1289" s="138">
        <f>'Expenditures 15-22'!K152</f>
        <v>658747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1742</v>
      </c>
      <c r="D1307" s="2" t="str">
        <f t="shared" si="19"/>
        <v>Error?</v>
      </c>
    </row>
    <row r="1308" spans="1:4" x14ac:dyDescent="0.2">
      <c r="A1308" s="5">
        <v>1247</v>
      </c>
      <c r="B1308" s="138">
        <f>'Expenditures 15-22'!E172</f>
        <v>1742</v>
      </c>
      <c r="C1308" s="2" t="s">
        <v>572</v>
      </c>
      <c r="D1308" s="2" t="str">
        <f t="shared" si="19"/>
        <v>Error?</v>
      </c>
    </row>
    <row r="1309" spans="1:4" x14ac:dyDescent="0.2">
      <c r="A1309" s="5">
        <v>1248</v>
      </c>
      <c r="B1309" s="138">
        <f>'Expenditures 15-22'!E174</f>
        <v>1742</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477509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2110071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2587580</v>
      </c>
      <c r="C1317" s="2" t="s">
        <v>572</v>
      </c>
      <c r="D1317" s="2" t="str">
        <f t="shared" si="19"/>
        <v>Error?</v>
      </c>
    </row>
    <row r="1318" spans="1:4" x14ac:dyDescent="0.2">
      <c r="A1318" s="5">
        <v>1257</v>
      </c>
      <c r="B1318" s="138">
        <f>'Expenditures 15-22'!H174</f>
        <v>2587580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477509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2110071</v>
      </c>
      <c r="C1329" s="2" t="s">
        <v>572</v>
      </c>
      <c r="D1329" s="2" t="str">
        <f t="shared" si="19"/>
        <v>Error?</v>
      </c>
    </row>
    <row r="1330" spans="1:4" x14ac:dyDescent="0.2">
      <c r="A1330" s="5">
        <v>1269</v>
      </c>
      <c r="B1330" s="138">
        <f>'Expenditures 15-22'!K171</f>
        <v>1742</v>
      </c>
      <c r="C1330" s="2" t="s">
        <v>572</v>
      </c>
      <c r="D1330" s="2" t="str">
        <f t="shared" si="19"/>
        <v>Error?</v>
      </c>
    </row>
    <row r="1331" spans="1:4" x14ac:dyDescent="0.2">
      <c r="A1331" s="5">
        <v>1270</v>
      </c>
      <c r="B1331" s="138">
        <f>'Expenditures 15-22'!K172</f>
        <v>2589322</v>
      </c>
      <c r="C1331" s="2" t="s">
        <v>572</v>
      </c>
      <c r="D1331" s="2" t="str">
        <f t="shared" si="19"/>
        <v>Error?</v>
      </c>
    </row>
    <row r="1332" spans="1:4" x14ac:dyDescent="0.2">
      <c r="A1332" s="5">
        <v>1271</v>
      </c>
      <c r="B1332" s="138">
        <f>'Expenditures 15-22'!K174</f>
        <v>2589322</v>
      </c>
      <c r="C1332" s="2" t="s">
        <v>572</v>
      </c>
      <c r="D1332" s="2" t="str">
        <f t="shared" si="19"/>
        <v>Error?</v>
      </c>
    </row>
    <row r="1333" spans="1:4" x14ac:dyDescent="0.2">
      <c r="A1333" s="5">
        <v>1272</v>
      </c>
      <c r="B1333" s="138">
        <f>'Expenditures 15-22'!K175</f>
        <v>-1271977</v>
      </c>
      <c r="C1333" s="2" t="s">
        <v>572</v>
      </c>
      <c r="D1333" s="2" t="str">
        <f t="shared" si="19"/>
        <v>Error?</v>
      </c>
    </row>
    <row r="1334" spans="1:4" x14ac:dyDescent="0.2">
      <c r="A1334" s="10">
        <v>1273</v>
      </c>
      <c r="D1334" s="2" t="str">
        <f t="shared" si="19"/>
        <v>OK</v>
      </c>
    </row>
    <row r="1335" spans="1:4" x14ac:dyDescent="0.2">
      <c r="A1335" s="5">
        <v>1274</v>
      </c>
      <c r="B1335" s="138">
        <f>'Expenditures 15-22'!C182</f>
        <v>18650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18650</v>
      </c>
      <c r="C1339" s="2" t="s">
        <v>572</v>
      </c>
      <c r="D1339" s="2" t="str">
        <f t="shared" si="19"/>
        <v>Error?</v>
      </c>
    </row>
    <row r="1340" spans="1:4" x14ac:dyDescent="0.2">
      <c r="A1340" s="5">
        <v>1279</v>
      </c>
      <c r="B1340" s="138">
        <f>'Expenditures 15-22'!C210</f>
        <v>18650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1618196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1618196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1618196</v>
      </c>
      <c r="C1353" s="2" t="s">
        <v>572</v>
      </c>
      <c r="D1353" s="2" t="str">
        <f t="shared" si="20"/>
        <v>Error?</v>
      </c>
    </row>
    <row r="1354" spans="1:4" x14ac:dyDescent="0.2">
      <c r="A1354" s="5">
        <v>1293</v>
      </c>
      <c r="B1354" s="138">
        <f>'Expenditures 15-22'!F182</f>
        <v>638323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638323</v>
      </c>
      <c r="C1358" s="2" t="s">
        <v>572</v>
      </c>
      <c r="D1358" s="2" t="str">
        <f t="shared" si="20"/>
        <v>Error?</v>
      </c>
    </row>
    <row r="1359" spans="1:4" x14ac:dyDescent="0.2">
      <c r="A1359" s="5">
        <v>1298</v>
      </c>
      <c r="B1359" s="138">
        <f>'Expenditures 15-22'!F210</f>
        <v>638323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2275169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2275169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2275169</v>
      </c>
      <c r="C1388" s="2" t="s">
        <v>572</v>
      </c>
      <c r="D1388" s="2" t="str">
        <f t="shared" si="20"/>
        <v>Error?</v>
      </c>
    </row>
    <row r="1389" spans="1:4" x14ac:dyDescent="0.2">
      <c r="A1389" s="5">
        <v>1328</v>
      </c>
      <c r="B1389" s="138">
        <f>'Expenditures 15-22'!K211</f>
        <v>-68332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5845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2875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12124</v>
      </c>
      <c r="D1408" s="2" t="str">
        <f t="shared" si="21"/>
        <v>Error?</v>
      </c>
    </row>
    <row r="1409" spans="1:4" x14ac:dyDescent="0.2">
      <c r="A1409" s="5">
        <v>1348</v>
      </c>
      <c r="B1409" s="138">
        <f>'Expenditures 15-22'!D224</f>
        <v>10022</v>
      </c>
      <c r="D1409" s="2" t="str">
        <f t="shared" si="21"/>
        <v>Error?</v>
      </c>
    </row>
    <row r="1410" spans="1:4" x14ac:dyDescent="0.2">
      <c r="A1410" s="5">
        <v>1349</v>
      </c>
      <c r="B1410" s="138">
        <f>'Expenditures 15-22'!D229</f>
        <v>325844</v>
      </c>
      <c r="C1410" s="2" t="s">
        <v>572</v>
      </c>
      <c r="D1410" s="2" t="str">
        <f t="shared" si="21"/>
        <v>Error?</v>
      </c>
    </row>
    <row r="1411" spans="1:4" x14ac:dyDescent="0.2">
      <c r="A1411" s="5">
        <v>1350</v>
      </c>
      <c r="B1411" s="138">
        <f>'Expenditures 15-22'!D232</f>
        <v>8874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70450</v>
      </c>
      <c r="D1413" s="2" t="str">
        <f t="shared" si="21"/>
        <v>Error?</v>
      </c>
    </row>
    <row r="1414" spans="1:4" x14ac:dyDescent="0.2">
      <c r="A1414" s="5">
        <v>1353</v>
      </c>
      <c r="B1414" s="138">
        <f>'Expenditures 15-22'!D235</f>
        <v>4457</v>
      </c>
      <c r="D1414" s="2" t="str">
        <f t="shared" si="21"/>
        <v>Error?</v>
      </c>
    </row>
    <row r="1415" spans="1:4" x14ac:dyDescent="0.2">
      <c r="A1415" s="5">
        <v>1354</v>
      </c>
      <c r="B1415" s="138">
        <f>'Expenditures 15-22'!D236</f>
        <v>10608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94389</v>
      </c>
      <c r="C1417" s="2" t="s">
        <v>572</v>
      </c>
      <c r="D1417" s="2" t="str">
        <f t="shared" si="21"/>
        <v>Error?</v>
      </c>
    </row>
    <row r="1418" spans="1:4" x14ac:dyDescent="0.2">
      <c r="A1418" s="5">
        <v>1357</v>
      </c>
      <c r="B1418" s="138">
        <f>'Expenditures 15-22'!D240</f>
        <v>17337</v>
      </c>
      <c r="D1418" s="2" t="str">
        <f t="shared" si="21"/>
        <v>Error?</v>
      </c>
    </row>
    <row r="1419" spans="1:4" x14ac:dyDescent="0.2">
      <c r="A1419" s="5">
        <v>1358</v>
      </c>
      <c r="B1419" s="138">
        <f>'Expenditures 15-22'!D241</f>
        <v>31068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48405</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16771</v>
      </c>
      <c r="D1423" s="2" t="str">
        <f t="shared" si="21"/>
        <v>Error?</v>
      </c>
    </row>
    <row r="1424" spans="1:4" x14ac:dyDescent="0.2">
      <c r="A1424" s="5">
        <v>1363</v>
      </c>
      <c r="B1424" s="138">
        <f>'Expenditures 15-22'!D257</f>
        <v>26558</v>
      </c>
      <c r="C1424" s="2" t="s">
        <v>572</v>
      </c>
      <c r="D1424" s="2" t="str">
        <f t="shared" si="21"/>
        <v>Error?</v>
      </c>
    </row>
    <row r="1425" spans="1:4" x14ac:dyDescent="0.2">
      <c r="A1425" s="5">
        <v>1364</v>
      </c>
      <c r="B1425" s="138">
        <f>'Expenditures 15-22'!D259</f>
        <v>64271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64271</v>
      </c>
      <c r="C1427" s="2" t="s">
        <v>572</v>
      </c>
      <c r="D1427" s="2" t="str">
        <f t="shared" si="21"/>
        <v>Error?</v>
      </c>
    </row>
    <row r="1428" spans="1:4" x14ac:dyDescent="0.2">
      <c r="A1428" s="5">
        <v>1367</v>
      </c>
      <c r="B1428" s="138">
        <f>'Expenditures 15-22'!D263</f>
        <v>16331</v>
      </c>
      <c r="D1428" s="2" t="str">
        <f t="shared" si="21"/>
        <v>Error?</v>
      </c>
    </row>
    <row r="1429" spans="1:4" x14ac:dyDescent="0.2">
      <c r="A1429" s="5">
        <v>1368</v>
      </c>
      <c r="B1429" s="138">
        <f>'Expenditures 15-22'!D264</f>
        <v>27970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231006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13041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288348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14069</v>
      </c>
      <c r="D1439" s="2" t="str">
        <f t="shared" si="21"/>
        <v>Error?</v>
      </c>
    </row>
    <row r="1440" spans="1:4" x14ac:dyDescent="0.2">
      <c r="A1440" s="5">
        <v>1379</v>
      </c>
      <c r="B1440" s="138">
        <f>'Expenditures 15-22'!D275</f>
        <v>10947</v>
      </c>
      <c r="D1440" s="2" t="str">
        <f t="shared" si="21"/>
        <v>Error?</v>
      </c>
    </row>
    <row r="1441" spans="1:4" x14ac:dyDescent="0.2">
      <c r="A1441" s="10">
        <v>1380</v>
      </c>
      <c r="D1441" s="2" t="str">
        <f t="shared" si="21"/>
        <v>OK</v>
      </c>
    </row>
    <row r="1442" spans="1:4" x14ac:dyDescent="0.2">
      <c r="A1442" s="5">
        <v>1381</v>
      </c>
      <c r="B1442" s="138">
        <f>'Expenditures 15-22'!D276</f>
        <v>71749</v>
      </c>
      <c r="D1442" s="2" t="str">
        <f t="shared" si="21"/>
        <v>Error?</v>
      </c>
    </row>
    <row r="1443" spans="1:4" x14ac:dyDescent="0.2">
      <c r="A1443" s="10">
        <v>1382</v>
      </c>
      <c r="D1443" s="2" t="str">
        <f t="shared" si="21"/>
        <v>OK</v>
      </c>
    </row>
    <row r="1444" spans="1:4" x14ac:dyDescent="0.2">
      <c r="A1444" s="5">
        <v>1383</v>
      </c>
      <c r="B1444" s="138">
        <f>'Expenditures 15-22'!D277</f>
        <v>96765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618736</v>
      </c>
      <c r="C1446" s="2" t="s">
        <v>572</v>
      </c>
      <c r="D1446" s="2" t="str">
        <f t="shared" si="21"/>
        <v>Error?</v>
      </c>
    </row>
    <row r="1447" spans="1:4" x14ac:dyDescent="0.2">
      <c r="A1447" s="5">
        <v>1386</v>
      </c>
      <c r="B1447" s="138">
        <f>'Expenditures 15-22'!D280</f>
        <v>315</v>
      </c>
      <c r="D1447" s="2" t="str">
        <f t="shared" si="21"/>
        <v>Error?</v>
      </c>
    </row>
    <row r="1448" spans="1:4" x14ac:dyDescent="0.2">
      <c r="A1448" s="5">
        <v>1387</v>
      </c>
      <c r="B1448" s="138">
        <f>'Expenditures 15-22'!D295</f>
        <v>1022050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5845</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2875</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12124</v>
      </c>
      <c r="C1472" s="2" t="s">
        <v>572</v>
      </c>
      <c r="D1472" s="2" t="str">
        <f t="shared" si="22"/>
        <v>Error?</v>
      </c>
    </row>
    <row r="1473" spans="1:4" x14ac:dyDescent="0.2">
      <c r="A1473" s="5">
        <v>1412</v>
      </c>
      <c r="B1473" s="138">
        <f>'Expenditures 15-22'!K224</f>
        <v>10022</v>
      </c>
      <c r="C1473" s="2" t="s">
        <v>572</v>
      </c>
      <c r="D1473" s="2" t="str">
        <f t="shared" si="22"/>
        <v>Error?</v>
      </c>
    </row>
    <row r="1474" spans="1:4" x14ac:dyDescent="0.2">
      <c r="A1474" s="5">
        <v>1413</v>
      </c>
      <c r="B1474" s="138">
        <f>'Expenditures 15-22'!K229</f>
        <v>325844</v>
      </c>
      <c r="C1474" s="2" t="s">
        <v>572</v>
      </c>
      <c r="D1474" s="2" t="str">
        <f t="shared" si="22"/>
        <v>Error?</v>
      </c>
    </row>
    <row r="1475" spans="1:4" x14ac:dyDescent="0.2">
      <c r="A1475" s="5">
        <v>1414</v>
      </c>
      <c r="B1475" s="138">
        <f>'Expenditures 15-22'!K232</f>
        <v>8874</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70450</v>
      </c>
      <c r="C1477" s="2" t="s">
        <v>572</v>
      </c>
      <c r="D1477" s="2" t="str">
        <f t="shared" si="22"/>
        <v>Error?</v>
      </c>
    </row>
    <row r="1478" spans="1:4" x14ac:dyDescent="0.2">
      <c r="A1478" s="5">
        <v>1417</v>
      </c>
      <c r="B1478" s="138">
        <f>'Expenditures 15-22'!K235</f>
        <v>4457</v>
      </c>
      <c r="C1478" s="2" t="s">
        <v>572</v>
      </c>
      <c r="D1478" s="2" t="str">
        <f t="shared" si="22"/>
        <v>Error?</v>
      </c>
    </row>
    <row r="1479" spans="1:4" x14ac:dyDescent="0.2">
      <c r="A1479" s="5">
        <v>1418</v>
      </c>
      <c r="B1479" s="138">
        <f>'Expenditures 15-22'!K236</f>
        <v>10608</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94389</v>
      </c>
      <c r="C1481" s="2" t="s">
        <v>572</v>
      </c>
      <c r="D1481" s="2" t="str">
        <f t="shared" si="22"/>
        <v>Error?</v>
      </c>
    </row>
    <row r="1482" spans="1:4" x14ac:dyDescent="0.2">
      <c r="A1482" s="5">
        <v>1421</v>
      </c>
      <c r="B1482" s="138">
        <f>'Expenditures 15-22'!K240</f>
        <v>17337</v>
      </c>
      <c r="C1482" s="2" t="s">
        <v>572</v>
      </c>
      <c r="D1482" s="2" t="str">
        <f t="shared" si="22"/>
        <v>Error?</v>
      </c>
    </row>
    <row r="1483" spans="1:4" x14ac:dyDescent="0.2">
      <c r="A1483" s="5">
        <v>1422</v>
      </c>
      <c r="B1483" s="138">
        <f>'Expenditures 15-22'!K241</f>
        <v>31068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48405</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16771</v>
      </c>
      <c r="C1487" s="2" t="s">
        <v>572</v>
      </c>
      <c r="D1487" s="2" t="str">
        <f t="shared" si="22"/>
        <v>Error?</v>
      </c>
    </row>
    <row r="1488" spans="1:4" x14ac:dyDescent="0.2">
      <c r="A1488" s="5">
        <v>1427</v>
      </c>
      <c r="B1488" s="138">
        <f>'Expenditures 15-22'!K257</f>
        <v>26558</v>
      </c>
      <c r="C1488" s="2" t="s">
        <v>572</v>
      </c>
      <c r="D1488" s="2" t="str">
        <f t="shared" si="22"/>
        <v>Error?</v>
      </c>
    </row>
    <row r="1489" spans="1:4" x14ac:dyDescent="0.2">
      <c r="A1489" s="5">
        <v>1428</v>
      </c>
      <c r="B1489" s="138">
        <f>'Expenditures 15-22'!K259</f>
        <v>64271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64271</v>
      </c>
      <c r="C1491" s="2" t="s">
        <v>572</v>
      </c>
      <c r="D1491" s="2" t="str">
        <f t="shared" si="22"/>
        <v>Error?</v>
      </c>
    </row>
    <row r="1492" spans="1:4" x14ac:dyDescent="0.2">
      <c r="A1492" s="5">
        <v>1431</v>
      </c>
      <c r="B1492" s="138">
        <f>'Expenditures 15-22'!K263</f>
        <v>16331</v>
      </c>
      <c r="C1492" s="2" t="s">
        <v>572</v>
      </c>
      <c r="D1492" s="2" t="str">
        <f t="shared" si="22"/>
        <v>Error?</v>
      </c>
    </row>
    <row r="1493" spans="1:4" x14ac:dyDescent="0.2">
      <c r="A1493" s="5">
        <v>1432</v>
      </c>
      <c r="B1493" s="138">
        <f>'Expenditures 15-22'!K264</f>
        <v>27970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231006</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13041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288348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14069</v>
      </c>
      <c r="C1503" s="2" t="s">
        <v>572</v>
      </c>
      <c r="D1503" s="2" t="str">
        <f t="shared" si="22"/>
        <v>Error?</v>
      </c>
    </row>
    <row r="1504" spans="1:4" x14ac:dyDescent="0.2">
      <c r="A1504" s="5">
        <v>1443</v>
      </c>
      <c r="B1504" s="138">
        <f>'Expenditures 15-22'!K275</f>
        <v>10947</v>
      </c>
      <c r="C1504" s="2" t="s">
        <v>572</v>
      </c>
      <c r="D1504" s="2" t="str">
        <f t="shared" si="22"/>
        <v>Error?</v>
      </c>
    </row>
    <row r="1505" spans="1:4" x14ac:dyDescent="0.2">
      <c r="A1505" s="10">
        <v>1444</v>
      </c>
      <c r="D1505" s="2" t="str">
        <f t="shared" si="22"/>
        <v>OK</v>
      </c>
    </row>
    <row r="1506" spans="1:4" x14ac:dyDescent="0.2">
      <c r="A1506" s="5">
        <v>1445</v>
      </c>
      <c r="B1506" s="138">
        <f>'Expenditures 15-22'!K276</f>
        <v>71749</v>
      </c>
      <c r="C1506" s="2" t="s">
        <v>572</v>
      </c>
      <c r="D1506" s="2" t="str">
        <f t="shared" si="22"/>
        <v>Error?</v>
      </c>
    </row>
    <row r="1507" spans="1:4" x14ac:dyDescent="0.2">
      <c r="A1507" s="10">
        <v>1446</v>
      </c>
      <c r="D1507" s="2" t="str">
        <f t="shared" si="22"/>
        <v>OK</v>
      </c>
    </row>
    <row r="1508" spans="1:4" x14ac:dyDescent="0.2">
      <c r="A1508" s="5">
        <v>1447</v>
      </c>
      <c r="B1508" s="138">
        <f>'Expenditures 15-22'!K277</f>
        <v>96765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618736</v>
      </c>
      <c r="C1510" s="2" t="s">
        <v>572</v>
      </c>
      <c r="D1510" s="2" t="str">
        <f t="shared" si="22"/>
        <v>Error?</v>
      </c>
    </row>
    <row r="1511" spans="1:4" x14ac:dyDescent="0.2">
      <c r="A1511" s="5">
        <v>1450</v>
      </c>
      <c r="B1511" s="138">
        <f>'Expenditures 15-22'!K280</f>
        <v>315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1022050</v>
      </c>
      <c r="C1517" s="2" t="s">
        <v>572</v>
      </c>
      <c r="D1517" s="2" t="str">
        <f t="shared" si="22"/>
        <v>Error?</v>
      </c>
    </row>
    <row r="1518" spans="1:4" x14ac:dyDescent="0.2">
      <c r="A1518" s="5">
        <v>1457</v>
      </c>
      <c r="B1518" s="138">
        <f>'Expenditures 15-22'!K296</f>
        <v>-221994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102440</v>
      </c>
      <c r="D1534" s="2" t="str">
        <f t="shared" si="22"/>
        <v>Error?</v>
      </c>
    </row>
    <row r="1535" spans="1:4" x14ac:dyDescent="0.2">
      <c r="A1535" s="5">
        <v>1474</v>
      </c>
      <c r="B1535" s="138">
        <f>'Expenditures 15-22'!E303</f>
        <v>102440</v>
      </c>
      <c r="C1535" s="2" t="s">
        <v>572</v>
      </c>
      <c r="D1535" s="2" t="str">
        <f t="shared" ref="D1535:D1598" si="23">IF(ISBLANK(B1535),"OK",IF(A1535-B1535=0,"OK","Error?"))</f>
        <v>Error?</v>
      </c>
    </row>
    <row r="1536" spans="1:4" x14ac:dyDescent="0.2">
      <c r="A1536" s="5">
        <v>1475</v>
      </c>
      <c r="B1536" s="138">
        <f>'Expenditures 15-22'!E312</f>
        <v>102440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102440</v>
      </c>
      <c r="C1558" s="2" t="s">
        <v>572</v>
      </c>
      <c r="D1558" s="2" t="str">
        <f t="shared" si="23"/>
        <v>Error?</v>
      </c>
    </row>
    <row r="1559" spans="1:4" x14ac:dyDescent="0.2">
      <c r="A1559" s="5">
        <v>1498</v>
      </c>
      <c r="B1559" s="138">
        <f>'Expenditures 15-22'!K303</f>
        <v>102440</v>
      </c>
      <c r="C1559" s="2" t="s">
        <v>572</v>
      </c>
      <c r="D1559" s="2" t="str">
        <f t="shared" si="23"/>
        <v>Error?</v>
      </c>
    </row>
    <row r="1560" spans="1:4" x14ac:dyDescent="0.2">
      <c r="A1560" s="5">
        <v>1499</v>
      </c>
      <c r="B1560" s="138">
        <f>'Expenditures 15-22'!K312</f>
        <v>102440</v>
      </c>
      <c r="C1560" s="2" t="s">
        <v>572</v>
      </c>
      <c r="D1560" s="2" t="str">
        <f t="shared" si="23"/>
        <v>Error?</v>
      </c>
    </row>
    <row r="1561" spans="1:4" x14ac:dyDescent="0.2">
      <c r="A1561" s="5">
        <v>1500</v>
      </c>
      <c r="B1561" s="138">
        <f>'Expenditures 15-22'!K313</f>
        <v>-96950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13222985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11032951</v>
      </c>
      <c r="C1630" s="2" t="s">
        <v>572</v>
      </c>
      <c r="D1630" s="2" t="str">
        <f t="shared" si="24"/>
        <v>Error?</v>
      </c>
    </row>
    <row r="1631" spans="1:4" x14ac:dyDescent="0.2">
      <c r="A1631" s="5">
        <v>1570</v>
      </c>
      <c r="B1631" s="138">
        <f>'Acct Summary 7-8'!D79</f>
        <v>1686560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1403807</v>
      </c>
      <c r="C1644" s="2" t="s">
        <v>572</v>
      </c>
      <c r="D1644" s="2" t="str">
        <f t="shared" si="24"/>
        <v>Error?</v>
      </c>
    </row>
    <row r="1645" spans="1:4" x14ac:dyDescent="0.2">
      <c r="A1645" s="5">
        <v>1584</v>
      </c>
      <c r="B1645" s="138">
        <f>'Acct Summary 7-8'!E79</f>
        <v>52745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1198</v>
      </c>
      <c r="C1658" s="2" t="s">
        <v>572</v>
      </c>
      <c r="D1658" s="2" t="str">
        <f t="shared" si="24"/>
        <v>Error?</v>
      </c>
    </row>
    <row r="1659" spans="1:4" x14ac:dyDescent="0.2">
      <c r="A1659" s="5">
        <v>1598</v>
      </c>
      <c r="B1659" s="138">
        <f>'Acct Summary 7-8'!F79</f>
        <v>331288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262956</v>
      </c>
      <c r="C1672" s="2" t="s">
        <v>572</v>
      </c>
      <c r="D1672" s="2" t="str">
        <f t="shared" si="25"/>
        <v>Error?</v>
      </c>
    </row>
    <row r="1673" spans="1:4" x14ac:dyDescent="0.2">
      <c r="A1673" s="5">
        <v>1612</v>
      </c>
      <c r="B1673" s="138">
        <f>'Acct Summary 7-8'!G79</f>
        <v>509163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287169</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6005493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22565171</v>
      </c>
      <c r="C1744" s="2" t="s">
        <v>572</v>
      </c>
      <c r="D1744" s="2" t="str">
        <f t="shared" si="26"/>
        <v>Error?</v>
      </c>
    </row>
    <row r="1745" spans="1:5" x14ac:dyDescent="0.2">
      <c r="A1745" s="5">
        <v>1684</v>
      </c>
      <c r="B1745" s="138">
        <f>'Tax Sched 23'!B5</f>
        <v>3569802</v>
      </c>
      <c r="C1745" s="2" t="s">
        <v>572</v>
      </c>
      <c r="D1745" s="2" t="str">
        <f t="shared" si="26"/>
        <v>Error?</v>
      </c>
    </row>
    <row r="1746" spans="1:5" x14ac:dyDescent="0.2">
      <c r="A1746" s="5">
        <v>1685</v>
      </c>
      <c r="B1746" s="138">
        <f>'Tax Sched 23'!B6</f>
        <v>764527</v>
      </c>
      <c r="C1746" s="2" t="s">
        <v>572</v>
      </c>
      <c r="D1746" s="2" t="str">
        <f t="shared" si="26"/>
        <v>Error?</v>
      </c>
    </row>
    <row r="1747" spans="1:5" x14ac:dyDescent="0.2">
      <c r="A1747" s="5">
        <v>1686</v>
      </c>
      <c r="B1747" s="138">
        <f>'Tax Sched 23'!B7</f>
        <v>1004984</v>
      </c>
      <c r="C1747" s="2" t="s">
        <v>572</v>
      </c>
      <c r="D1747" s="2" t="str">
        <f t="shared" si="26"/>
        <v>Error?</v>
      </c>
    </row>
    <row r="1748" spans="1:5" x14ac:dyDescent="0.2">
      <c r="A1748" s="5">
        <v>1687</v>
      </c>
      <c r="B1748" s="138">
        <f>'Tax Sched 23'!B8</f>
        <v>234885</v>
      </c>
      <c r="C1748" s="2" t="s">
        <v>572</v>
      </c>
      <c r="D1748" s="2" t="str">
        <f t="shared" si="26"/>
        <v>Error?</v>
      </c>
    </row>
    <row r="1749" spans="1:5" x14ac:dyDescent="0.2">
      <c r="A1749" s="5">
        <v>1688</v>
      </c>
      <c r="B1749" s="138">
        <f>'Tax Sched 23'!B10</f>
        <v>94453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66536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28535243</v>
      </c>
      <c r="C1759" s="2" t="s">
        <v>572</v>
      </c>
      <c r="D1759" s="2" t="str">
        <f t="shared" si="26"/>
        <v>Error?</v>
      </c>
    </row>
    <row r="1760" spans="1:5" x14ac:dyDescent="0.2">
      <c r="A1760" s="5">
        <v>1699</v>
      </c>
      <c r="B1760" s="138">
        <f>'Tax Sched 23'!D4</f>
        <v>22565171</v>
      </c>
      <c r="C1760" s="2" t="s">
        <v>572</v>
      </c>
      <c r="D1760" s="2" t="str">
        <f t="shared" si="26"/>
        <v>Error?</v>
      </c>
    </row>
    <row r="1761" spans="1:5" x14ac:dyDescent="0.2">
      <c r="A1761" s="5">
        <v>1700</v>
      </c>
      <c r="B1761" s="138">
        <f>'Tax Sched 23'!D5</f>
        <v>1791228</v>
      </c>
      <c r="C1761" s="2" t="s">
        <v>572</v>
      </c>
      <c r="D1761" s="2" t="str">
        <f t="shared" si="26"/>
        <v>Error?</v>
      </c>
    </row>
    <row r="1762" spans="1:5" s="8" customFormat="1" x14ac:dyDescent="0.2">
      <c r="A1762" s="5">
        <v>1701</v>
      </c>
      <c r="B1762" s="138">
        <f>'Tax Sched 23'!D6</f>
        <v>333273</v>
      </c>
      <c r="C1762" s="2" t="s">
        <v>572</v>
      </c>
      <c r="D1762" s="2" t="str">
        <f t="shared" si="26"/>
        <v>Error?</v>
      </c>
      <c r="E1762" s="9"/>
    </row>
    <row r="1763" spans="1:5" x14ac:dyDescent="0.2">
      <c r="A1763" s="5">
        <v>1702</v>
      </c>
      <c r="B1763" s="138">
        <f>'Tax Sched 23'!D7</f>
        <v>412126</v>
      </c>
      <c r="C1763" s="2" t="s">
        <v>572</v>
      </c>
      <c r="D1763" s="2" t="str">
        <f t="shared" si="26"/>
        <v>Error?</v>
      </c>
    </row>
    <row r="1764" spans="1:5" x14ac:dyDescent="0.2">
      <c r="A1764" s="5">
        <v>1703</v>
      </c>
      <c r="B1764" s="138">
        <f>'Tax Sched 23'!D8</f>
        <v>106434</v>
      </c>
      <c r="C1764" s="2" t="s">
        <v>572</v>
      </c>
      <c r="D1764" s="2" t="str">
        <f t="shared" si="26"/>
        <v>Error?</v>
      </c>
    </row>
    <row r="1765" spans="1:5" x14ac:dyDescent="0.2">
      <c r="A1765" s="5">
        <v>1704</v>
      </c>
      <c r="B1765" s="138">
        <f>'Tax Sched 23'!D10</f>
        <v>42576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32847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25390089</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1778574</v>
      </c>
      <c r="D1777" s="2" t="str">
        <f t="shared" si="26"/>
        <v>Error?</v>
      </c>
    </row>
    <row r="1778" spans="1:4" x14ac:dyDescent="0.2">
      <c r="A1778" s="5">
        <v>1717</v>
      </c>
      <c r="B1778" s="138">
        <f>'Tax Sched 23'!C6</f>
        <v>431254</v>
      </c>
      <c r="D1778" s="2" t="str">
        <f t="shared" si="26"/>
        <v>Error?</v>
      </c>
    </row>
    <row r="1779" spans="1:4" x14ac:dyDescent="0.2">
      <c r="A1779" s="5">
        <v>1718</v>
      </c>
      <c r="B1779" s="138">
        <f>'Tax Sched 23'!C7</f>
        <v>592858</v>
      </c>
      <c r="D1779" s="2" t="str">
        <f t="shared" si="26"/>
        <v>Error?</v>
      </c>
    </row>
    <row r="1780" spans="1:4" x14ac:dyDescent="0.2">
      <c r="A1780" s="5">
        <v>1719</v>
      </c>
      <c r="B1780" s="138">
        <f>'Tax Sched 23'!C8</f>
        <v>128451</v>
      </c>
      <c r="D1780" s="2" t="str">
        <f t="shared" si="26"/>
        <v>Error?</v>
      </c>
    </row>
    <row r="1781" spans="1:4" x14ac:dyDescent="0.2">
      <c r="A1781" s="5">
        <v>1720</v>
      </c>
      <c r="B1781" s="138">
        <f>'Tax Sched 23'!C10</f>
        <v>51877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33689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3145154</v>
      </c>
      <c r="C1791" s="2" t="s">
        <v>572</v>
      </c>
      <c r="D1791" s="2" t="str">
        <f t="shared" ref="D1791:D1854" si="27">IF(ISBLANK(B1791),"OK",IF(A1791-B1791=0,"OK","Error?"))</f>
        <v>Error?</v>
      </c>
    </row>
    <row r="1792" spans="1:4" x14ac:dyDescent="0.2">
      <c r="A1792" s="5">
        <v>1731</v>
      </c>
      <c r="B1792" s="138">
        <f>'Tax Sched 23'!F4</f>
        <v>25035050</v>
      </c>
      <c r="C1792" s="2" t="s">
        <v>572</v>
      </c>
      <c r="D1792" s="2" t="str">
        <f t="shared" si="27"/>
        <v>Error?</v>
      </c>
    </row>
    <row r="1793" spans="1:4" x14ac:dyDescent="0.2">
      <c r="A1793" s="5">
        <v>1732</v>
      </c>
      <c r="B1793" s="138">
        <f>'Tax Sched 23'!F5</f>
        <v>1808541</v>
      </c>
      <c r="C1793" s="2" t="s">
        <v>572</v>
      </c>
      <c r="D1793" s="2" t="str">
        <f t="shared" si="27"/>
        <v>Error?</v>
      </c>
    </row>
    <row r="1794" spans="1:4" x14ac:dyDescent="0.2">
      <c r="A1794" s="5">
        <v>1733</v>
      </c>
      <c r="B1794" s="138">
        <f>'Tax Sched 23'!F6</f>
        <v>438521</v>
      </c>
      <c r="C1794" s="2" t="s">
        <v>572</v>
      </c>
      <c r="D1794" s="2" t="str">
        <f t="shared" si="27"/>
        <v>Error?</v>
      </c>
    </row>
    <row r="1795" spans="1:4" x14ac:dyDescent="0.2">
      <c r="A1795" s="5">
        <v>1734</v>
      </c>
      <c r="B1795" s="138">
        <f>'Tax Sched 23'!F7</f>
        <v>602847</v>
      </c>
      <c r="C1795" s="2" t="s">
        <v>572</v>
      </c>
      <c r="D1795" s="2" t="str">
        <f t="shared" si="27"/>
        <v>Error?</v>
      </c>
    </row>
    <row r="1796" spans="1:4" x14ac:dyDescent="0.2">
      <c r="A1796" s="5">
        <v>1735</v>
      </c>
      <c r="B1796" s="138">
        <f>'Tax Sched 23'!F8</f>
        <v>130615</v>
      </c>
      <c r="C1796" s="2" t="s">
        <v>572</v>
      </c>
      <c r="D1796" s="2" t="str">
        <f t="shared" si="27"/>
        <v>Error?</v>
      </c>
    </row>
    <row r="1797" spans="1:4" x14ac:dyDescent="0.2">
      <c r="A1797" s="5">
        <v>1736</v>
      </c>
      <c r="B1797" s="138">
        <f>'Tax Sched 23'!F10</f>
        <v>52750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34257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28233196</v>
      </c>
      <c r="C1807" s="2" t="s">
        <v>572</v>
      </c>
      <c r="D1807" s="2" t="str">
        <f t="shared" si="27"/>
        <v>Error?</v>
      </c>
    </row>
    <row r="1808" spans="1:4" x14ac:dyDescent="0.2">
      <c r="A1808" s="5">
        <v>1747</v>
      </c>
      <c r="B1808" s="138">
        <f>'Tax Sched 23'!E4</f>
        <v>25035050</v>
      </c>
      <c r="D1808" s="2" t="str">
        <f t="shared" si="27"/>
        <v>Error?</v>
      </c>
    </row>
    <row r="1809" spans="1:4" x14ac:dyDescent="0.2">
      <c r="A1809" s="5">
        <v>1748</v>
      </c>
      <c r="B1809" s="138">
        <f>'Tax Sched 23'!E5</f>
        <v>3587115</v>
      </c>
      <c r="D1809" s="2" t="str">
        <f t="shared" si="27"/>
        <v>Error?</v>
      </c>
    </row>
    <row r="1810" spans="1:4" x14ac:dyDescent="0.2">
      <c r="A1810" s="5">
        <v>1749</v>
      </c>
      <c r="B1810" s="138">
        <f>'Tax Sched 23'!E6</f>
        <v>869775</v>
      </c>
      <c r="D1810" s="2" t="str">
        <f t="shared" si="27"/>
        <v>Error?</v>
      </c>
    </row>
    <row r="1811" spans="1:4" x14ac:dyDescent="0.2">
      <c r="A1811" s="5">
        <v>1750</v>
      </c>
      <c r="B1811" s="138">
        <f>'Tax Sched 23'!E7</f>
        <v>1195705</v>
      </c>
      <c r="D1811" s="2" t="str">
        <f t="shared" si="27"/>
        <v>Error?</v>
      </c>
    </row>
    <row r="1812" spans="1:4" x14ac:dyDescent="0.2">
      <c r="A1812" s="5">
        <v>1751</v>
      </c>
      <c r="B1812" s="138">
        <f>'Tax Sched 23'!E8</f>
        <v>259066</v>
      </c>
      <c r="D1812" s="2" t="str">
        <f t="shared" si="27"/>
        <v>Error?</v>
      </c>
    </row>
    <row r="1813" spans="1:4" x14ac:dyDescent="0.2">
      <c r="A1813" s="5">
        <v>1752</v>
      </c>
      <c r="B1813" s="138">
        <f>'Tax Sched 23'!E10</f>
        <v>104627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67946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31378350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14433100</v>
      </c>
      <c r="C1939" s="2" t="s">
        <v>572</v>
      </c>
      <c r="D1939" s="2" t="str">
        <f t="shared" si="29"/>
        <v>Error?</v>
      </c>
    </row>
    <row r="1940" spans="1:5" x14ac:dyDescent="0.2">
      <c r="A1940" s="5">
        <v>1879</v>
      </c>
      <c r="B1940" s="138">
        <f>'Short-Term Long-Term Debt 24'!F49</f>
        <v>5460000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313824</v>
      </c>
      <c r="D2008" s="2" t="str">
        <f t="shared" si="30"/>
        <v>Error?</v>
      </c>
    </row>
    <row r="2009" spans="1:4" x14ac:dyDescent="0.2">
      <c r="A2009" s="5">
        <v>1948</v>
      </c>
      <c r="B2009" s="138">
        <f>'Cap Outlay Deprec 26'!C8</f>
        <v>62389091</v>
      </c>
      <c r="D2009" s="2" t="str">
        <f t="shared" si="30"/>
        <v>Error?</v>
      </c>
    </row>
    <row r="2010" spans="1:4" x14ac:dyDescent="0.2">
      <c r="A2010" s="5">
        <v>1949</v>
      </c>
      <c r="B2010" s="138">
        <f>'Cap Outlay Deprec 26'!C10</f>
        <v>1781874</v>
      </c>
      <c r="D2010" s="2" t="str">
        <f t="shared" si="30"/>
        <v>Error?</v>
      </c>
    </row>
    <row r="2011" spans="1:4" x14ac:dyDescent="0.2">
      <c r="A2011" s="5">
        <v>1950</v>
      </c>
      <c r="B2011" s="138">
        <f>'Cap Outlay Deprec 26'!C12</f>
        <v>13655721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78140510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957486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308009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1265495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313824</v>
      </c>
      <c r="C2026" s="2" t="s">
        <v>572</v>
      </c>
      <c r="D2026" s="2" t="str">
        <f t="shared" si="30"/>
        <v>Error?</v>
      </c>
    </row>
    <row r="2027" spans="1:4" x14ac:dyDescent="0.2">
      <c r="A2027" s="5">
        <v>1966</v>
      </c>
      <c r="B2027" s="138">
        <f>'Cap Outlay Deprec 26'!F8</f>
        <v>63346577</v>
      </c>
      <c r="C2027" s="2" t="s">
        <v>572</v>
      </c>
      <c r="D2027" s="2" t="str">
        <f t="shared" si="30"/>
        <v>Error?</v>
      </c>
    </row>
    <row r="2028" spans="1:4" x14ac:dyDescent="0.2">
      <c r="A2028" s="5">
        <v>1967</v>
      </c>
      <c r="B2028" s="138">
        <f>'Cap Outlay Deprec 26'!F10</f>
        <v>1781874</v>
      </c>
      <c r="C2028" s="2" t="s">
        <v>572</v>
      </c>
      <c r="D2028" s="2" t="str">
        <f t="shared" si="30"/>
        <v>Error?</v>
      </c>
    </row>
    <row r="2029" spans="1:4" x14ac:dyDescent="0.2">
      <c r="A2029" s="5">
        <v>1968</v>
      </c>
      <c r="B2029" s="138">
        <f>'Cap Outlay Deprec 26'!F12</f>
        <v>13963730</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79406005</v>
      </c>
      <c r="C2031" s="2" t="s">
        <v>572</v>
      </c>
      <c r="D2031" s="2" t="str">
        <f t="shared" si="30"/>
        <v>Error?</v>
      </c>
    </row>
    <row r="2032" spans="1:4" x14ac:dyDescent="0.2">
      <c r="A2032" s="10">
        <v>1971</v>
      </c>
      <c r="D2032" s="2" t="str">
        <f t="shared" si="30"/>
        <v>OK</v>
      </c>
    </row>
    <row r="2033" spans="1:4" x14ac:dyDescent="0.2">
      <c r="A2033" s="5">
        <v>1972</v>
      </c>
      <c r="B2033" s="138">
        <f>'Cap Outlay Deprec 26'!H8</f>
        <v>15616959</v>
      </c>
      <c r="D2033" s="2" t="str">
        <f t="shared" si="30"/>
        <v>Error?</v>
      </c>
    </row>
    <row r="2034" spans="1:4" x14ac:dyDescent="0.2">
      <c r="A2034" s="5">
        <v>1973</v>
      </c>
      <c r="B2034" s="138">
        <f>'Cap Outlay Deprec 26'!H10</f>
        <v>886885</v>
      </c>
      <c r="D2034" s="2" t="str">
        <f t="shared" si="30"/>
        <v>Error?</v>
      </c>
    </row>
    <row r="2035" spans="1:4" x14ac:dyDescent="0.2">
      <c r="A2035" s="5">
        <v>1974</v>
      </c>
      <c r="B2035" s="138">
        <f>'Cap Outlay Deprec 26'!H12</f>
        <v>10617209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27121053</v>
      </c>
      <c r="C2037" s="2" t="s">
        <v>572</v>
      </c>
      <c r="D2037" s="2" t="str">
        <f t="shared" si="30"/>
        <v>Error?</v>
      </c>
    </row>
    <row r="2038" spans="1:4" x14ac:dyDescent="0.2">
      <c r="A2038" s="10">
        <v>1977</v>
      </c>
      <c r="D2038" s="2" t="str">
        <f t="shared" si="30"/>
        <v>OK</v>
      </c>
    </row>
    <row r="2039" spans="1:4" x14ac:dyDescent="0.2">
      <c r="A2039" s="5">
        <v>1978</v>
      </c>
      <c r="B2039" s="138">
        <f>'Cap Outlay Deprec 26'!I8</f>
        <v>1257357</v>
      </c>
      <c r="D2039" s="2" t="str">
        <f t="shared" si="30"/>
        <v>Error?</v>
      </c>
    </row>
    <row r="2040" spans="1:4" x14ac:dyDescent="0.2">
      <c r="A2040" s="5">
        <v>1979</v>
      </c>
      <c r="B2040" s="138">
        <f>'Cap Outlay Deprec 26'!I10</f>
        <v>61862</v>
      </c>
      <c r="D2040" s="2" t="str">
        <f t="shared" si="30"/>
        <v>Error?</v>
      </c>
    </row>
    <row r="2041" spans="1:4" x14ac:dyDescent="0.2">
      <c r="A2041" s="5">
        <v>1980</v>
      </c>
      <c r="B2041" s="138">
        <f>'Cap Outlay Deprec 26'!I12</f>
        <v>597874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1917093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16874316</v>
      </c>
      <c r="C2051" s="2" t="s">
        <v>572</v>
      </c>
      <c r="D2051" s="2" t="str">
        <f t="shared" si="31"/>
        <v>Error?</v>
      </c>
    </row>
    <row r="2052" spans="1:4" x14ac:dyDescent="0.2">
      <c r="A2052" s="5">
        <v>1991</v>
      </c>
      <c r="B2052" s="138">
        <f>'Cap Outlay Deprec 26'!K10</f>
        <v>948747</v>
      </c>
      <c r="C2052" s="2" t="s">
        <v>572</v>
      </c>
      <c r="D2052" s="2" t="str">
        <f t="shared" si="31"/>
        <v>Error?</v>
      </c>
    </row>
    <row r="2053" spans="1:4" x14ac:dyDescent="0.2">
      <c r="A2053" s="5">
        <v>1992</v>
      </c>
      <c r="B2053" s="138">
        <f>'Cap Outlay Deprec 26'!K12</f>
        <v>11215083</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29038146</v>
      </c>
      <c r="C2055" s="2" t="s">
        <v>572</v>
      </c>
      <c r="D2055" s="2" t="str">
        <f t="shared" si="31"/>
        <v>Error?</v>
      </c>
    </row>
    <row r="2056" spans="1:4" x14ac:dyDescent="0.2">
      <c r="A2056" s="5">
        <v>1995</v>
      </c>
      <c r="B2056" s="138">
        <f>'Cap Outlay Deprec 26'!L5</f>
        <v>313824</v>
      </c>
      <c r="C2056" s="2" t="s">
        <v>572</v>
      </c>
      <c r="D2056" s="2" t="str">
        <f t="shared" si="31"/>
        <v>Error?</v>
      </c>
    </row>
    <row r="2057" spans="1:4" x14ac:dyDescent="0.2">
      <c r="A2057" s="5">
        <v>1996</v>
      </c>
      <c r="B2057" s="138">
        <f>'Cap Outlay Deprec 26'!L8</f>
        <v>46472261</v>
      </c>
      <c r="C2057" s="2" t="s">
        <v>572</v>
      </c>
      <c r="D2057" s="2" t="str">
        <f t="shared" si="31"/>
        <v>Error?</v>
      </c>
    </row>
    <row r="2058" spans="1:4" x14ac:dyDescent="0.2">
      <c r="A2058" s="5">
        <v>1997</v>
      </c>
      <c r="B2058" s="138">
        <f>'Cap Outlay Deprec 26'!L10</f>
        <v>833127</v>
      </c>
      <c r="C2058" s="2" t="s">
        <v>572</v>
      </c>
      <c r="D2058" s="2" t="str">
        <f t="shared" si="31"/>
        <v>Error?</v>
      </c>
    </row>
    <row r="2059" spans="1:4" x14ac:dyDescent="0.2">
      <c r="A2059" s="5">
        <v>1998</v>
      </c>
      <c r="B2059" s="138">
        <f>'Cap Outlay Deprec 26'!L12</f>
        <v>2748647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50367859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496258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604674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99492</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102000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24366941</v>
      </c>
      <c r="C2551" s="2" t="s">
        <v>572</v>
      </c>
      <c r="D2551" s="2" t="str">
        <f t="shared" si="38"/>
        <v>Error?</v>
      </c>
    </row>
    <row r="2552" spans="1:4" x14ac:dyDescent="0.2">
      <c r="A2552" s="10">
        <v>2491</v>
      </c>
      <c r="D2552" s="2" t="str">
        <f t="shared" si="38"/>
        <v>OK</v>
      </c>
    </row>
    <row r="2553" spans="1:4" x14ac:dyDescent="0.2">
      <c r="A2553" s="5">
        <v>2492</v>
      </c>
      <c r="B2553" s="138">
        <f>'Acct Summary 7-8'!C6</f>
        <v>1912564</v>
      </c>
      <c r="C2553" s="2" t="s">
        <v>572</v>
      </c>
      <c r="D2553" s="2" t="str">
        <f t="shared" si="38"/>
        <v>Error?</v>
      </c>
    </row>
    <row r="2554" spans="1:4" x14ac:dyDescent="0.2">
      <c r="A2554" s="5">
        <v>2493</v>
      </c>
      <c r="B2554" s="138">
        <f>'Acct Summary 7-8'!C7</f>
        <v>655567</v>
      </c>
      <c r="C2554" s="2" t="s">
        <v>572</v>
      </c>
      <c r="D2554" s="2" t="str">
        <f t="shared" si="38"/>
        <v>Error?</v>
      </c>
    </row>
    <row r="2555" spans="1:4" x14ac:dyDescent="0.2">
      <c r="A2555" s="5">
        <v>2494</v>
      </c>
      <c r="B2555" s="138">
        <f>'Acct Summary 7-8'!C8</f>
        <v>26935072</v>
      </c>
      <c r="C2555" s="2" t="s">
        <v>572</v>
      </c>
      <c r="D2555" s="2" t="str">
        <f t="shared" si="38"/>
        <v>Error?</v>
      </c>
    </row>
    <row r="2556" spans="1:4" x14ac:dyDescent="0.2">
      <c r="A2556" s="5">
        <v>2495</v>
      </c>
      <c r="B2556" s="138">
        <f>'Acct Summary 7-8'!C12</f>
        <v>18728309</v>
      </c>
      <c r="C2556" s="2" t="s">
        <v>572</v>
      </c>
      <c r="D2556" s="2" t="str">
        <f t="shared" si="38"/>
        <v>Error?</v>
      </c>
    </row>
    <row r="2557" spans="1:4" x14ac:dyDescent="0.2">
      <c r="A2557" s="5">
        <v>2496</v>
      </c>
      <c r="B2557" s="138">
        <f>'Acct Summary 7-8'!C13</f>
        <v>9531388</v>
      </c>
      <c r="C2557" s="2" t="s">
        <v>572</v>
      </c>
      <c r="D2557" s="2" t="str">
        <f t="shared" si="38"/>
        <v>Error?</v>
      </c>
    </row>
    <row r="2558" spans="1:4" x14ac:dyDescent="0.2">
      <c r="A2558" s="5">
        <v>2497</v>
      </c>
      <c r="B2558" s="138">
        <f>'Acct Summary 7-8'!C14</f>
        <v>83805</v>
      </c>
      <c r="C2558" s="2" t="s">
        <v>572</v>
      </c>
      <c r="D2558" s="2" t="str">
        <f t="shared" si="38"/>
        <v>Error?</v>
      </c>
    </row>
    <row r="2559" spans="1:4" x14ac:dyDescent="0.2">
      <c r="A2559" s="5">
        <v>2498</v>
      </c>
      <c r="B2559" s="138">
        <f>'Acct Summary 7-8'!C15</f>
        <v>604674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28948176</v>
      </c>
      <c r="C2561" s="2" t="s">
        <v>572</v>
      </c>
      <c r="D2561" s="2" t="str">
        <f t="shared" si="39"/>
        <v>Error?</v>
      </c>
    </row>
    <row r="2562" spans="1:4" x14ac:dyDescent="0.2">
      <c r="A2562" s="5">
        <v>2501</v>
      </c>
      <c r="B2562" s="138">
        <f>'Acct Summary 7-8'!C20</f>
        <v>-2013104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4453329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4453329</v>
      </c>
      <c r="C2568" s="2" t="s">
        <v>572</v>
      </c>
      <c r="D2568" s="2" t="str">
        <f t="shared" si="39"/>
        <v>Error?</v>
      </c>
    </row>
    <row r="2569" spans="1:4" x14ac:dyDescent="0.2">
      <c r="A2569" s="5">
        <v>2508</v>
      </c>
      <c r="B2569" s="138">
        <f>'Acct Summary 7-8'!D13</f>
        <v>3695090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99492</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3794582</v>
      </c>
      <c r="C2573" s="2" t="s">
        <v>572</v>
      </c>
      <c r="D2573" s="2" t="str">
        <f t="shared" si="39"/>
        <v>Error?</v>
      </c>
    </row>
    <row r="2574" spans="1:4" x14ac:dyDescent="0.2">
      <c r="A2574" s="5">
        <v>2513</v>
      </c>
      <c r="B2574" s="138">
        <f>'Acct Summary 7-8'!D20</f>
        <v>658747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1508272</v>
      </c>
      <c r="C2591" s="2" t="s">
        <v>572</v>
      </c>
      <c r="D2591" s="2" t="str">
        <f t="shared" si="39"/>
        <v>Error?</v>
      </c>
    </row>
    <row r="2592" spans="1:4" x14ac:dyDescent="0.2">
      <c r="A2592" s="10">
        <v>2531</v>
      </c>
      <c r="D2592" s="2" t="str">
        <f t="shared" si="39"/>
        <v>OK</v>
      </c>
    </row>
    <row r="2593" spans="1:4" x14ac:dyDescent="0.2">
      <c r="A2593" s="5">
        <v>2532</v>
      </c>
      <c r="B2593" s="138">
        <f>'Acct Summary 7-8'!F6</f>
        <v>698565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2206837</v>
      </c>
      <c r="C2595" s="2" t="s">
        <v>572</v>
      </c>
      <c r="D2595" s="2" t="str">
        <f t="shared" si="39"/>
        <v>Error?</v>
      </c>
    </row>
    <row r="2596" spans="1:4" x14ac:dyDescent="0.2">
      <c r="A2596" s="5">
        <v>2535</v>
      </c>
      <c r="B2596" s="138">
        <f>'Acct Summary 7-8'!F13</f>
        <v>2275169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2275169</v>
      </c>
      <c r="C2600" s="2" t="s">
        <v>572</v>
      </c>
      <c r="D2600" s="2" t="str">
        <f t="shared" si="39"/>
        <v>Error?</v>
      </c>
    </row>
    <row r="2601" spans="1:4" x14ac:dyDescent="0.2">
      <c r="A2601" s="5">
        <v>2540</v>
      </c>
      <c r="B2601" s="138">
        <f>'Acct Summary 7-8'!F20</f>
        <v>-68332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800056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800056</v>
      </c>
      <c r="C2606" s="2" t="s">
        <v>572</v>
      </c>
      <c r="D2606" s="2" t="str">
        <f t="shared" si="39"/>
        <v>Error?</v>
      </c>
    </row>
    <row r="2607" spans="1:4" x14ac:dyDescent="0.2">
      <c r="A2607" s="5">
        <v>2546</v>
      </c>
      <c r="B2607" s="138">
        <f>'Acct Summary 7-8'!G12</f>
        <v>325844</v>
      </c>
      <c r="C2607" s="2" t="s">
        <v>572</v>
      </c>
      <c r="D2607" s="2" t="str">
        <f t="shared" si="39"/>
        <v>Error?</v>
      </c>
    </row>
    <row r="2608" spans="1:4" x14ac:dyDescent="0.2">
      <c r="A2608" s="5">
        <v>2547</v>
      </c>
      <c r="B2608" s="138">
        <f>'Acct Summary 7-8'!G13</f>
        <v>618736</v>
      </c>
      <c r="C2608" s="2" t="s">
        <v>572</v>
      </c>
      <c r="D2608" s="2" t="str">
        <f t="shared" si="39"/>
        <v>Error?</v>
      </c>
    </row>
    <row r="2609" spans="1:4" x14ac:dyDescent="0.2">
      <c r="A2609" s="5">
        <v>2548</v>
      </c>
      <c r="B2609" s="138">
        <f>'Acct Summary 7-8'!G14</f>
        <v>315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1022050</v>
      </c>
      <c r="C2612" s="2" t="s">
        <v>572</v>
      </c>
      <c r="D2612" s="2" t="str">
        <f t="shared" si="39"/>
        <v>Error?</v>
      </c>
    </row>
    <row r="2613" spans="1:4" x14ac:dyDescent="0.2">
      <c r="A2613" s="5">
        <v>2552</v>
      </c>
      <c r="B2613" s="138">
        <f>'Acct Summary 7-8'!G20</f>
        <v>-221994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1317345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1317345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2589322</v>
      </c>
      <c r="C2634" s="2" t="s">
        <v>572</v>
      </c>
      <c r="D2634" s="2" t="str">
        <f t="shared" si="40"/>
        <v>Error?</v>
      </c>
    </row>
    <row r="2635" spans="1:4" x14ac:dyDescent="0.2">
      <c r="A2635" s="5">
        <v>2574</v>
      </c>
      <c r="B2635" s="138">
        <f>'Acct Summary 7-8'!E17</f>
        <v>2589322</v>
      </c>
      <c r="C2635" s="2" t="s">
        <v>572</v>
      </c>
      <c r="D2635" s="2" t="str">
        <f t="shared" si="40"/>
        <v>Error?</v>
      </c>
    </row>
    <row r="2636" spans="1:4" x14ac:dyDescent="0.2">
      <c r="A2636" s="5">
        <v>2575</v>
      </c>
      <c r="B2636" s="138">
        <f>'Acct Summary 7-8'!E20</f>
        <v>-1271977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5490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5490</v>
      </c>
      <c r="C2658" s="2" t="s">
        <v>572</v>
      </c>
      <c r="D2658" s="2" t="str">
        <f t="shared" si="40"/>
        <v>Error?</v>
      </c>
    </row>
    <row r="2659" spans="1:4" x14ac:dyDescent="0.2">
      <c r="A2659" s="5">
        <v>2598</v>
      </c>
      <c r="B2659" s="138">
        <f>'Acct Summary 7-8'!H13</f>
        <v>102440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102440</v>
      </c>
      <c r="C2661" s="2" t="s">
        <v>572</v>
      </c>
      <c r="D2661" s="2" t="str">
        <f t="shared" si="40"/>
        <v>Error?</v>
      </c>
    </row>
    <row r="2662" spans="1:4" x14ac:dyDescent="0.2">
      <c r="A2662" s="5">
        <v>2601</v>
      </c>
      <c r="B2662" s="138">
        <f>'Acct Summary 7-8'!H20</f>
        <v>-96950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202339</v>
      </c>
      <c r="D2718" s="2" t="str">
        <f t="shared" si="41"/>
        <v>Error?</v>
      </c>
    </row>
    <row r="2719" spans="1:4" x14ac:dyDescent="0.2">
      <c r="A2719" s="5">
        <v>2658</v>
      </c>
      <c r="B2719" s="138">
        <f>'Expenditures 15-22'!D51</f>
        <v>25064</v>
      </c>
      <c r="D2719" s="2" t="str">
        <f t="shared" si="41"/>
        <v>Error?</v>
      </c>
    </row>
    <row r="2720" spans="1:4" x14ac:dyDescent="0.2">
      <c r="A2720" s="5">
        <v>2659</v>
      </c>
      <c r="B2720" s="138">
        <f>'Expenditures 15-22'!E51</f>
        <v>7628</v>
      </c>
      <c r="D2720" s="2" t="str">
        <f t="shared" si="41"/>
        <v>Error?</v>
      </c>
    </row>
    <row r="2721" spans="1:4" x14ac:dyDescent="0.2">
      <c r="A2721" s="5">
        <v>2660</v>
      </c>
      <c r="B2721" s="138">
        <f>'Expenditures 15-22'!F51</f>
        <v>2077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237108</v>
      </c>
      <c r="C2724" s="2" t="s">
        <v>572</v>
      </c>
      <c r="D2724" s="2" t="str">
        <f t="shared" si="41"/>
        <v>Error?</v>
      </c>
    </row>
    <row r="2725" spans="1:4" x14ac:dyDescent="0.2">
      <c r="A2725" s="5">
        <v>2664</v>
      </c>
      <c r="B2725" s="138">
        <f>'Expenditures 15-22'!D247</f>
        <v>9787</v>
      </c>
      <c r="D2725" s="2" t="str">
        <f t="shared" si="41"/>
        <v>Error?</v>
      </c>
    </row>
    <row r="2726" spans="1:4" x14ac:dyDescent="0.2">
      <c r="A2726" s="5">
        <v>2665</v>
      </c>
      <c r="B2726" s="138">
        <f>'Expenditures 15-22'!K247</f>
        <v>9787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108416</v>
      </c>
      <c r="C2789" s="2" t="s">
        <v>572</v>
      </c>
      <c r="D2789" s="2" t="str">
        <f t="shared" si="42"/>
        <v>Error?</v>
      </c>
    </row>
    <row r="2790" spans="1:4" x14ac:dyDescent="0.2">
      <c r="A2790" s="5">
        <v>2729</v>
      </c>
      <c r="B2790" s="138">
        <f>'Expenditures 15-22'!E102</f>
        <v>108416</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5630496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150039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5630496</v>
      </c>
      <c r="D2912" s="2" t="str">
        <f t="shared" si="44"/>
        <v>Error?</v>
      </c>
    </row>
    <row r="2913" spans="1:4" x14ac:dyDescent="0.2">
      <c r="A2913" s="5">
        <v>2852</v>
      </c>
      <c r="B2913" s="138">
        <f>'Assets-Liab 5-6'!I41</f>
        <v>5630496</v>
      </c>
      <c r="C2913" s="2" t="s">
        <v>572</v>
      </c>
      <c r="D2913" s="2" t="str">
        <f t="shared" si="44"/>
        <v>Error?</v>
      </c>
    </row>
    <row r="2914" spans="1:4" x14ac:dyDescent="0.2">
      <c r="A2914" s="5">
        <v>2853</v>
      </c>
      <c r="B2914" s="138">
        <f>'Assets-Liab 5-6'!L33</f>
        <v>150039</v>
      </c>
      <c r="D2914" s="2" t="str">
        <f t="shared" si="44"/>
        <v>Error?</v>
      </c>
    </row>
    <row r="2915" spans="1:4" x14ac:dyDescent="0.2">
      <c r="A2915" s="10">
        <v>2854</v>
      </c>
      <c r="D2915" s="2" t="str">
        <f t="shared" si="44"/>
        <v>OK</v>
      </c>
    </row>
    <row r="2916" spans="1:4" x14ac:dyDescent="0.2">
      <c r="A2916" s="5">
        <v>2855</v>
      </c>
      <c r="B2916" s="138">
        <f>'Assets-Liab 5-6'!L34</f>
        <v>150039</v>
      </c>
      <c r="C2916" s="2" t="s">
        <v>572</v>
      </c>
      <c r="D2916" s="2" t="str">
        <f t="shared" si="44"/>
        <v>Error?</v>
      </c>
    </row>
    <row r="2917" spans="1:4" x14ac:dyDescent="0.2">
      <c r="A2917" s="5">
        <v>2856</v>
      </c>
      <c r="B2917" s="138">
        <f>'Assets-Liab 5-6'!L41</f>
        <v>150039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108416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496258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604674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99492</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85776</v>
      </c>
      <c r="D3055" s="2" t="str">
        <f t="shared" si="46"/>
        <v>Error?</v>
      </c>
    </row>
    <row r="3056" spans="1:4" x14ac:dyDescent="0.2">
      <c r="A3056" s="5">
        <v>2995</v>
      </c>
      <c r="B3056" s="138">
        <f>'Expenditures 15-22'!D10</f>
        <v>13792</v>
      </c>
      <c r="D3056" s="2" t="str">
        <f t="shared" si="46"/>
        <v>Error?</v>
      </c>
    </row>
    <row r="3057" spans="1:4" x14ac:dyDescent="0.2">
      <c r="A3057" s="5">
        <v>2996</v>
      </c>
      <c r="B3057" s="138">
        <f>'Expenditures 15-22'!E10</f>
        <v>3860</v>
      </c>
      <c r="D3057" s="2" t="str">
        <f t="shared" si="46"/>
        <v>Error?</v>
      </c>
    </row>
    <row r="3058" spans="1:4" x14ac:dyDescent="0.2">
      <c r="A3058" s="5">
        <v>2997</v>
      </c>
      <c r="B3058" s="138">
        <f>'Expenditures 15-22'!F10</f>
        <v>4465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107893</v>
      </c>
      <c r="C3062" s="2" t="s">
        <v>572</v>
      </c>
      <c r="D3062" s="2" t="str">
        <f t="shared" si="46"/>
        <v>Error?</v>
      </c>
    </row>
    <row r="3063" spans="1:4" x14ac:dyDescent="0.2">
      <c r="A3063" s="10">
        <v>3002</v>
      </c>
      <c r="D3063" s="2" t="str">
        <f t="shared" si="46"/>
        <v>OK</v>
      </c>
    </row>
    <row r="3064" spans="1:4" x14ac:dyDescent="0.2">
      <c r="A3064" s="5">
        <v>3003</v>
      </c>
      <c r="B3064" s="138">
        <f>'Expenditures 15-22'!D219</f>
        <v>1239</v>
      </c>
      <c r="D3064" s="2" t="str">
        <f t="shared" si="46"/>
        <v>Error?</v>
      </c>
    </row>
    <row r="3065" spans="1:4" x14ac:dyDescent="0.2">
      <c r="A3065" s="5">
        <v>3004</v>
      </c>
      <c r="B3065" s="138">
        <f>'Expenditures 15-22'!K219</f>
        <v>1239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202347</v>
      </c>
      <c r="C3225" s="2" t="s">
        <v>572</v>
      </c>
      <c r="D3225" s="2" t="str">
        <f t="shared" si="49"/>
        <v>Error?</v>
      </c>
    </row>
    <row r="3226" spans="1:4" x14ac:dyDescent="0.2">
      <c r="A3226" s="5">
        <v>3165</v>
      </c>
      <c r="B3226" s="138">
        <f>'Acct Summary 7-8'!I8</f>
        <v>202347</v>
      </c>
      <c r="C3226" s="2" t="s">
        <v>572</v>
      </c>
      <c r="D3226" s="2" t="str">
        <f t="shared" si="49"/>
        <v>Error?</v>
      </c>
    </row>
    <row r="3227" spans="1:4" x14ac:dyDescent="0.2">
      <c r="A3227" s="5">
        <v>3166</v>
      </c>
      <c r="B3227" s="138">
        <f>'Acct Summary 7-8'!I20</f>
        <v>202347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176930</v>
      </c>
      <c r="C3231" s="2" t="s">
        <v>572</v>
      </c>
      <c r="D3231" s="2" t="str">
        <f t="shared" si="49"/>
        <v>Error?</v>
      </c>
    </row>
    <row r="3232" spans="1:4" x14ac:dyDescent="0.2">
      <c r="A3232" s="5">
        <v>3171</v>
      </c>
      <c r="B3232" s="138">
        <f>'Acct Summary 7-8'!C77</f>
        <v>-176930</v>
      </c>
      <c r="C3232" s="2" t="s">
        <v>572</v>
      </c>
      <c r="D3232" s="2" t="str">
        <f t="shared" si="49"/>
        <v>Error?</v>
      </c>
    </row>
    <row r="3233" spans="1:4" x14ac:dyDescent="0.2">
      <c r="A3233" s="5">
        <v>3172</v>
      </c>
      <c r="B3233" s="138">
        <f>'Acct Summary 7-8'!C78</f>
        <v>-2190034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102000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1043500</v>
      </c>
      <c r="C3237" s="2" t="s">
        <v>572</v>
      </c>
      <c r="D3237" s="2" t="str">
        <f t="shared" si="49"/>
        <v>Error?</v>
      </c>
    </row>
    <row r="3238" spans="1:4" x14ac:dyDescent="0.2">
      <c r="A3238" s="5">
        <v>3177</v>
      </c>
      <c r="B3238" s="138">
        <f>'Acct Summary 7-8'!D77</f>
        <v>-941500</v>
      </c>
      <c r="C3238" s="2" t="s">
        <v>572</v>
      </c>
      <c r="D3238" s="2" t="str">
        <f t="shared" si="49"/>
        <v>Error?</v>
      </c>
    </row>
    <row r="3239" spans="1:4" x14ac:dyDescent="0.2">
      <c r="A3239" s="5">
        <v>3178</v>
      </c>
      <c r="B3239" s="138">
        <f>'Acct Summary 7-8'!D78</f>
        <v>-282753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-68332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-221994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1220430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1220430</v>
      </c>
      <c r="C3277" s="2" t="s">
        <v>572</v>
      </c>
      <c r="D3277" s="2" t="str">
        <f t="shared" si="50"/>
        <v>Error?</v>
      </c>
    </row>
    <row r="3278" spans="1:4" x14ac:dyDescent="0.2">
      <c r="A3278" s="5">
        <v>3217</v>
      </c>
      <c r="B3278" s="138">
        <f>'Acct Summary 7-8'!E78</f>
        <v>-51547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6102443</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6102443</v>
      </c>
      <c r="C3299" s="2" t="s">
        <v>572</v>
      </c>
      <c r="D3299" s="2" t="str">
        <f t="shared" si="50"/>
        <v>Error?</v>
      </c>
    </row>
    <row r="3300" spans="1:4" x14ac:dyDescent="0.2">
      <c r="A3300" s="5">
        <v>3239</v>
      </c>
      <c r="B3300" s="138">
        <f>'Acct Summary 7-8'!H78</f>
        <v>6005493</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102000</v>
      </c>
      <c r="C3318" s="2" t="s">
        <v>572</v>
      </c>
      <c r="D3318" s="2" t="str">
        <f t="shared" si="50"/>
        <v>Error?</v>
      </c>
    </row>
    <row r="3319" spans="1:4" x14ac:dyDescent="0.2">
      <c r="A3319" s="5">
        <v>3258</v>
      </c>
      <c r="B3319" s="138">
        <f>'Acct Summary 7-8'!I77</f>
        <v>-102000</v>
      </c>
      <c r="C3319" s="2" t="s">
        <v>572</v>
      </c>
      <c r="D3319" s="2" t="str">
        <f t="shared" si="50"/>
        <v>Error?</v>
      </c>
    </row>
    <row r="3320" spans="1:4" x14ac:dyDescent="0.2">
      <c r="A3320" s="5">
        <v>3259</v>
      </c>
      <c r="B3320" s="138">
        <f>'Acct Summary 7-8'!I78</f>
        <v>100347</v>
      </c>
      <c r="C3320" s="2" t="s">
        <v>572</v>
      </c>
      <c r="D3320" s="2" t="str">
        <f t="shared" si="50"/>
        <v>Error?</v>
      </c>
    </row>
    <row r="3321" spans="1:4" x14ac:dyDescent="0.2">
      <c r="A3321" s="5">
        <v>3260</v>
      </c>
      <c r="B3321" s="138">
        <f>'Acct Summary 7-8'!I79</f>
        <v>5530149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5630496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1758801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438301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48631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20275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2266008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178807</v>
      </c>
      <c r="D3387" s="2" t="str">
        <f t="shared" si="51"/>
        <v>Error?</v>
      </c>
    </row>
    <row r="3388" spans="1:4" x14ac:dyDescent="0.2">
      <c r="A3388" s="5">
        <v>3327</v>
      </c>
      <c r="B3388" s="138">
        <f>'Expenditures 15-22'!D217</f>
        <v>114014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178807</v>
      </c>
      <c r="C3390" s="2" t="s">
        <v>572</v>
      </c>
      <c r="D3390" s="2" t="str">
        <f t="shared" si="51"/>
        <v>Error?</v>
      </c>
    </row>
    <row r="3391" spans="1:4" x14ac:dyDescent="0.2">
      <c r="A3391" s="5">
        <v>3330</v>
      </c>
      <c r="B3391" s="138">
        <f>'Expenditures 15-22'!K217</f>
        <v>114014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12180968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1404662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1198</v>
      </c>
      <c r="D3417" s="2" t="str">
        <f t="shared" si="52"/>
        <v>Error?</v>
      </c>
    </row>
    <row r="3418" spans="1:4" x14ac:dyDescent="0.2">
      <c r="A3418" s="10">
        <v>3357</v>
      </c>
      <c r="D3418" s="2" t="str">
        <f t="shared" si="52"/>
        <v>OK</v>
      </c>
    </row>
    <row r="3419" spans="1:4" x14ac:dyDescent="0.2">
      <c r="A3419" s="5">
        <v>3358</v>
      </c>
      <c r="B3419" s="138">
        <f>'Assets-Liab 5-6'!F4</f>
        <v>262956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354174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6005493</v>
      </c>
      <c r="D3425" s="2" t="str">
        <f t="shared" si="52"/>
        <v>Error?</v>
      </c>
    </row>
    <row r="3426" spans="1:4" x14ac:dyDescent="0.2">
      <c r="A3426" s="10">
        <v>3365</v>
      </c>
      <c r="D3426" s="2" t="str">
        <f t="shared" si="52"/>
        <v>OK</v>
      </c>
    </row>
    <row r="3427" spans="1:4" x14ac:dyDescent="0.2">
      <c r="A3427" s="5">
        <v>3366</v>
      </c>
      <c r="B3427" s="138">
        <f>'Assets-Liab 5-6'!I4</f>
        <v>5630496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150039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234885</v>
      </c>
      <c r="C3446" s="2" t="s">
        <v>572</v>
      </c>
      <c r="D3446" s="2" t="str">
        <f t="shared" si="52"/>
        <v>Error?</v>
      </c>
    </row>
    <row r="3447" spans="1:4" x14ac:dyDescent="0.2">
      <c r="A3447" s="5">
        <v>3386</v>
      </c>
      <c r="B3447" s="138">
        <f>'Tax Sched 23'!D16</f>
        <v>106434</v>
      </c>
      <c r="C3447" s="2" t="s">
        <v>572</v>
      </c>
      <c r="D3447" s="2" t="str">
        <f t="shared" si="52"/>
        <v>Error?</v>
      </c>
    </row>
    <row r="3448" spans="1:4" x14ac:dyDescent="0.2">
      <c r="A3448" s="5">
        <v>3387</v>
      </c>
      <c r="B3448" s="138">
        <f>'Tax Sched 23'!C16</f>
        <v>128451</v>
      </c>
      <c r="D3448" s="2" t="str">
        <f t="shared" si="52"/>
        <v>Error?</v>
      </c>
    </row>
    <row r="3449" spans="1:4" x14ac:dyDescent="0.2">
      <c r="A3449" s="5">
        <v>3388</v>
      </c>
      <c r="B3449" s="138">
        <f>'Tax Sched 23'!F16</f>
        <v>130615</v>
      </c>
      <c r="C3449" s="2" t="s">
        <v>572</v>
      </c>
      <c r="D3449" s="2" t="str">
        <f t="shared" si="52"/>
        <v>Error?</v>
      </c>
    </row>
    <row r="3450" spans="1:4" x14ac:dyDescent="0.2">
      <c r="A3450" s="5">
        <v>3389</v>
      </c>
      <c r="B3450" s="138">
        <f>'Tax Sched 23'!E16</f>
        <v>259066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77155</v>
      </c>
      <c r="D3721" s="2" t="str">
        <f t="shared" si="57"/>
        <v>Error?</v>
      </c>
    </row>
    <row r="3722" spans="1:4" x14ac:dyDescent="0.2">
      <c r="A3722" s="5">
        <v>3661</v>
      </c>
      <c r="B3722" s="138">
        <f>'Expenditures 15-22'!D285</f>
        <v>77155</v>
      </c>
      <c r="C3722" s="2" t="s">
        <v>572</v>
      </c>
      <c r="D3722" s="2" t="str">
        <f t="shared" si="57"/>
        <v>Error?</v>
      </c>
    </row>
    <row r="3723" spans="1:4" x14ac:dyDescent="0.2">
      <c r="A3723" s="5">
        <v>3662</v>
      </c>
      <c r="B3723" s="138">
        <f>'Expenditures 15-22'!K283</f>
        <v>77155</v>
      </c>
      <c r="C3723" s="2" t="s">
        <v>572</v>
      </c>
      <c r="D3723" s="2" t="str">
        <f t="shared" si="57"/>
        <v>Error?</v>
      </c>
    </row>
    <row r="3724" spans="1:4" x14ac:dyDescent="0.2">
      <c r="A3724" s="5">
        <v>3663</v>
      </c>
      <c r="B3724" s="138">
        <f>'Expenditures 15-22'!K285</f>
        <v>77155</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13117517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40052589</v>
      </c>
      <c r="C4122" s="2" t="s">
        <v>572</v>
      </c>
      <c r="D4122" s="2" t="str">
        <f t="shared" si="63"/>
        <v>Error?</v>
      </c>
    </row>
    <row r="4123" spans="1:4" x14ac:dyDescent="0.2">
      <c r="A4123" s="5">
        <v>4062</v>
      </c>
      <c r="B4123" s="138">
        <f>'Acct Summary 7-8'!D10</f>
        <v>4453329</v>
      </c>
      <c r="C4123" s="2" t="s">
        <v>572</v>
      </c>
      <c r="D4123" s="2" t="str">
        <f t="shared" si="63"/>
        <v>Error?</v>
      </c>
    </row>
    <row r="4124" spans="1:4" x14ac:dyDescent="0.2">
      <c r="A4124" s="5">
        <v>4063</v>
      </c>
      <c r="B4124" s="138">
        <f>'Acct Summary 7-8'!E10</f>
        <v>1317345</v>
      </c>
      <c r="C4124" s="2" t="s">
        <v>572</v>
      </c>
      <c r="D4124" s="2" t="str">
        <f t="shared" si="63"/>
        <v>Error?</v>
      </c>
    </row>
    <row r="4125" spans="1:4" x14ac:dyDescent="0.2">
      <c r="A4125" s="5">
        <v>4064</v>
      </c>
      <c r="B4125" s="138">
        <f>'Acct Summary 7-8'!F10</f>
        <v>2206837</v>
      </c>
      <c r="C4125" s="2" t="s">
        <v>572</v>
      </c>
      <c r="D4125" s="2" t="str">
        <f t="shared" si="63"/>
        <v>Error?</v>
      </c>
    </row>
    <row r="4126" spans="1:4" x14ac:dyDescent="0.2">
      <c r="A4126" s="5">
        <v>4065</v>
      </c>
      <c r="B4126" s="138">
        <f>'Acct Summary 7-8'!G10</f>
        <v>800056</v>
      </c>
      <c r="C4126" s="2" t="s">
        <v>572</v>
      </c>
      <c r="D4126" s="2" t="str">
        <f t="shared" si="63"/>
        <v>Error?</v>
      </c>
    </row>
    <row r="4127" spans="1:4" x14ac:dyDescent="0.2">
      <c r="A4127" s="5">
        <v>4066</v>
      </c>
      <c r="B4127" s="138">
        <f>'Acct Summary 7-8'!H10</f>
        <v>5490</v>
      </c>
      <c r="C4127" s="2" t="s">
        <v>572</v>
      </c>
      <c r="D4127" s="2" t="str">
        <f t="shared" si="63"/>
        <v>Error?</v>
      </c>
    </row>
    <row r="4128" spans="1:4" x14ac:dyDescent="0.2">
      <c r="A4128" s="5">
        <v>4067</v>
      </c>
      <c r="B4128" s="138">
        <f>'Acct Summary 7-8'!I10</f>
        <v>202347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13117517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42065693</v>
      </c>
      <c r="C4136" s="2" t="s">
        <v>572</v>
      </c>
      <c r="D4136" s="2" t="str">
        <f t="shared" si="63"/>
        <v>Error?</v>
      </c>
    </row>
    <row r="4137" spans="1:4" x14ac:dyDescent="0.2">
      <c r="A4137" s="5">
        <v>4076</v>
      </c>
      <c r="B4137" s="138">
        <f>'Acct Summary 7-8'!D19</f>
        <v>3794582</v>
      </c>
      <c r="C4137" s="2" t="s">
        <v>572</v>
      </c>
      <c r="D4137" s="2" t="str">
        <f t="shared" si="63"/>
        <v>Error?</v>
      </c>
    </row>
    <row r="4138" spans="1:4" x14ac:dyDescent="0.2">
      <c r="A4138" s="5">
        <v>4077</v>
      </c>
      <c r="B4138" s="138">
        <f>'Acct Summary 7-8'!E19</f>
        <v>2589322</v>
      </c>
      <c r="C4138" s="2" t="s">
        <v>572</v>
      </c>
      <c r="D4138" s="2" t="str">
        <f t="shared" si="63"/>
        <v>Error?</v>
      </c>
    </row>
    <row r="4139" spans="1:4" x14ac:dyDescent="0.2">
      <c r="A4139" s="5">
        <v>4078</v>
      </c>
      <c r="B4139" s="138">
        <f>'Acct Summary 7-8'!F19</f>
        <v>2275169</v>
      </c>
      <c r="C4139" s="2" t="s">
        <v>572</v>
      </c>
      <c r="D4139" s="2" t="str">
        <f t="shared" si="63"/>
        <v>Error?</v>
      </c>
    </row>
    <row r="4140" spans="1:4" x14ac:dyDescent="0.2">
      <c r="A4140" s="5">
        <v>4079</v>
      </c>
      <c r="B4140" s="138">
        <f>'Acct Summary 7-8'!G19</f>
        <v>1022050</v>
      </c>
      <c r="C4140" s="2" t="s">
        <v>572</v>
      </c>
      <c r="D4140" s="2" t="str">
        <f t="shared" si="63"/>
        <v>Error?</v>
      </c>
    </row>
    <row r="4141" spans="1:4" x14ac:dyDescent="0.2">
      <c r="A4141" s="5">
        <v>4080</v>
      </c>
      <c r="B4141" s="138">
        <f>'Acct Summary 7-8'!H19</f>
        <v>102440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17783029</v>
      </c>
      <c r="C4171" s="2" t="s">
        <v>572</v>
      </c>
      <c r="D4171" s="2" t="str">
        <f t="shared" si="64"/>
        <v>Error?</v>
      </c>
    </row>
    <row r="4172" spans="1:4" x14ac:dyDescent="0.2">
      <c r="A4172" s="5">
        <v>4111</v>
      </c>
      <c r="B4172" s="138">
        <f>'Short-Term Long-Term Debt 24'!J49</f>
        <v>17781831</v>
      </c>
      <c r="C4172" s="2" t="s">
        <v>572</v>
      </c>
      <c r="D4172" s="2" t="str">
        <f t="shared" si="64"/>
        <v>Error?</v>
      </c>
    </row>
    <row r="4173" spans="1:4" x14ac:dyDescent="0.2">
      <c r="A4173" s="5">
        <v>4112</v>
      </c>
      <c r="B4173" s="138">
        <f>'Short-Term Long-Term Debt 24'!H49</f>
        <v>2110071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99492</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99492</v>
      </c>
      <c r="C4202" s="2" t="s">
        <v>572</v>
      </c>
      <c r="D4202" s="2" t="str">
        <f t="shared" si="64"/>
        <v>Error?</v>
      </c>
    </row>
    <row r="4203" spans="1:4" x14ac:dyDescent="0.2">
      <c r="A4203" s="5">
        <v>4142</v>
      </c>
      <c r="B4203" s="138">
        <f>'Expenditures 15-22'!E139</f>
        <v>99492</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2246.11</v>
      </c>
      <c r="C4265" s="2" t="s">
        <v>572</v>
      </c>
      <c r="D4265" s="2" t="str">
        <f t="shared" si="65"/>
        <v>Error?</v>
      </c>
      <c r="E4265" s="128"/>
    </row>
    <row r="4266" spans="1:5" x14ac:dyDescent="0.2">
      <c r="A4266" s="12">
        <v>4205</v>
      </c>
      <c r="B4266" s="138">
        <f>('FP Info 3'!F10)*100000</f>
        <v>321.83099999999996</v>
      </c>
      <c r="C4266" s="2" t="s">
        <v>572</v>
      </c>
      <c r="D4266" s="2" t="str">
        <f t="shared" si="65"/>
        <v>Error?</v>
      </c>
      <c r="E4266" s="128"/>
    </row>
    <row r="4267" spans="1:5" x14ac:dyDescent="0.2">
      <c r="A4267" s="12">
        <v>4206</v>
      </c>
      <c r="B4267" s="138">
        <f>('FP Info 3'!H10)*100000</f>
        <v>107.277</v>
      </c>
      <c r="C4267" s="2" t="s">
        <v>572</v>
      </c>
      <c r="D4267" s="2" t="str">
        <f t="shared" si="65"/>
        <v>Error?</v>
      </c>
      <c r="E4267" s="128"/>
    </row>
    <row r="4268" spans="1:5" x14ac:dyDescent="0.2">
      <c r="A4268" s="12">
        <v>4207</v>
      </c>
      <c r="B4268" s="138">
        <f>('FP Info 3'!J10)*100000</f>
        <v>2675</v>
      </c>
      <c r="C4268" s="2" t="s">
        <v>572</v>
      </c>
      <c r="D4268" s="2" t="str">
        <f t="shared" si="65"/>
        <v>Error?</v>
      </c>
    </row>
    <row r="4269" spans="1:5" x14ac:dyDescent="0.2">
      <c r="A4269" s="12">
        <v>4208</v>
      </c>
      <c r="B4269" s="138">
        <f>'FP Info 3'!J16</f>
        <v>18330210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78796</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81061</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58767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5291</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50348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9.3869999999999987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3237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1114595919</v>
      </c>
      <c r="D4995" s="2" t="str">
        <f t="shared" si="77"/>
        <v>Error?</v>
      </c>
    </row>
    <row r="4996" spans="1:4" x14ac:dyDescent="0.2">
      <c r="A4996" s="12">
        <v>4935</v>
      </c>
      <c r="B4996" s="138">
        <f>'FP Info 3'!H31</f>
        <v>76907118.411000013</v>
      </c>
      <c r="D4996" s="2" t="str">
        <f t="shared" si="77"/>
        <v>Error?</v>
      </c>
    </row>
    <row r="4997" spans="1:4" x14ac:dyDescent="0.2">
      <c r="A4997" s="12">
        <v>4936</v>
      </c>
      <c r="B4997" s="138">
        <f>'FP Info 3'!H37</f>
        <v>17783029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22565171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22565171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197640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197640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257333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257333</v>
      </c>
      <c r="C5087" s="2" t="s">
        <v>572</v>
      </c>
      <c r="D5087" s="2" t="str">
        <f t="shared" si="78"/>
        <v>Error?</v>
      </c>
    </row>
    <row r="5088" spans="1:4" x14ac:dyDescent="0.2">
      <c r="A5088" s="5">
        <v>5027</v>
      </c>
      <c r="B5088" s="138">
        <f>'Revenues 9-14'!C65</f>
        <v>216584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216584</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379518</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277783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277783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7537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465375</v>
      </c>
      <c r="D5119" s="2" t="str">
        <f t="shared" ref="D5119:D5182" si="79">IF(ISBLANK(B5119),"OK",IF(A5119-B5119=0,"OK","Error?"))</f>
        <v>Error?</v>
      </c>
    </row>
    <row r="5120" spans="1:4" x14ac:dyDescent="0.2">
      <c r="A5120" s="5">
        <v>5059</v>
      </c>
      <c r="B5120" s="138">
        <f>'Revenues 9-14'!C108</f>
        <v>472912</v>
      </c>
      <c r="C5120" s="2" t="s">
        <v>572</v>
      </c>
      <c r="D5120" s="2" t="str">
        <f t="shared" si="79"/>
        <v>Error?</v>
      </c>
    </row>
    <row r="5121" spans="1:4" x14ac:dyDescent="0.2">
      <c r="A5121" s="5">
        <v>5060</v>
      </c>
      <c r="B5121" s="138">
        <f>'Revenues 9-14'!C109</f>
        <v>24366941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1791940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1791940</v>
      </c>
      <c r="C5132" s="2" t="s">
        <v>572</v>
      </c>
      <c r="D5132" s="2" t="str">
        <f t="shared" si="79"/>
        <v>Error?</v>
      </c>
    </row>
    <row r="5133" spans="1:4" x14ac:dyDescent="0.2">
      <c r="A5133" s="5">
        <v>5072</v>
      </c>
      <c r="B5133" s="138">
        <f>'Revenues 9-14'!C125</f>
        <v>117387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117387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120624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1912564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91849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5291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91849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316649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6245</v>
      </c>
      <c r="D5278" s="2" t="str">
        <f t="shared" si="81"/>
        <v>Error?</v>
      </c>
    </row>
    <row r="5279" spans="1:4" x14ac:dyDescent="0.2">
      <c r="A5279" s="5">
        <v>5218</v>
      </c>
      <c r="B5279" s="138">
        <f>'Revenues 9-14'!C214</f>
        <v>126418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449312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655567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655567</v>
      </c>
      <c r="C5326" s="2" t="s">
        <v>572</v>
      </c>
      <c r="D5326" s="2" t="str">
        <f t="shared" si="82"/>
        <v>Error?</v>
      </c>
    </row>
    <row r="5327" spans="1:5" x14ac:dyDescent="0.2">
      <c r="A5327" s="5">
        <v>5266</v>
      </c>
      <c r="B5327" s="138">
        <f>'Revenues 9-14'!C268</f>
        <v>26935072</v>
      </c>
      <c r="C5327" s="2" t="s">
        <v>572</v>
      </c>
      <c r="D5327" s="2" t="str">
        <f t="shared" si="82"/>
        <v>Error?</v>
      </c>
    </row>
    <row r="5328" spans="1:5" x14ac:dyDescent="0.2">
      <c r="A5328" s="5">
        <v>5267</v>
      </c>
      <c r="B5328" s="138">
        <f>'Revenues 9-14'!D5</f>
        <v>3569802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3569802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15842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15842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75762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230979</v>
      </c>
      <c r="D5354" s="2" t="str">
        <f t="shared" si="82"/>
        <v>Error?</v>
      </c>
    </row>
    <row r="5355" spans="1:4" x14ac:dyDescent="0.2">
      <c r="A5355" s="5">
        <v>5294</v>
      </c>
      <c r="B5355" s="138">
        <f>'Revenues 9-14'!D108</f>
        <v>867685</v>
      </c>
      <c r="C5355" s="2" t="s">
        <v>572</v>
      </c>
      <c r="D5355" s="2" t="str">
        <f t="shared" si="82"/>
        <v>Error?</v>
      </c>
    </row>
    <row r="5356" spans="1:4" x14ac:dyDescent="0.2">
      <c r="A5356" s="5">
        <v>5295</v>
      </c>
      <c r="B5356" s="138">
        <f>'Revenues 9-14'!D109</f>
        <v>4453329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4453329</v>
      </c>
      <c r="C5508" s="2" t="s">
        <v>572</v>
      </c>
      <c r="D5508" s="2" t="str">
        <f t="shared" si="85"/>
        <v>Error?</v>
      </c>
    </row>
    <row r="5509" spans="1:4" x14ac:dyDescent="0.2">
      <c r="A5509" s="5">
        <v>5448</v>
      </c>
      <c r="B5509" s="138">
        <f>'Revenues 9-14'!E5</f>
        <v>764527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764527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42000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42000</v>
      </c>
      <c r="C5518" s="2" t="s">
        <v>572</v>
      </c>
      <c r="D5518" s="2" t="str">
        <f t="shared" si="85"/>
        <v>Error?</v>
      </c>
    </row>
    <row r="5519" spans="1:4" x14ac:dyDescent="0.2">
      <c r="A5519" s="5">
        <v>5458</v>
      </c>
      <c r="B5519" s="138">
        <f>'Revenues 9-14'!E65</f>
        <v>2818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2818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508000</v>
      </c>
      <c r="C5526" s="2" t="s">
        <v>572</v>
      </c>
      <c r="D5526" s="2" t="str">
        <f t="shared" si="85"/>
        <v>Error?</v>
      </c>
    </row>
    <row r="5527" spans="1:4" x14ac:dyDescent="0.2">
      <c r="A5527" s="5">
        <v>5466</v>
      </c>
      <c r="B5527" s="138">
        <f>'Revenues 9-14'!E109</f>
        <v>1317345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1317345</v>
      </c>
      <c r="C5552" s="2" t="s">
        <v>572</v>
      </c>
      <c r="D5552" s="2" t="str">
        <f t="shared" si="85"/>
        <v>Error?</v>
      </c>
    </row>
    <row r="5553" spans="1:4" x14ac:dyDescent="0.2">
      <c r="A5553" s="5">
        <v>5492</v>
      </c>
      <c r="B5553" s="138">
        <f>'Revenues 9-14'!F5</f>
        <v>1004984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1004984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2975</v>
      </c>
      <c r="D5563" s="2" t="str">
        <f t="shared" si="85"/>
        <v>Error?</v>
      </c>
    </row>
    <row r="5564" spans="1:4" x14ac:dyDescent="0.2">
      <c r="A5564" s="5">
        <v>5503</v>
      </c>
      <c r="B5564" s="138">
        <f>'Revenues 9-14'!F43</f>
        <v>495448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498423</v>
      </c>
      <c r="C5579" s="2" t="s">
        <v>572</v>
      </c>
      <c r="D5579" s="2" t="str">
        <f t="shared" si="86"/>
        <v>Error?</v>
      </c>
    </row>
    <row r="5580" spans="1:4" x14ac:dyDescent="0.2">
      <c r="A5580" s="5">
        <v>5519</v>
      </c>
      <c r="B5580" s="138">
        <f>'Revenues 9-14'!F65</f>
        <v>4865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4865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1508272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259764</v>
      </c>
      <c r="D5615" s="2" t="str">
        <f t="shared" si="86"/>
        <v>Error?</v>
      </c>
    </row>
    <row r="5616" spans="1:4" x14ac:dyDescent="0.2">
      <c r="A5616" s="10">
        <v>5555</v>
      </c>
      <c r="D5616" s="2" t="str">
        <f t="shared" si="86"/>
        <v>OK</v>
      </c>
    </row>
    <row r="5617" spans="1:5" x14ac:dyDescent="0.2">
      <c r="A5617" s="5">
        <v>5556</v>
      </c>
      <c r="B5617" s="138">
        <f>'Revenues 9-14'!F153</f>
        <v>438801</v>
      </c>
      <c r="D5617" s="2" t="str">
        <f t="shared" si="86"/>
        <v>Error?</v>
      </c>
    </row>
    <row r="5618" spans="1:5" x14ac:dyDescent="0.2">
      <c r="A5618" s="5">
        <v>5557</v>
      </c>
      <c r="B5618" s="138">
        <f>'Revenues 9-14'!F155</f>
        <v>698565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698565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698565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2206837</v>
      </c>
      <c r="C5720" s="2" t="s">
        <v>572</v>
      </c>
      <c r="D5720" s="2" t="str">
        <f t="shared" si="88"/>
        <v>Error?</v>
      </c>
    </row>
    <row r="5721" spans="1:4" x14ac:dyDescent="0.2">
      <c r="A5721" s="5">
        <v>5660</v>
      </c>
      <c r="B5721" s="138">
        <f>'Revenues 9-14'!G5</f>
        <v>234885</v>
      </c>
      <c r="D5721" s="2" t="str">
        <f t="shared" si="88"/>
        <v>Error?</v>
      </c>
    </row>
    <row r="5722" spans="1:4" x14ac:dyDescent="0.2">
      <c r="A5722" s="5">
        <v>5661</v>
      </c>
      <c r="B5722" s="138">
        <f>'Revenues 9-14'!G7</f>
        <v>66536</v>
      </c>
      <c r="D5722" s="2" t="str">
        <f t="shared" si="88"/>
        <v>Error?</v>
      </c>
    </row>
    <row r="5723" spans="1:4" x14ac:dyDescent="0.2">
      <c r="A5723" s="5">
        <v>5662</v>
      </c>
      <c r="B5723" s="138">
        <f>'Revenues 9-14'!G8</f>
        <v>234885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536306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257000</v>
      </c>
      <c r="C5730" s="2" t="s">
        <v>572</v>
      </c>
      <c r="D5730" s="2" t="str">
        <f t="shared" si="88"/>
        <v>Error?</v>
      </c>
    </row>
    <row r="5731" spans="1:4" x14ac:dyDescent="0.2">
      <c r="A5731" s="5">
        <v>5670</v>
      </c>
      <c r="B5731" s="138">
        <f>'Revenues 9-14'!G65</f>
        <v>6750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6750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800056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5490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5490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5490</v>
      </c>
      <c r="C5915" s="2" t="s">
        <v>572</v>
      </c>
      <c r="D5915" s="2" t="str">
        <f t="shared" si="91"/>
        <v>Error?</v>
      </c>
    </row>
    <row r="5916" spans="1:4" x14ac:dyDescent="0.2">
      <c r="A5916" s="5">
        <v>5855</v>
      </c>
      <c r="B5916" s="138">
        <f>'Revenues 9-14'!I5</f>
        <v>94453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94453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107894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107894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202347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800056</v>
      </c>
      <c r="C6024" s="2" t="s">
        <v>572</v>
      </c>
      <c r="D6024" s="2" t="str">
        <f t="shared" si="93"/>
        <v>Error?</v>
      </c>
    </row>
    <row r="6025" spans="1:5" x14ac:dyDescent="0.2">
      <c r="A6025" s="5">
        <v>5964</v>
      </c>
      <c r="B6025" s="138">
        <f>'Revenues 9-14'!H109</f>
        <v>5490</v>
      </c>
      <c r="C6025" s="2" t="s">
        <v>572</v>
      </c>
      <c r="D6025" s="2" t="str">
        <f t="shared" si="93"/>
        <v>Error?</v>
      </c>
    </row>
    <row r="6026" spans="1:5" x14ac:dyDescent="0.2">
      <c r="A6026" s="5">
        <v>5965</v>
      </c>
      <c r="B6026" s="138">
        <f>'Revenues 9-14'!I109</f>
        <v>202347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379518</v>
      </c>
      <c r="D6031" s="2" t="str">
        <f t="shared" si="93"/>
        <v>Error?</v>
      </c>
    </row>
    <row r="6032" spans="1:5" x14ac:dyDescent="0.2">
      <c r="A6032" s="5">
        <v>5971</v>
      </c>
      <c r="B6032" s="138">
        <f>'Acct Summary 7-8'!G15</f>
        <v>77155</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2144.8000000000002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67005</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-2190034</v>
      </c>
      <c r="D6267" s="2" t="str">
        <f t="shared" si="96"/>
        <v>Error?</v>
      </c>
      <c r="E6267" s="2" t="s">
        <v>190</v>
      </c>
    </row>
    <row r="6268" spans="1:5" x14ac:dyDescent="0.2">
      <c r="A6268">
        <v>6207</v>
      </c>
      <c r="B6268" s="138">
        <f>'Acct Summary 7-8'!D82</f>
        <v>-282753</v>
      </c>
      <c r="D6268" s="2" t="str">
        <f t="shared" si="96"/>
        <v>Error?</v>
      </c>
      <c r="E6268" s="2" t="s">
        <v>190</v>
      </c>
    </row>
    <row r="6269" spans="1:5" x14ac:dyDescent="0.2">
      <c r="A6269">
        <v>6208</v>
      </c>
      <c r="B6269" s="138">
        <f>'Acct Summary 7-8'!E82</f>
        <v>-51547</v>
      </c>
      <c r="D6269" s="2" t="str">
        <f t="shared" si="96"/>
        <v>Error?</v>
      </c>
      <c r="E6269" s="2" t="s">
        <v>190</v>
      </c>
    </row>
    <row r="6270" spans="1:5" x14ac:dyDescent="0.2">
      <c r="A6270">
        <v>6209</v>
      </c>
      <c r="B6270" s="138">
        <f>'Acct Summary 7-8'!F82</f>
        <v>-68332</v>
      </c>
      <c r="D6270" s="2" t="str">
        <f t="shared" si="96"/>
        <v>Error?</v>
      </c>
      <c r="E6270" s="2" t="s">
        <v>190</v>
      </c>
    </row>
    <row r="6271" spans="1:5" x14ac:dyDescent="0.2">
      <c r="A6271">
        <v>6210</v>
      </c>
      <c r="B6271" s="138">
        <f>'Acct Summary 7-8'!G82</f>
        <v>-221994</v>
      </c>
      <c r="D6271" s="2" t="str">
        <f t="shared" ref="D6271:D6334" si="97">IF(ISBLANK(B6271),"OK",IF(A6271-B6271=0,"OK","Error?"))</f>
        <v>Error?</v>
      </c>
      <c r="E6271" s="2" t="s">
        <v>190</v>
      </c>
    </row>
    <row r="6272" spans="1:5" x14ac:dyDescent="0.2">
      <c r="A6272">
        <v>6211</v>
      </c>
      <c r="B6272" s="138">
        <f>'Acct Summary 7-8'!H82</f>
        <v>6005493</v>
      </c>
      <c r="D6272" s="2" t="str">
        <f t="shared" si="97"/>
        <v>Error?</v>
      </c>
      <c r="E6272" s="2" t="s">
        <v>190</v>
      </c>
    </row>
    <row r="6273" spans="1:5" x14ac:dyDescent="0.2">
      <c r="A6273">
        <v>6212</v>
      </c>
      <c r="B6273" s="138">
        <f>'Acct Summary 7-8'!I82</f>
        <v>100347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-0.19849938606633891</v>
      </c>
      <c r="D6276" s="2" t="str">
        <f t="shared" si="97"/>
        <v>Error?</v>
      </c>
      <c r="E6276" s="2" t="s">
        <v>190</v>
      </c>
    </row>
    <row r="6277" spans="1:5" x14ac:dyDescent="0.2">
      <c r="A6277">
        <v>6216</v>
      </c>
      <c r="B6277" s="138">
        <f>'Acct Summary 7-8'!D83</f>
        <v>-0.20141871354110644</v>
      </c>
      <c r="D6277" s="2" t="str">
        <f t="shared" si="97"/>
        <v>Error?</v>
      </c>
      <c r="E6277" s="2" t="s">
        <v>190</v>
      </c>
    </row>
    <row r="6278" spans="1:5" x14ac:dyDescent="0.2">
      <c r="A6278">
        <v>6217</v>
      </c>
      <c r="B6278" s="138">
        <f>'Acct Summary 7-8'!E83</f>
        <v>-43.027545909849749</v>
      </c>
      <c r="D6278" s="2" t="str">
        <f t="shared" si="97"/>
        <v>Error?</v>
      </c>
      <c r="E6278" s="2" t="s">
        <v>190</v>
      </c>
    </row>
    <row r="6279" spans="1:5" x14ac:dyDescent="0.2">
      <c r="A6279">
        <v>6218</v>
      </c>
      <c r="B6279" s="138">
        <f>'Acct Summary 7-8'!F83</f>
        <v>-0.25986096533260317</v>
      </c>
      <c r="D6279" s="2" t="str">
        <f t="shared" si="97"/>
        <v>Error?</v>
      </c>
      <c r="E6279" s="2" t="s">
        <v>190</v>
      </c>
    </row>
    <row r="6280" spans="1:5" x14ac:dyDescent="0.2">
      <c r="A6280">
        <v>6219</v>
      </c>
      <c r="B6280" s="138">
        <f>'Acct Summary 7-8'!G83</f>
        <v>-0.77304305130428419</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1.7822053332423999E-2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160071</v>
      </c>
      <c r="D6285" s="2" t="str">
        <f t="shared" si="97"/>
        <v>Error?</v>
      </c>
      <c r="E6285" s="2" t="s">
        <v>190</v>
      </c>
    </row>
    <row r="6286" spans="1:5" x14ac:dyDescent="0.2">
      <c r="A6286">
        <v>6225</v>
      </c>
      <c r="B6286" s="138">
        <f>'Acct Summary 7-8'!E38</f>
        <v>16859</v>
      </c>
      <c r="D6286" s="2" t="str">
        <f t="shared" si="97"/>
        <v>Error?</v>
      </c>
      <c r="E6286" s="2" t="s">
        <v>190</v>
      </c>
    </row>
    <row r="6287" spans="1:5" x14ac:dyDescent="0.2">
      <c r="A6287">
        <v>6226</v>
      </c>
      <c r="B6287" s="138">
        <f>'Acct Summary 7-8'!E39</f>
        <v>1000000</v>
      </c>
      <c r="D6287" s="2" t="str">
        <f t="shared" si="97"/>
        <v>Error?</v>
      </c>
      <c r="E6287" s="2" t="s">
        <v>190</v>
      </c>
    </row>
    <row r="6288" spans="1:5" x14ac:dyDescent="0.2">
      <c r="A6288">
        <v>6227</v>
      </c>
      <c r="B6288" s="138">
        <f>'Acct Summary 7-8'!E40</f>
        <v>43500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28455</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532489</v>
      </c>
      <c r="D6331" s="2" t="str">
        <f t="shared" si="97"/>
        <v>Error?</v>
      </c>
      <c r="E6331" s="2" t="s">
        <v>190</v>
      </c>
    </row>
    <row r="6332" spans="1:5" x14ac:dyDescent="0.2">
      <c r="A6332">
        <v>6271</v>
      </c>
      <c r="B6332" s="138">
        <f>'Revenues 9-14'!E100</f>
        <v>508000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70083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457163</v>
      </c>
      <c r="D6880" s="2" t="str">
        <f t="shared" si="106"/>
        <v>Error?</v>
      </c>
    </row>
    <row r="6881" spans="1:4" x14ac:dyDescent="0.2">
      <c r="A6881">
        <v>6820</v>
      </c>
      <c r="B6881" s="138">
        <f>'Expenditures 15-22'!K22</f>
        <v>457163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918</v>
      </c>
      <c r="D7075" s="2" t="str">
        <f t="shared" si="109"/>
        <v>Error?</v>
      </c>
    </row>
    <row r="7076" spans="1:4" x14ac:dyDescent="0.2">
      <c r="A7076">
        <v>7015</v>
      </c>
      <c r="B7076" s="138">
        <f>'Expenditures 15-22'!K218</f>
        <v>918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59952</v>
      </c>
      <c r="D7251" s="2" t="str">
        <f t="shared" si="112"/>
        <v>Error?</v>
      </c>
    </row>
    <row r="7252" spans="1:4" x14ac:dyDescent="0.2">
      <c r="A7252">
        <f t="shared" si="113"/>
        <v>7191</v>
      </c>
      <c r="B7252" s="138">
        <f>'Expenditures 15-22'!D9</f>
        <v>9477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654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1917093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160071</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16859</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1000000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43500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102000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2688631</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1190</v>
      </c>
      <c r="B2" s="2404"/>
      <c r="C2" s="2404"/>
      <c r="D2" s="2404"/>
      <c r="E2" s="2404"/>
      <c r="F2" s="2404"/>
      <c r="G2" s="2404"/>
      <c r="H2" s="2404"/>
      <c r="I2" s="2404"/>
      <c r="J2" s="2404"/>
      <c r="K2" s="2404"/>
      <c r="L2" s="2404"/>
    </row>
    <row r="3" spans="1:29" ht="13.5" customHeight="1" x14ac:dyDescent="0.2">
      <c r="A3" s="2390" t="s">
        <v>1189</v>
      </c>
      <c r="B3" s="2390"/>
      <c r="C3" s="2390"/>
      <c r="D3" s="2390"/>
      <c r="E3" s="2390"/>
      <c r="F3" s="2390"/>
      <c r="G3" s="2390"/>
      <c r="H3" s="2390"/>
      <c r="I3" s="2390"/>
      <c r="J3" s="2390"/>
      <c r="K3" s="2390"/>
      <c r="L3" s="2390"/>
    </row>
    <row r="4" spans="1:29" ht="13.5" customHeight="1" x14ac:dyDescent="0.2">
      <c r="A4" s="2404" t="s">
        <v>1988</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4" t="str">
        <f>COVER!A17</f>
        <v>Libertyville SD 70</v>
      </c>
      <c r="B7" s="2385"/>
      <c r="C7" s="2385"/>
      <c r="D7" s="2422"/>
      <c r="E7" s="2423">
        <f>COVER!A13</f>
        <v>34049070002</v>
      </c>
      <c r="F7" s="2424"/>
      <c r="G7" s="2391" t="str">
        <f>COVER!T23</f>
        <v>066-033289</v>
      </c>
      <c r="H7" s="2392"/>
      <c r="I7" s="2392"/>
      <c r="J7" s="2392"/>
      <c r="K7" s="2392"/>
      <c r="L7" s="239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4"/>
      <c r="B9" s="2395"/>
      <c r="C9" s="2395"/>
      <c r="D9" s="2395"/>
      <c r="E9" s="2395"/>
      <c r="F9" s="2396"/>
      <c r="G9" s="2397" t="str">
        <f>COVER!T13</f>
        <v>EVOY, KAMSCHULTE, JACOBS &amp; CO., LLP</v>
      </c>
      <c r="H9" s="2398"/>
      <c r="I9" s="2398"/>
      <c r="J9" s="2398"/>
      <c r="K9" s="2398"/>
      <c r="L9" s="2399"/>
    </row>
    <row r="10" spans="1:29" ht="13.5" customHeight="1" x14ac:dyDescent="0.2">
      <c r="A10" s="2381">
        <f>COVER!A38</f>
        <v>0</v>
      </c>
      <c r="B10" s="2382"/>
      <c r="C10" s="2382"/>
      <c r="D10" s="2382"/>
      <c r="E10" s="2382"/>
      <c r="F10" s="2383"/>
      <c r="G10" s="2397" t="str">
        <f>COVER!T17</f>
        <v>2122 YEOMAN ST</v>
      </c>
      <c r="H10" s="2410"/>
      <c r="I10" s="2410"/>
      <c r="J10" s="2410"/>
      <c r="K10" s="2410"/>
      <c r="L10" s="2411"/>
    </row>
    <row r="11" spans="1:29" ht="13.5" customHeight="1" x14ac:dyDescent="0.2">
      <c r="A11" s="1184" t="s">
        <v>1518</v>
      </c>
      <c r="B11" s="1185"/>
      <c r="C11" s="1186"/>
      <c r="D11" s="1191"/>
      <c r="E11" s="1186"/>
      <c r="F11" s="1190"/>
      <c r="G11" s="2397" t="str">
        <f>COVER!T19</f>
        <v>WAUKEGAN</v>
      </c>
      <c r="H11" s="2410"/>
      <c r="I11" s="2410"/>
      <c r="J11" s="2410"/>
      <c r="K11" s="2410"/>
      <c r="L11" s="2411"/>
    </row>
    <row r="12" spans="1:29" ht="13.5" customHeight="1" x14ac:dyDescent="0.2">
      <c r="A12" s="2415" t="s">
        <v>1517</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1519</v>
      </c>
      <c r="H13" s="2406"/>
      <c r="I13" s="2418" t="str">
        <f>COVER!T25</f>
        <v>kkinnavy@ekjllp.com</v>
      </c>
      <c r="J13" s="2419"/>
      <c r="K13" s="2419"/>
      <c r="L13" s="2420"/>
    </row>
    <row r="14" spans="1:29" ht="13.5" customHeight="1" x14ac:dyDescent="0.2">
      <c r="A14" s="2397" t="str">
        <f>COVER!A19</f>
        <v>1441 LAKE STRRET</v>
      </c>
      <c r="B14" s="2410"/>
      <c r="C14" s="2410"/>
      <c r="D14" s="2410"/>
      <c r="E14" s="2410"/>
      <c r="F14" s="2411"/>
      <c r="G14" s="1195" t="s">
        <v>1184</v>
      </c>
      <c r="H14" s="1193"/>
      <c r="I14" s="1193"/>
      <c r="J14" s="1193"/>
      <c r="K14" s="1193"/>
      <c r="L14" s="1194"/>
    </row>
    <row r="15" spans="1:29" ht="13.5" customHeight="1" x14ac:dyDescent="0.2">
      <c r="A15" s="2397" t="str">
        <f>COVER!A21</f>
        <v xml:space="preserve">LIBERTYVILLE </v>
      </c>
      <c r="B15" s="2410"/>
      <c r="C15" s="2410"/>
      <c r="D15" s="2410"/>
      <c r="E15" s="2410"/>
      <c r="F15" s="2411"/>
      <c r="G15" s="2407" t="str">
        <f>COVER!T15</f>
        <v>KEVIN KINNAVY</v>
      </c>
      <c r="H15" s="2408"/>
      <c r="I15" s="2408"/>
      <c r="J15" s="2408"/>
      <c r="K15" s="2408"/>
      <c r="L15" s="2409"/>
    </row>
    <row r="16" spans="1:29" ht="12.2" customHeight="1" x14ac:dyDescent="0.2">
      <c r="A16" s="2387">
        <f>COVER!A25</f>
        <v>60048</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1183</v>
      </c>
      <c r="H17" s="1193"/>
      <c r="I17" s="1193"/>
      <c r="J17" s="1193"/>
      <c r="K17" s="1197" t="s">
        <v>1182</v>
      </c>
      <c r="L17" s="1190"/>
      <c r="M17" s="1183"/>
    </row>
    <row r="18" spans="1:13" ht="12.2" customHeight="1" x14ac:dyDescent="0.2">
      <c r="A18" s="2381"/>
      <c r="B18" s="2382"/>
      <c r="C18" s="2382"/>
      <c r="D18" s="2382"/>
      <c r="E18" s="2382"/>
      <c r="F18" s="2383"/>
      <c r="G18" s="2384" t="str">
        <f>COVER!T21</f>
        <v>847-662-8300</v>
      </c>
      <c r="H18" s="2385"/>
      <c r="I18" s="2385"/>
      <c r="J18" s="2385"/>
      <c r="K18" s="2384" t="str">
        <f>COVER!X21</f>
        <v>847-662-8305</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Libertyville SD 70</v>
      </c>
      <c r="B1" s="2421"/>
      <c r="C1" s="2421"/>
      <c r="D1" s="2421"/>
    </row>
    <row r="2" spans="1:11" s="1212" customFormat="1" ht="12.75" x14ac:dyDescent="0.2">
      <c r="A2" s="2426">
        <f>'Single Audit Cover'!E7</f>
        <v>34049070002</v>
      </c>
      <c r="B2" s="2427"/>
      <c r="C2" s="2427"/>
      <c r="D2" s="2427"/>
    </row>
    <row r="3" spans="1:11" s="1212" customFormat="1" ht="12.75" x14ac:dyDescent="0.2">
      <c r="A3" s="2425" t="s">
        <v>1512</v>
      </c>
      <c r="B3" s="2421"/>
      <c r="C3" s="2421"/>
      <c r="D3" s="242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Libertyville SD 70</v>
      </c>
      <c r="B1" s="2429"/>
      <c r="C1" s="2429"/>
      <c r="D1" s="2429"/>
      <c r="E1" s="2429"/>
    </row>
    <row r="2" spans="1:5" x14ac:dyDescent="0.2">
      <c r="A2" s="2430">
        <f>'Single Audit Cover'!E7</f>
        <v>34049070002</v>
      </c>
      <c r="B2" s="2430"/>
      <c r="C2" s="2430"/>
      <c r="D2" s="2430"/>
      <c r="E2" s="2430"/>
    </row>
    <row r="3" spans="1:5" ht="4.5" customHeight="1" x14ac:dyDescent="0.2"/>
    <row r="4" spans="1:5" x14ac:dyDescent="0.2">
      <c r="A4" s="2429" t="s">
        <v>1244</v>
      </c>
      <c r="B4" s="2429"/>
      <c r="C4" s="2429"/>
      <c r="D4" s="2429"/>
      <c r="E4" s="2429"/>
    </row>
    <row r="5" spans="1:5" x14ac:dyDescent="0.2">
      <c r="A5" s="2432" t="str">
        <f>'Single Audit Cover'!A4</f>
        <v>Year Ending June 30, 2019</v>
      </c>
      <c r="B5" s="2432"/>
      <c r="C5" s="2432"/>
      <c r="D5" s="2432"/>
      <c r="E5" s="2432"/>
    </row>
    <row r="6" spans="1:5" x14ac:dyDescent="0.2">
      <c r="A6" s="2429" t="s">
        <v>1243</v>
      </c>
      <c r="B6" s="2429"/>
      <c r="C6" s="2429"/>
      <c r="D6" s="2429"/>
      <c r="E6" s="2429"/>
    </row>
    <row r="8" spans="1:5" x14ac:dyDescent="0.2">
      <c r="A8" s="1257" t="s">
        <v>1242</v>
      </c>
    </row>
    <row r="10" spans="1:5" x14ac:dyDescent="0.2">
      <c r="A10" s="1258" t="s">
        <v>1241</v>
      </c>
      <c r="B10" s="1259" t="s">
        <v>1240</v>
      </c>
      <c r="C10" s="1259"/>
      <c r="D10" s="1260">
        <f>SUM('Acct Summary 7-8'!C7:K7)</f>
        <v>655567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0</v>
      </c>
    </row>
    <row r="19" spans="1:4" ht="13.5" thickBot="1" x14ac:dyDescent="0.25">
      <c r="A19" s="1262" t="s">
        <v>1234</v>
      </c>
      <c r="D19" s="1263">
        <f>SUM(D10:D17)</f>
        <v>655567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1232</v>
      </c>
      <c r="D32" s="1260">
        <f>SUM(D19:D30)</f>
        <v>655567</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1226</v>
      </c>
      <c r="C47" s="1269"/>
      <c r="D47" s="1270">
        <f>SUM(D35:D45)</f>
        <v>0</v>
      </c>
    </row>
    <row r="49" spans="2:4" x14ac:dyDescent="0.2">
      <c r="B49" s="1269" t="s">
        <v>1225</v>
      </c>
      <c r="C49" s="1269"/>
      <c r="D49" s="1270">
        <f>D32-D47</f>
        <v>655567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Libertyville SD 70</v>
      </c>
      <c r="C1" s="2433"/>
      <c r="D1" s="2433"/>
      <c r="E1" s="2433"/>
      <c r="F1" s="2433"/>
      <c r="G1" s="2433"/>
      <c r="H1" s="2433"/>
      <c r="I1" s="2433"/>
      <c r="J1" s="2433"/>
      <c r="K1" s="2433"/>
      <c r="L1" s="2433"/>
      <c r="M1" s="2433"/>
    </row>
    <row r="2" spans="2:14" ht="15" x14ac:dyDescent="0.2">
      <c r="B2" s="2434">
        <f>'Single Audit Cover'!E7</f>
        <v>34049070002</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Libertyville SD 70</v>
      </c>
      <c r="B1" s="2438"/>
      <c r="C1" s="2438"/>
      <c r="D1" s="2438"/>
      <c r="E1" s="2438"/>
      <c r="F1" s="2438"/>
    </row>
    <row r="2" spans="1:7" ht="13.5" customHeight="1" x14ac:dyDescent="0.2">
      <c r="A2" s="2434">
        <f>'Single Audit Cover'!E7</f>
        <v>34049070002</v>
      </c>
      <c r="B2" s="2434"/>
      <c r="C2" s="2434"/>
      <c r="D2" s="2434"/>
      <c r="E2" s="2434"/>
      <c r="F2" s="2434"/>
      <c r="G2" s="1272"/>
    </row>
    <row r="3" spans="1:7" ht="15.75" customHeight="1" x14ac:dyDescent="0.2">
      <c r="A3" s="2439" t="s">
        <v>1270</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1727</v>
      </c>
      <c r="C6" s="317"/>
      <c r="D6" s="317"/>
    </row>
    <row r="7" spans="1:7" ht="60.95" customHeight="1" x14ac:dyDescent="0.2">
      <c r="A7" s="2437" t="s">
        <v>1728</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7" t="s">
        <v>1730</v>
      </c>
      <c r="B13" s="2437"/>
      <c r="C13" s="2437"/>
      <c r="D13" s="2437"/>
      <c r="E13" s="2437"/>
      <c r="F13" s="2437"/>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5" t="s">
        <v>1731</v>
      </c>
      <c r="B32" s="2445"/>
      <c r="C32" s="2445"/>
      <c r="D32" s="2445"/>
      <c r="E32" s="2445"/>
      <c r="F32" s="2445"/>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6">
        <f>+C33+C34</f>
        <v>0</v>
      </c>
      <c r="F34" s="244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1589</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1550</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1167</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8" t="s">
        <v>1632</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312</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2063</v>
      </c>
      <c r="C53" s="179">
        <v>22</v>
      </c>
      <c r="D53" s="247" t="s">
        <v>1461</v>
      </c>
      <c r="E53" s="248"/>
      <c r="F53" s="249"/>
      <c r="G53" s="249" t="s">
        <v>1460</v>
      </c>
      <c r="H53" s="250">
        <v>33604</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1322</v>
      </c>
      <c r="B70" s="2071"/>
      <c r="C70" s="2071"/>
      <c r="D70" s="2071"/>
      <c r="E70" s="2072"/>
      <c r="F70" s="2072"/>
      <c r="G70" s="2072"/>
      <c r="H70" s="2072"/>
      <c r="I70" s="207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1319</v>
      </c>
      <c r="B83" s="2073"/>
      <c r="C83" s="2073"/>
      <c r="D83" s="207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2118</v>
      </c>
      <c r="D114" s="206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1329</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Libertyville SD 70</v>
      </c>
      <c r="C1" s="2454"/>
      <c r="D1" s="2454"/>
      <c r="E1" s="2454"/>
      <c r="F1" s="2454"/>
      <c r="G1" s="2454"/>
      <c r="H1" s="2454"/>
      <c r="I1" s="2454"/>
      <c r="J1" s="1406"/>
    </row>
    <row r="2" spans="2:10" s="317" customFormat="1" ht="12.75" customHeight="1" x14ac:dyDescent="0.2">
      <c r="B2" s="2455">
        <f>'Single Audit Cover'!E7</f>
        <v>34049070002</v>
      </c>
      <c r="C2" s="2456"/>
      <c r="D2" s="2456"/>
      <c r="E2" s="2456"/>
      <c r="F2" s="2456"/>
      <c r="G2" s="2456"/>
      <c r="H2" s="2456"/>
      <c r="I2" s="2456"/>
      <c r="J2" s="1406"/>
    </row>
    <row r="3" spans="2:10" s="317" customFormat="1" ht="12.75" customHeight="1" x14ac:dyDescent="0.2">
      <c r="B3" s="2457" t="s">
        <v>1284</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1283</v>
      </c>
      <c r="C7" s="2458"/>
      <c r="D7" s="2458"/>
      <c r="E7" s="2458"/>
      <c r="F7" s="2458"/>
      <c r="G7" s="2458"/>
      <c r="H7" s="2458"/>
      <c r="I7" s="2458"/>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59"/>
      <c r="D11" s="2459"/>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0"/>
      <c r="E29" s="2460"/>
      <c r="F29" s="2460"/>
      <c r="G29" s="2460"/>
      <c r="H29" s="2460"/>
      <c r="I29" s="2460"/>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1" t="s">
        <v>1750</v>
      </c>
      <c r="D37" s="2462"/>
      <c r="E37" s="2462"/>
      <c r="F37" s="2463"/>
      <c r="G37" s="2461" t="s">
        <v>1591</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1592</v>
      </c>
      <c r="D43" s="2468"/>
      <c r="E43" s="2468"/>
      <c r="F43" s="2469"/>
      <c r="G43" s="2470">
        <f>SUM(G38:I42)</f>
        <v>0</v>
      </c>
      <c r="H43" s="2470"/>
      <c r="I43" s="2470"/>
    </row>
    <row r="44" spans="2:9" ht="12.75" customHeight="1" x14ac:dyDescent="0.2"/>
    <row r="45" spans="2:9" ht="12.75" customHeight="1" x14ac:dyDescent="0.2">
      <c r="B45" s="1419" t="s">
        <v>1840</v>
      </c>
      <c r="D45" s="2471">
        <v>0</v>
      </c>
      <c r="E45" s="2472"/>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3"/>
      <c r="F49" s="2473"/>
      <c r="G49" s="2473"/>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Libertyville SD 70</v>
      </c>
      <c r="C1" s="2453"/>
      <c r="D1" s="2453"/>
      <c r="E1" s="2453"/>
      <c r="F1" s="2453"/>
      <c r="G1" s="2453"/>
      <c r="H1" s="2453"/>
      <c r="I1" s="2453"/>
      <c r="J1" s="2453"/>
      <c r="K1" s="2453"/>
      <c r="L1" s="1371"/>
      <c r="M1" s="1371"/>
    </row>
    <row r="2" spans="1:13" ht="12" customHeight="1" x14ac:dyDescent="0.2">
      <c r="B2" s="2455">
        <f>'Single Audit Cover'!E7</f>
        <v>34049070002</v>
      </c>
      <c r="C2" s="2455"/>
      <c r="D2" s="2455"/>
      <c r="E2" s="2455"/>
      <c r="F2" s="2455"/>
      <c r="G2" s="2455"/>
      <c r="H2" s="2455"/>
      <c r="I2" s="2455"/>
      <c r="J2" s="2455"/>
      <c r="K2" s="2455"/>
      <c r="L2" s="1372"/>
      <c r="M2" s="1373"/>
    </row>
    <row r="3" spans="1:13" ht="10.35" customHeight="1" x14ac:dyDescent="0.2">
      <c r="B3" s="2476" t="s">
        <v>1284</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1295</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Libertyville SD 70</v>
      </c>
      <c r="C1" s="2480"/>
      <c r="D1" s="2480"/>
      <c r="E1" s="2480"/>
      <c r="F1" s="2480"/>
      <c r="G1" s="2480"/>
      <c r="H1" s="2480"/>
      <c r="I1" s="2480"/>
      <c r="J1" s="2480"/>
      <c r="K1" s="2480"/>
      <c r="L1" s="1449"/>
    </row>
    <row r="2" spans="1:12" ht="12.75" customHeight="1" x14ac:dyDescent="0.2">
      <c r="B2" s="2481">
        <f>'Single Audit Cover'!E7</f>
        <v>34049070002</v>
      </c>
      <c r="C2" s="2481"/>
      <c r="D2" s="2481"/>
      <c r="E2" s="2481"/>
      <c r="F2" s="2481"/>
      <c r="G2" s="2481"/>
      <c r="H2" s="2481"/>
      <c r="I2" s="2481"/>
      <c r="J2" s="2481"/>
      <c r="K2" s="2481"/>
      <c r="L2" s="1450"/>
    </row>
    <row r="3" spans="1:12" ht="12.75" customHeight="1" x14ac:dyDescent="0.2">
      <c r="B3" s="2476" t="s">
        <v>1284</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1168</v>
      </c>
      <c r="C5" s="1257"/>
      <c r="L5" s="322"/>
    </row>
    <row r="6" spans="1:12" ht="30.75" customHeight="1" x14ac:dyDescent="0.2">
      <c r="A6" s="322"/>
      <c r="B6" s="2482" t="s">
        <v>1307</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3"/>
      <c r="E14" s="2483"/>
      <c r="F14" s="2483"/>
      <c r="H14" s="1459" t="s">
        <v>1302</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4"/>
      <c r="E16" s="2484"/>
      <c r="F16" s="2484"/>
      <c r="G16" s="2484"/>
      <c r="H16" s="2484"/>
      <c r="I16" s="2484"/>
      <c r="J16" s="2484"/>
      <c r="K16" s="2484"/>
      <c r="L16" s="322"/>
    </row>
    <row r="17" spans="2:12" ht="13.5" customHeight="1" x14ac:dyDescent="0.2">
      <c r="B17" s="1384" t="s">
        <v>1300</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Libertyville SD 70</v>
      </c>
      <c r="C1" s="2453"/>
      <c r="D1" s="2453"/>
      <c r="E1" s="1469"/>
    </row>
    <row r="2" spans="2:5" s="1279" customFormat="1" ht="12.75" customHeight="1" x14ac:dyDescent="0.2">
      <c r="B2" s="2455">
        <f>'Single Audit Cover'!E7</f>
        <v>34049070002</v>
      </c>
      <c r="C2" s="2455"/>
      <c r="D2" s="2455"/>
      <c r="E2" s="1470"/>
    </row>
    <row r="3" spans="2:5" ht="12.75" customHeight="1" x14ac:dyDescent="0.2">
      <c r="B3" s="2476" t="s">
        <v>1765</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385</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1114595919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2.2461100000000001E-2</v>
      </c>
      <c r="E10" s="356" t="s">
        <v>1004</v>
      </c>
      <c r="F10" s="355">
        <v>3.2183099999999998E-3</v>
      </c>
      <c r="G10" s="356" t="s">
        <v>1004</v>
      </c>
      <c r="H10" s="355">
        <v>1.07277E-3</v>
      </c>
      <c r="I10" s="356" t="s">
        <v>1005</v>
      </c>
      <c r="J10" s="1732">
        <f>ROUND(D10+F10+H10,5)</f>
        <v>2.6749999999999999E-2</v>
      </c>
      <c r="K10" s="222"/>
      <c r="L10" s="355">
        <v>9.3869999999999994E-5</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33797585</v>
      </c>
      <c r="E16" s="356"/>
      <c r="F16" s="1733">
        <f>SUM('Acct Summary 7-8'!C17,'Acct Summary 7-8'!D17,'Acct Summary 7-8'!F17)</f>
        <v>35017927</v>
      </c>
      <c r="G16" s="356"/>
      <c r="H16" s="1733">
        <f>SUM(D16-F16)</f>
        <v>-1220342</v>
      </c>
      <c r="I16" s="222"/>
      <c r="J16" s="1733">
        <f>SUM('Acct Summary 7-8'!C81,'Acct Summary 7-8'!D81,'Acct Summary 7-8'!F81,'Acct Summary 7-8'!I81)</f>
        <v>18330210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585</v>
      </c>
      <c r="D31" s="237" t="s">
        <v>1071</v>
      </c>
      <c r="E31" s="222"/>
      <c r="F31" s="222"/>
      <c r="G31" s="363"/>
      <c r="H31" s="1735">
        <f>IF(B31="X",(J7*0.069),IF(B32="X",(J7*0.138),"Enter x in a.or b."))</f>
        <v>76907118.411000013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17783029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555</v>
      </c>
      <c r="B2" s="2103"/>
      <c r="C2" s="2103"/>
      <c r="D2" s="2103"/>
      <c r="E2" s="2103"/>
      <c r="F2" s="2103"/>
      <c r="G2" s="2103"/>
      <c r="H2" s="2103"/>
      <c r="I2" s="2103"/>
      <c r="J2" s="2103"/>
      <c r="K2" s="2103"/>
      <c r="L2" s="2103"/>
      <c r="M2" s="2103"/>
      <c r="N2" s="2103"/>
      <c r="O2" s="2103"/>
      <c r="P2" s="2103"/>
      <c r="Q2" s="2103"/>
      <c r="R2" s="2103"/>
    </row>
    <row r="3" spans="1:18" ht="12.75" x14ac:dyDescent="0.2">
      <c r="A3" s="2104" t="s">
        <v>1412</v>
      </c>
      <c r="B3" s="2104"/>
      <c r="C3" s="2104"/>
      <c r="D3" s="2104"/>
      <c r="E3" s="2104"/>
      <c r="F3" s="2104"/>
      <c r="G3" s="2104"/>
      <c r="H3" s="2104"/>
      <c r="I3" s="2104"/>
      <c r="J3" s="2104"/>
      <c r="K3" s="2104"/>
      <c r="L3" s="2104"/>
      <c r="M3" s="2104"/>
      <c r="N3" s="2104"/>
      <c r="O3" s="2104"/>
      <c r="P3" s="2104"/>
      <c r="Q3" s="2104"/>
      <c r="R3" s="2104"/>
    </row>
    <row r="4" spans="1:18" x14ac:dyDescent="0.2">
      <c r="A4" s="2105" t="s">
        <v>1553</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Libertyville SD 70</v>
      </c>
      <c r="E7" s="391"/>
      <c r="G7" s="252"/>
      <c r="H7" s="387"/>
      <c r="I7" s="387"/>
      <c r="J7" s="387"/>
      <c r="K7" s="387"/>
      <c r="L7" s="329"/>
      <c r="M7" s="329"/>
      <c r="N7" s="329"/>
      <c r="O7" s="329"/>
      <c r="P7" s="329"/>
    </row>
    <row r="8" spans="1:18" ht="12.75" x14ac:dyDescent="0.2">
      <c r="A8" s="329"/>
      <c r="B8" s="329"/>
      <c r="C8" s="389" t="s">
        <v>1124</v>
      </c>
      <c r="D8" s="392">
        <f>COVER!A13</f>
        <v>34049070002</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18330210</v>
      </c>
      <c r="I12" s="404"/>
      <c r="J12" s="404"/>
      <c r="K12" s="405">
        <f>TRUNC((H12/H13*100000),5)/100000</f>
        <v>0.56267068129999998</v>
      </c>
      <c r="L12" s="406"/>
      <c r="M12" s="360" t="s">
        <v>1143</v>
      </c>
      <c r="N12" s="360"/>
      <c r="O12" s="407">
        <v>0.35</v>
      </c>
      <c r="P12" s="218"/>
      <c r="Q12" s="218"/>
    </row>
    <row r="13" spans="1:18" s="408" customFormat="1" ht="12.75" x14ac:dyDescent="0.2">
      <c r="A13" s="218"/>
      <c r="B13" s="401"/>
      <c r="C13" s="2101" t="s">
        <v>1323</v>
      </c>
      <c r="D13" s="2102"/>
      <c r="E13" s="218"/>
      <c r="F13" s="409" t="s">
        <v>792</v>
      </c>
      <c r="G13" s="402"/>
      <c r="H13" s="403">
        <f>SUM('Acct Summary 7-8'!C8+'Acct Summary 7-8'!D8+'Acct Summary 7-8'!F8+'Acct Summary 7-8'!I8)+H14</f>
        <v>32577155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-1220430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35017927</v>
      </c>
      <c r="I17" s="404"/>
      <c r="J17" s="416"/>
      <c r="K17" s="405">
        <f>TRUNC((H17/H18*100000),5)/100000</f>
        <v>1.0749228101000001</v>
      </c>
      <c r="L17" s="406"/>
      <c r="M17" s="417" t="s">
        <v>1170</v>
      </c>
      <c r="O17" s="418" t="str">
        <f>IF(AND(O16="2", J20 &gt; 2),"1",IF(AND(O16 = "1", J20 &gt; 2),"2",IF(AND(O16="1", J20 &gt;1),"1","0")))</f>
        <v>0</v>
      </c>
      <c r="P17" s="218"/>
    </row>
    <row r="18" spans="1:18" s="408" customFormat="1" ht="11.25" x14ac:dyDescent="0.2">
      <c r="A18" s="218"/>
      <c r="B18" s="401"/>
      <c r="C18" s="2101" t="s">
        <v>1316</v>
      </c>
      <c r="D18" s="2102"/>
      <c r="E18" s="218"/>
      <c r="F18" s="419" t="s">
        <v>793</v>
      </c>
      <c r="G18" s="402"/>
      <c r="H18" s="403">
        <f>SUM('Acct Summary 7-8'!C8+'Acct Summary 7-8'!D8+'Acct Summary 7-8'!F8+'Acct Summary 7-8'!I8)+H19</f>
        <v>32577155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-1220430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6.1752980000000006</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8" t="s">
        <v>1411</v>
      </c>
      <c r="D24" s="2098"/>
      <c r="E24" s="218"/>
      <c r="F24" s="218" t="s">
        <v>444</v>
      </c>
      <c r="G24" s="402"/>
      <c r="H24" s="403">
        <f>SUM('Assets-Liab 5-6'!C4+'Assets-Liab 5-6'!D4+'Assets-Liab 5-6'!F4+'Assets-Liab 5-6'!I4+'Assets-Liab 5-6'!C5+'Assets-Liab 5-6'!D5+'Assets-Liab 5-6'!F5+'Assets-Liab 5-6'!I5)</f>
        <v>19479082</v>
      </c>
      <c r="I24" s="422"/>
      <c r="J24" s="422"/>
      <c r="K24" s="423">
        <f>TRUNC(((H24/H25*100000)/100000),2)</f>
        <v>200.25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97272.019440000004</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25343124.70826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17783029</v>
      </c>
      <c r="I32" s="420"/>
      <c r="J32" s="420"/>
      <c r="K32" s="423">
        <f>TRUNC(100-((((H32/H33*100))*100)/100),2)</f>
        <v>76.87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76907118.411000013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8" t="s">
        <v>972</v>
      </c>
      <c r="B3" s="2109"/>
      <c r="C3" s="1559"/>
      <c r="D3" s="1560"/>
      <c r="E3" s="1560"/>
      <c r="F3" s="1560"/>
      <c r="G3" s="1560"/>
      <c r="H3" s="1560"/>
      <c r="I3" s="1560"/>
      <c r="J3" s="1560"/>
      <c r="K3" s="1560"/>
      <c r="L3" s="1560"/>
      <c r="M3" s="1561"/>
      <c r="N3" s="1562"/>
    </row>
    <row r="4" spans="1:14" ht="13.5" customHeight="1" x14ac:dyDescent="0.2">
      <c r="A4" s="463" t="s">
        <v>1650</v>
      </c>
      <c r="B4" s="464"/>
      <c r="C4" s="465">
        <v>12180968</v>
      </c>
      <c r="D4" s="466">
        <v>1404662</v>
      </c>
      <c r="E4" s="466">
        <v>1198</v>
      </c>
      <c r="F4" s="466">
        <v>262956</v>
      </c>
      <c r="G4" s="466">
        <v>354174</v>
      </c>
      <c r="H4" s="466">
        <v>6005493</v>
      </c>
      <c r="I4" s="466">
        <v>5630496</v>
      </c>
      <c r="J4" s="467"/>
      <c r="K4" s="466"/>
      <c r="L4" s="466">
        <v>150039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12180968</v>
      </c>
      <c r="D13" s="1737">
        <f t="shared" ref="D13:L13" si="0">SUM(D4:D12)</f>
        <v>1404662</v>
      </c>
      <c r="E13" s="1737">
        <f t="shared" si="0"/>
        <v>1198</v>
      </c>
      <c r="F13" s="1737">
        <f t="shared" si="0"/>
        <v>262956</v>
      </c>
      <c r="G13" s="1737">
        <f t="shared" si="0"/>
        <v>354174</v>
      </c>
      <c r="H13" s="1737">
        <f t="shared" si="0"/>
        <v>6005493</v>
      </c>
      <c r="I13" s="1737">
        <f t="shared" si="0"/>
        <v>5630496</v>
      </c>
      <c r="J13" s="1737">
        <f t="shared" si="0"/>
        <v>0</v>
      </c>
      <c r="K13" s="1737">
        <f t="shared" si="0"/>
        <v>0</v>
      </c>
      <c r="L13" s="1737">
        <f t="shared" si="0"/>
        <v>150039</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313824</v>
      </c>
      <c r="N16" s="484"/>
    </row>
    <row r="17" spans="1:14" s="485" customFormat="1" ht="12.75" customHeight="1" x14ac:dyDescent="0.2">
      <c r="A17" s="482" t="s">
        <v>1402</v>
      </c>
      <c r="B17" s="483">
        <v>230</v>
      </c>
      <c r="C17" s="477"/>
      <c r="D17" s="477"/>
      <c r="E17" s="477"/>
      <c r="F17" s="477"/>
      <c r="G17" s="477"/>
      <c r="H17" s="477"/>
      <c r="I17" s="477"/>
      <c r="J17" s="477"/>
      <c r="K17" s="477"/>
      <c r="L17" s="477"/>
      <c r="M17" s="467">
        <v>46419296</v>
      </c>
      <c r="N17" s="484"/>
    </row>
    <row r="18" spans="1:14" s="485" customFormat="1" ht="12.75" customHeight="1" x14ac:dyDescent="0.2">
      <c r="A18" s="482" t="s">
        <v>1403</v>
      </c>
      <c r="B18" s="483">
        <v>240</v>
      </c>
      <c r="C18" s="477"/>
      <c r="D18" s="477"/>
      <c r="E18" s="477"/>
      <c r="F18" s="477"/>
      <c r="G18" s="477"/>
      <c r="H18" s="477"/>
      <c r="I18" s="477"/>
      <c r="J18" s="477"/>
      <c r="K18" s="477"/>
      <c r="L18" s="477"/>
      <c r="M18" s="467">
        <v>833127</v>
      </c>
      <c r="N18" s="484"/>
    </row>
    <row r="19" spans="1:14" s="485" customFormat="1" ht="12.75" customHeight="1" x14ac:dyDescent="0.2">
      <c r="A19" s="482" t="s">
        <v>1404</v>
      </c>
      <c r="B19" s="483">
        <v>250</v>
      </c>
      <c r="C19" s="477"/>
      <c r="D19" s="477"/>
      <c r="E19" s="477"/>
      <c r="F19" s="477"/>
      <c r="G19" s="477"/>
      <c r="H19" s="477"/>
      <c r="I19" s="477"/>
      <c r="J19" s="477"/>
      <c r="K19" s="477"/>
      <c r="L19" s="477"/>
      <c r="M19" s="467">
        <v>2801614</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1198</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17781831</v>
      </c>
    </row>
    <row r="23" spans="1:14" ht="13.5" customHeight="1" thickBot="1" x14ac:dyDescent="0.25">
      <c r="A23" s="1736" t="s">
        <v>642</v>
      </c>
      <c r="B23" s="1741"/>
      <c r="C23" s="468"/>
      <c r="D23" s="468"/>
      <c r="E23" s="468"/>
      <c r="F23" s="468"/>
      <c r="G23" s="468"/>
      <c r="H23" s="468"/>
      <c r="I23" s="468"/>
      <c r="J23" s="468"/>
      <c r="K23" s="468"/>
      <c r="L23" s="468"/>
      <c r="M23" s="1688">
        <f>SUM(M15:M22)</f>
        <v>50367861</v>
      </c>
      <c r="N23" s="1688">
        <f>SUM(N21:N22)</f>
        <v>17783029</v>
      </c>
    </row>
    <row r="24" spans="1:14" ht="18" customHeight="1" thickTop="1" x14ac:dyDescent="0.2">
      <c r="A24" s="2112" t="s">
        <v>597</v>
      </c>
      <c r="B24" s="2113"/>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v>67005</v>
      </c>
      <c r="H30" s="467"/>
      <c r="I30" s="467"/>
      <c r="J30" s="467"/>
      <c r="K30" s="478"/>
      <c r="L30" s="468"/>
      <c r="M30" s="468"/>
      <c r="N30" s="468"/>
    </row>
    <row r="31" spans="1:14" ht="13.5" customHeight="1" x14ac:dyDescent="0.2">
      <c r="A31" s="473" t="s">
        <v>650</v>
      </c>
      <c r="B31" s="470">
        <v>480</v>
      </c>
      <c r="C31" s="466">
        <v>1148017</v>
      </c>
      <c r="D31" s="467">
        <v>855</v>
      </c>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150039</v>
      </c>
      <c r="M33" s="468"/>
      <c r="N33" s="469"/>
    </row>
    <row r="34" spans="1:14" ht="13.5" customHeight="1" thickBot="1" x14ac:dyDescent="0.25">
      <c r="A34" s="1738" t="s">
        <v>653</v>
      </c>
      <c r="B34" s="1739"/>
      <c r="C34" s="1740">
        <f>SUM(C25:C33)</f>
        <v>1148017</v>
      </c>
      <c r="D34" s="1740">
        <f t="shared" ref="D34:K34" si="1">SUM(D25:D33)</f>
        <v>855</v>
      </c>
      <c r="E34" s="1740">
        <f t="shared" si="1"/>
        <v>0</v>
      </c>
      <c r="F34" s="1740">
        <f t="shared" si="1"/>
        <v>0</v>
      </c>
      <c r="G34" s="1740">
        <f t="shared" si="1"/>
        <v>67005</v>
      </c>
      <c r="H34" s="1740">
        <f t="shared" si="1"/>
        <v>0</v>
      </c>
      <c r="I34" s="1740">
        <f t="shared" si="1"/>
        <v>0</v>
      </c>
      <c r="J34" s="1740">
        <f t="shared" si="1"/>
        <v>0</v>
      </c>
      <c r="K34" s="1740">
        <f t="shared" si="1"/>
        <v>0</v>
      </c>
      <c r="L34" s="1721">
        <f>SUM(L33)</f>
        <v>150039</v>
      </c>
      <c r="M34" s="468"/>
      <c r="N34" s="480"/>
    </row>
    <row r="35" spans="1:14" ht="18" customHeight="1" thickTop="1" x14ac:dyDescent="0.2">
      <c r="A35" s="2114" t="s">
        <v>528</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17783029</v>
      </c>
    </row>
    <row r="37" spans="1:14" ht="13.5" thickBot="1" x14ac:dyDescent="0.25">
      <c r="A37" s="1736" t="s">
        <v>652</v>
      </c>
      <c r="B37" s="1741"/>
      <c r="C37" s="477"/>
      <c r="D37" s="477"/>
      <c r="E37" s="477"/>
      <c r="F37" s="477"/>
      <c r="G37" s="477"/>
      <c r="H37" s="477"/>
      <c r="I37" s="477"/>
      <c r="J37" s="477"/>
      <c r="K37" s="477"/>
      <c r="L37" s="480"/>
      <c r="M37" s="468"/>
      <c r="N37" s="1688">
        <f>SUM(N36:N36)</f>
        <v>17783029</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11032951</v>
      </c>
      <c r="D39" s="466">
        <v>1403807</v>
      </c>
      <c r="E39" s="466">
        <v>1198</v>
      </c>
      <c r="F39" s="466">
        <v>262956</v>
      </c>
      <c r="G39" s="466">
        <v>287169</v>
      </c>
      <c r="H39" s="466">
        <v>6005493</v>
      </c>
      <c r="I39" s="466">
        <v>5630496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50367861</v>
      </c>
      <c r="N40" s="497"/>
    </row>
    <row r="41" spans="1:14" ht="13.5" customHeight="1" thickBot="1" x14ac:dyDescent="0.25">
      <c r="A41" s="1736" t="s">
        <v>654</v>
      </c>
      <c r="B41" s="1706"/>
      <c r="C41" s="1688">
        <f>(SUM(C34,C37,C38,C39))</f>
        <v>12180968</v>
      </c>
      <c r="D41" s="1688">
        <f t="shared" ref="D41:L41" si="2">SUM(D34,D37,D38:D39)</f>
        <v>1404662</v>
      </c>
      <c r="E41" s="1688">
        <f t="shared" si="2"/>
        <v>1198</v>
      </c>
      <c r="F41" s="1688">
        <f t="shared" si="2"/>
        <v>262956</v>
      </c>
      <c r="G41" s="1688">
        <f t="shared" si="2"/>
        <v>354174</v>
      </c>
      <c r="H41" s="1688">
        <f t="shared" si="2"/>
        <v>6005493</v>
      </c>
      <c r="I41" s="1688">
        <f t="shared" si="2"/>
        <v>5630496</v>
      </c>
      <c r="J41" s="1688">
        <f t="shared" si="2"/>
        <v>0</v>
      </c>
      <c r="K41" s="1688">
        <f t="shared" si="2"/>
        <v>0</v>
      </c>
      <c r="L41" s="1688">
        <f t="shared" si="2"/>
        <v>150039</v>
      </c>
      <c r="M41" s="1688">
        <f>SUM(M40)</f>
        <v>50367861</v>
      </c>
      <c r="N41" s="1688">
        <f>SUM(N37)</f>
        <v>17783029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5"/>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6" t="s">
        <v>1174</v>
      </c>
      <c r="B3" s="2137"/>
      <c r="C3" s="1573"/>
      <c r="D3" s="1574"/>
      <c r="E3" s="1574"/>
      <c r="F3" s="1574"/>
      <c r="G3" s="1574"/>
      <c r="H3" s="1574"/>
      <c r="I3" s="1574"/>
      <c r="J3" s="1574"/>
      <c r="K3" s="1575"/>
      <c r="L3" s="506"/>
    </row>
    <row r="4" spans="1:13" ht="15.75" customHeight="1" x14ac:dyDescent="0.2">
      <c r="A4" s="1928" t="s">
        <v>1498</v>
      </c>
      <c r="B4" s="1929">
        <v>1000</v>
      </c>
      <c r="C4" s="1742">
        <f>'Revenues 9-14'!C109</f>
        <v>24366941</v>
      </c>
      <c r="D4" s="1742">
        <f>'Revenues 9-14'!D109</f>
        <v>4453329</v>
      </c>
      <c r="E4" s="1742">
        <f>'Revenues 9-14'!E109</f>
        <v>1317345</v>
      </c>
      <c r="F4" s="1742">
        <f>'Revenues 9-14'!F109</f>
        <v>1508272</v>
      </c>
      <c r="G4" s="1742">
        <f>'Revenues 9-14'!G109</f>
        <v>800056</v>
      </c>
      <c r="H4" s="1742">
        <f>'Revenues 9-14'!H109</f>
        <v>5490</v>
      </c>
      <c r="I4" s="1742">
        <f>'Revenues 9-14'!I109</f>
        <v>202347</v>
      </c>
      <c r="J4" s="1742">
        <f>'Revenues 9-14'!J109</f>
        <v>0</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1912564</v>
      </c>
      <c r="D6" s="1743">
        <f>'Revenues 9-14'!D170</f>
        <v>0</v>
      </c>
      <c r="E6" s="1743">
        <f>'Revenues 9-14'!E170</f>
        <v>0</v>
      </c>
      <c r="F6" s="1743">
        <f>'Revenues 9-14'!F170</f>
        <v>698565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655567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26935072</v>
      </c>
      <c r="D8" s="1688">
        <f t="shared" ref="D8:K8" si="0">SUM(D4:D7)</f>
        <v>4453329</v>
      </c>
      <c r="E8" s="1688">
        <f t="shared" si="0"/>
        <v>1317345</v>
      </c>
      <c r="F8" s="1688">
        <f t="shared" si="0"/>
        <v>2206837</v>
      </c>
      <c r="G8" s="1688">
        <f t="shared" si="0"/>
        <v>800056</v>
      </c>
      <c r="H8" s="1688">
        <f t="shared" si="0"/>
        <v>5490</v>
      </c>
      <c r="I8" s="1688">
        <f t="shared" si="0"/>
        <v>202347</v>
      </c>
      <c r="J8" s="1688">
        <f t="shared" si="0"/>
        <v>0</v>
      </c>
      <c r="K8" s="1688">
        <f t="shared" si="0"/>
        <v>0</v>
      </c>
      <c r="L8" s="347"/>
    </row>
    <row r="9" spans="1:13" ht="15.75" thickTop="1" x14ac:dyDescent="0.2">
      <c r="A9" s="514" t="s">
        <v>1652</v>
      </c>
      <c r="B9" s="515">
        <v>3998</v>
      </c>
      <c r="C9" s="481">
        <v>13117517</v>
      </c>
      <c r="D9" s="516"/>
      <c r="E9" s="481"/>
      <c r="F9" s="481"/>
      <c r="G9" s="517"/>
      <c r="H9" s="481"/>
      <c r="I9" s="509" t="s">
        <v>1168</v>
      </c>
      <c r="J9" s="478"/>
      <c r="K9" s="481"/>
      <c r="L9" s="347"/>
    </row>
    <row r="10" spans="1:13" s="519" customFormat="1" ht="13.5" thickBot="1" x14ac:dyDescent="0.25">
      <c r="A10" s="1736" t="s">
        <v>1172</v>
      </c>
      <c r="B10" s="1709"/>
      <c r="C10" s="1688">
        <f>SUM(C8:C9)</f>
        <v>40052589</v>
      </c>
      <c r="D10" s="1688">
        <f t="shared" ref="D10:K10" si="1">SUM(D8:D9)</f>
        <v>4453329</v>
      </c>
      <c r="E10" s="1688">
        <f t="shared" si="1"/>
        <v>1317345</v>
      </c>
      <c r="F10" s="1688">
        <f t="shared" si="1"/>
        <v>2206837</v>
      </c>
      <c r="G10" s="1688">
        <f t="shared" si="1"/>
        <v>800056</v>
      </c>
      <c r="H10" s="1688">
        <f t="shared" si="1"/>
        <v>5490</v>
      </c>
      <c r="I10" s="1688">
        <f t="shared" si="1"/>
        <v>202347</v>
      </c>
      <c r="J10" s="1688">
        <f t="shared" si="1"/>
        <v>0</v>
      </c>
      <c r="K10" s="1688">
        <f t="shared" si="1"/>
        <v>0</v>
      </c>
      <c r="L10" s="518"/>
    </row>
    <row r="11" spans="1:13" s="519" customFormat="1" ht="16.7" customHeight="1" thickTop="1" x14ac:dyDescent="0.2">
      <c r="A11" s="2110" t="s">
        <v>1175</v>
      </c>
      <c r="B11" s="2111"/>
      <c r="C11" s="1570"/>
      <c r="D11" s="1571"/>
      <c r="E11" s="1571"/>
      <c r="F11" s="1571"/>
      <c r="G11" s="1571"/>
      <c r="H11" s="1571"/>
      <c r="I11" s="1571"/>
      <c r="J11" s="1571"/>
      <c r="K11" s="1572"/>
      <c r="L11" s="518"/>
    </row>
    <row r="12" spans="1:13" ht="15.75" customHeight="1" x14ac:dyDescent="0.2">
      <c r="A12" s="1576" t="s">
        <v>455</v>
      </c>
      <c r="B12" s="1578">
        <v>1000</v>
      </c>
      <c r="C12" s="1742">
        <f>'Expenditures 15-22'!K33</f>
        <v>18728309</v>
      </c>
      <c r="D12" s="520" t="s">
        <v>1168</v>
      </c>
      <c r="E12" s="468" t="s">
        <v>1168</v>
      </c>
      <c r="F12" s="468" t="s">
        <v>1168</v>
      </c>
      <c r="G12" s="1742">
        <f>'Expenditures 15-22'!K229</f>
        <v>325844</v>
      </c>
      <c r="H12" s="521"/>
      <c r="I12" s="468" t="s">
        <v>1168</v>
      </c>
      <c r="J12" s="468" t="s">
        <v>1168</v>
      </c>
      <c r="K12" s="521" t="s">
        <v>1168</v>
      </c>
      <c r="L12" s="347"/>
    </row>
    <row r="13" spans="1:13" ht="15.75" customHeight="1" x14ac:dyDescent="0.2">
      <c r="A13" s="1576" t="s">
        <v>456</v>
      </c>
      <c r="B13" s="1578">
        <v>2000</v>
      </c>
      <c r="C13" s="1743">
        <f>'Expenditures 15-22'!K74</f>
        <v>9531388</v>
      </c>
      <c r="D13" s="1743">
        <f>'Expenditures 15-22'!K129</f>
        <v>3695090</v>
      </c>
      <c r="E13" s="469" t="s">
        <v>1168</v>
      </c>
      <c r="F13" s="1743">
        <f>'Expenditures 15-22'!K184</f>
        <v>2275169</v>
      </c>
      <c r="G13" s="1743">
        <f>'Expenditures 15-22'!K279</f>
        <v>618736</v>
      </c>
      <c r="H13" s="1743">
        <f>'Expenditures 15-22'!K303</f>
        <v>102440</v>
      </c>
      <c r="I13" s="468" t="s">
        <v>1168</v>
      </c>
      <c r="J13" s="1743">
        <f>'Expenditures 15-22'!K330</f>
        <v>0</v>
      </c>
      <c r="K13" s="1747">
        <f>'Expenditures 15-22'!K352</f>
        <v>0</v>
      </c>
      <c r="L13" s="347"/>
    </row>
    <row r="14" spans="1:13" ht="15.75" customHeight="1" x14ac:dyDescent="0.2">
      <c r="A14" s="1576" t="s">
        <v>448</v>
      </c>
      <c r="B14" s="1578">
        <v>3000</v>
      </c>
      <c r="C14" s="1743">
        <f>'Expenditures 15-22'!K75</f>
        <v>83805</v>
      </c>
      <c r="D14" s="1743">
        <f>'Expenditures 15-22'!K130</f>
        <v>0</v>
      </c>
      <c r="E14" s="520" t="s">
        <v>1168</v>
      </c>
      <c r="F14" s="1743">
        <f>'Expenditures 15-22'!K185</f>
        <v>0</v>
      </c>
      <c r="G14" s="1743">
        <f>'Expenditures 15-22'!K280</f>
        <v>315</v>
      </c>
      <c r="H14" s="512"/>
      <c r="I14" s="468" t="s">
        <v>1168</v>
      </c>
      <c r="J14" s="468" t="s">
        <v>1168</v>
      </c>
      <c r="K14" s="512" t="s">
        <v>1168</v>
      </c>
      <c r="L14" s="347"/>
    </row>
    <row r="15" spans="1:13" ht="15.75" customHeight="1" x14ac:dyDescent="0.2">
      <c r="A15" s="1576" t="s">
        <v>107</v>
      </c>
      <c r="B15" s="1578">
        <v>4000</v>
      </c>
      <c r="C15" s="1743">
        <f>'Expenditures 15-22'!K102</f>
        <v>604674</v>
      </c>
      <c r="D15" s="1743">
        <f>'Expenditures 15-22'!K139</f>
        <v>99492</v>
      </c>
      <c r="E15" s="1743">
        <f>'Expenditures 15-22'!K160</f>
        <v>0</v>
      </c>
      <c r="F15" s="1743">
        <f>'Expenditures 15-22'!K196</f>
        <v>0</v>
      </c>
      <c r="G15" s="1743">
        <f>'Expenditures 15-22'!K285</f>
        <v>77155</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2589322</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28948176</v>
      </c>
      <c r="D17" s="1688">
        <f t="shared" si="2"/>
        <v>3794582</v>
      </c>
      <c r="E17" s="1688">
        <f t="shared" si="2"/>
        <v>2589322</v>
      </c>
      <c r="F17" s="1688">
        <f t="shared" si="2"/>
        <v>2275169</v>
      </c>
      <c r="G17" s="1688">
        <f t="shared" si="2"/>
        <v>1022050</v>
      </c>
      <c r="H17" s="1688">
        <f t="shared" si="2"/>
        <v>102440</v>
      </c>
      <c r="I17" s="468"/>
      <c r="J17" s="1688">
        <f>SUM(J12:J16)</f>
        <v>0</v>
      </c>
      <c r="K17" s="1688">
        <f>SUM(K12:K16)</f>
        <v>0</v>
      </c>
      <c r="L17" s="347"/>
    </row>
    <row r="18" spans="1:12" ht="15" customHeight="1" thickTop="1" x14ac:dyDescent="0.2">
      <c r="A18" s="1744" t="s">
        <v>1653</v>
      </c>
      <c r="B18" s="1745">
        <v>4180</v>
      </c>
      <c r="C18" s="1742">
        <f t="shared" ref="C18:H18" si="3">C9</f>
        <v>13117517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42065693</v>
      </c>
      <c r="D19" s="1688">
        <f t="shared" si="4"/>
        <v>3794582</v>
      </c>
      <c r="E19" s="1688">
        <f t="shared" si="4"/>
        <v>2589322</v>
      </c>
      <c r="F19" s="1688">
        <f t="shared" si="4"/>
        <v>2275169</v>
      </c>
      <c r="G19" s="1688">
        <f t="shared" si="4"/>
        <v>1022050</v>
      </c>
      <c r="H19" s="1688">
        <f t="shared" si="4"/>
        <v>102440</v>
      </c>
      <c r="I19" s="468"/>
      <c r="J19" s="1688">
        <f>SUM(J17:J18)</f>
        <v>0</v>
      </c>
      <c r="K19" s="1688">
        <f>SUM(K17:K18)</f>
        <v>0</v>
      </c>
      <c r="L19" s="347"/>
    </row>
    <row r="20" spans="1:12" ht="16.5" thickTop="1" thickBot="1" x14ac:dyDescent="0.25">
      <c r="A20" s="2126" t="s">
        <v>1654</v>
      </c>
      <c r="B20" s="2127"/>
      <c r="C20" s="1746">
        <f>C8-C17</f>
        <v>-2013104</v>
      </c>
      <c r="D20" s="1746">
        <f t="shared" ref="D20:K20" si="5">D8-D17</f>
        <v>658747</v>
      </c>
      <c r="E20" s="1746">
        <f t="shared" si="5"/>
        <v>-1271977</v>
      </c>
      <c r="F20" s="1746">
        <f t="shared" si="5"/>
        <v>-68332</v>
      </c>
      <c r="G20" s="1746">
        <f t="shared" si="5"/>
        <v>-221994</v>
      </c>
      <c r="H20" s="1746">
        <f t="shared" si="5"/>
        <v>-96950</v>
      </c>
      <c r="I20" s="1746">
        <f t="shared" si="5"/>
        <v>202347</v>
      </c>
      <c r="J20" s="1746">
        <f t="shared" si="5"/>
        <v>0</v>
      </c>
      <c r="K20" s="1746">
        <f t="shared" si="5"/>
        <v>0</v>
      </c>
      <c r="L20" s="347"/>
    </row>
    <row r="21" spans="1:12" ht="16.7" customHeight="1" thickTop="1" x14ac:dyDescent="0.2">
      <c r="A21" s="2138" t="s">
        <v>594</v>
      </c>
      <c r="B21" s="2139"/>
      <c r="C21" s="1570"/>
      <c r="D21" s="1571"/>
      <c r="E21" s="1571"/>
      <c r="F21" s="1571"/>
      <c r="G21" s="1571"/>
      <c r="H21" s="1571"/>
      <c r="I21" s="1571"/>
      <c r="J21" s="1571"/>
      <c r="K21" s="1572"/>
      <c r="L21" s="524"/>
    </row>
    <row r="22" spans="1:12" ht="15.75" customHeight="1" collapsed="1" x14ac:dyDescent="0.2">
      <c r="A22" s="2134" t="s">
        <v>595</v>
      </c>
      <c r="B22" s="2135"/>
      <c r="C22" s="477"/>
      <c r="D22" s="477"/>
      <c r="E22" s="477"/>
      <c r="F22" s="477"/>
      <c r="G22" s="477"/>
      <c r="H22" s="477"/>
      <c r="I22" s="477"/>
      <c r="J22" s="477"/>
      <c r="K22" s="477"/>
      <c r="L22" s="347"/>
    </row>
    <row r="23" spans="1:12" s="485" customFormat="1" ht="15.75" customHeight="1" x14ac:dyDescent="0.2">
      <c r="A23" s="2130" t="s">
        <v>292</v>
      </c>
      <c r="B23" s="2131"/>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v>102000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2" t="s">
        <v>980</v>
      </c>
      <c r="B32" s="2133"/>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v>5460000</v>
      </c>
      <c r="I33" s="467"/>
      <c r="J33" s="467"/>
      <c r="K33" s="467"/>
      <c r="L33" s="524"/>
    </row>
    <row r="34" spans="1:12" s="485" customFormat="1" x14ac:dyDescent="0.2">
      <c r="A34" s="1489" t="s">
        <v>1000</v>
      </c>
      <c r="B34" s="525">
        <v>7220</v>
      </c>
      <c r="C34" s="467"/>
      <c r="D34" s="467"/>
      <c r="E34" s="467"/>
      <c r="F34" s="467"/>
      <c r="G34" s="477"/>
      <c r="H34" s="478">
        <v>642443</v>
      </c>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160071</v>
      </c>
      <c r="F37" s="475"/>
      <c r="G37" s="475"/>
      <c r="H37" s="475"/>
      <c r="I37" s="477"/>
      <c r="J37" s="475"/>
      <c r="K37" s="475"/>
      <c r="L37" s="524"/>
    </row>
    <row r="38" spans="1:12" s="485" customFormat="1" x14ac:dyDescent="0.2">
      <c r="A38" s="1489" t="s">
        <v>441</v>
      </c>
      <c r="B38" s="525">
        <v>7500</v>
      </c>
      <c r="C38" s="477"/>
      <c r="D38" s="477"/>
      <c r="E38" s="1743">
        <f>SUM(C58:D61,H58:H61)</f>
        <v>16859</v>
      </c>
      <c r="F38" s="477"/>
      <c r="G38" s="477"/>
      <c r="H38" s="477"/>
      <c r="I38" s="477"/>
      <c r="J38" s="477"/>
      <c r="K38" s="477"/>
      <c r="L38" s="524"/>
    </row>
    <row r="39" spans="1:12" s="485" customFormat="1" x14ac:dyDescent="0.2">
      <c r="A39" s="1489" t="s">
        <v>442</v>
      </c>
      <c r="B39" s="525">
        <v>7600</v>
      </c>
      <c r="C39" s="477"/>
      <c r="D39" s="477"/>
      <c r="E39" s="1743">
        <f>SUM(C62:D65)</f>
        <v>1000000</v>
      </c>
      <c r="F39" s="477"/>
      <c r="G39" s="477"/>
      <c r="H39" s="477"/>
      <c r="I39" s="477"/>
      <c r="J39" s="477"/>
      <c r="K39" s="477"/>
      <c r="L39" s="524"/>
    </row>
    <row r="40" spans="1:12" s="485" customFormat="1" ht="13.5" customHeight="1" x14ac:dyDescent="0.2">
      <c r="A40" s="1489" t="s">
        <v>641</v>
      </c>
      <c r="B40" s="483">
        <v>7700</v>
      </c>
      <c r="C40" s="477"/>
      <c r="D40" s="477"/>
      <c r="E40" s="1743">
        <f>SUM(C66:D69)</f>
        <v>43500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0" t="s">
        <v>373</v>
      </c>
      <c r="B44" s="2141"/>
      <c r="C44" s="1703">
        <f>SUM(C24:C43)</f>
        <v>0</v>
      </c>
      <c r="D44" s="1703">
        <f t="shared" ref="D44:K44" si="6">SUM(D24:D43)</f>
        <v>102000</v>
      </c>
      <c r="E44" s="1703">
        <f t="shared" si="6"/>
        <v>1220430</v>
      </c>
      <c r="F44" s="1703">
        <f t="shared" si="6"/>
        <v>0</v>
      </c>
      <c r="G44" s="1703">
        <f t="shared" si="6"/>
        <v>0</v>
      </c>
      <c r="H44" s="1703">
        <f t="shared" si="6"/>
        <v>6102443</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102000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v>160071</v>
      </c>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v>16859</v>
      </c>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v>1000000</v>
      </c>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v>43500</v>
      </c>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6" t="s">
        <v>439</v>
      </c>
      <c r="B76" s="2117"/>
      <c r="C76" s="1703">
        <f t="shared" ref="C76:K76" si="7">SUM(C47:C75)</f>
        <v>176930</v>
      </c>
      <c r="D76" s="1703">
        <f t="shared" si="7"/>
        <v>1043500</v>
      </c>
      <c r="E76" s="1703">
        <f t="shared" si="7"/>
        <v>0</v>
      </c>
      <c r="F76" s="1703">
        <f t="shared" si="7"/>
        <v>0</v>
      </c>
      <c r="G76" s="1703">
        <f t="shared" si="7"/>
        <v>0</v>
      </c>
      <c r="H76" s="1703">
        <f t="shared" si="7"/>
        <v>0</v>
      </c>
      <c r="I76" s="1703">
        <f t="shared" si="7"/>
        <v>102000</v>
      </c>
      <c r="J76" s="1703">
        <f t="shared" si="7"/>
        <v>0</v>
      </c>
      <c r="K76" s="1703">
        <f t="shared" si="7"/>
        <v>0</v>
      </c>
      <c r="L76" s="524"/>
    </row>
    <row r="77" spans="1:12" ht="14.25" thickTop="1" thickBot="1" x14ac:dyDescent="0.25">
      <c r="A77" s="2118" t="s">
        <v>1176</v>
      </c>
      <c r="B77" s="2119"/>
      <c r="C77" s="1703">
        <f t="shared" ref="C77:K77" si="8">C44-C76</f>
        <v>-176930</v>
      </c>
      <c r="D77" s="1703">
        <f t="shared" si="8"/>
        <v>-941500</v>
      </c>
      <c r="E77" s="1703">
        <f t="shared" si="8"/>
        <v>1220430</v>
      </c>
      <c r="F77" s="1703">
        <f t="shared" si="8"/>
        <v>0</v>
      </c>
      <c r="G77" s="1703">
        <f t="shared" si="8"/>
        <v>0</v>
      </c>
      <c r="H77" s="1703">
        <f t="shared" si="8"/>
        <v>6102443</v>
      </c>
      <c r="I77" s="1703">
        <f t="shared" si="8"/>
        <v>-102000</v>
      </c>
      <c r="J77" s="1703">
        <f t="shared" si="8"/>
        <v>0</v>
      </c>
      <c r="K77" s="1703">
        <f t="shared" si="8"/>
        <v>0</v>
      </c>
      <c r="L77" s="347"/>
    </row>
    <row r="78" spans="1:12" ht="21.75" customHeight="1" thickTop="1" thickBot="1" x14ac:dyDescent="0.25">
      <c r="A78" s="2122" t="s">
        <v>596</v>
      </c>
      <c r="B78" s="2123"/>
      <c r="C78" s="1702">
        <f t="shared" ref="C78:K78" si="9">C20+C77</f>
        <v>-2190034</v>
      </c>
      <c r="D78" s="1702">
        <f t="shared" si="9"/>
        <v>-282753</v>
      </c>
      <c r="E78" s="1702">
        <f t="shared" si="9"/>
        <v>-51547</v>
      </c>
      <c r="F78" s="1702">
        <f t="shared" si="9"/>
        <v>-68332</v>
      </c>
      <c r="G78" s="1702">
        <f t="shared" si="9"/>
        <v>-221994</v>
      </c>
      <c r="H78" s="1702">
        <f t="shared" si="9"/>
        <v>6005493</v>
      </c>
      <c r="I78" s="1702">
        <f t="shared" si="9"/>
        <v>100347</v>
      </c>
      <c r="J78" s="1702">
        <f t="shared" si="9"/>
        <v>0</v>
      </c>
      <c r="K78" s="1702">
        <f t="shared" si="9"/>
        <v>0</v>
      </c>
      <c r="L78" s="533"/>
    </row>
    <row r="79" spans="1:12" ht="13.5" thickTop="1" x14ac:dyDescent="0.2">
      <c r="A79" s="1494" t="s">
        <v>1948</v>
      </c>
      <c r="B79" s="534"/>
      <c r="C79" s="478">
        <v>13222985</v>
      </c>
      <c r="D79" s="535">
        <v>1686560</v>
      </c>
      <c r="E79" s="535">
        <v>52745</v>
      </c>
      <c r="F79" s="535">
        <v>331288</v>
      </c>
      <c r="G79" s="535">
        <v>509163</v>
      </c>
      <c r="H79" s="535"/>
      <c r="I79" s="535">
        <v>5530149</v>
      </c>
      <c r="J79" s="535"/>
      <c r="K79" s="535"/>
      <c r="L79" s="347"/>
    </row>
    <row r="80" spans="1:12" x14ac:dyDescent="0.2">
      <c r="A80" s="2128" t="s">
        <v>1794</v>
      </c>
      <c r="B80" s="2129"/>
      <c r="C80" s="467"/>
      <c r="D80" s="467"/>
      <c r="E80" s="467"/>
      <c r="F80" s="467"/>
      <c r="G80" s="467"/>
      <c r="H80" s="467"/>
      <c r="I80" s="467"/>
      <c r="J80" s="467"/>
      <c r="K80" s="467"/>
      <c r="L80" s="347"/>
    </row>
    <row r="81" spans="1:12" ht="13.5" thickBot="1" x14ac:dyDescent="0.25">
      <c r="A81" s="2120" t="s">
        <v>1949</v>
      </c>
      <c r="B81" s="2121"/>
      <c r="C81" s="1688">
        <f>(SUM(C78:C80))</f>
        <v>11032951</v>
      </c>
      <c r="D81" s="1688">
        <f>SUM(D78:D80)</f>
        <v>1403807</v>
      </c>
      <c r="E81" s="1688">
        <f t="shared" ref="E81:K81" si="10">SUM(E78:E80)</f>
        <v>1198</v>
      </c>
      <c r="F81" s="1688">
        <f t="shared" si="10"/>
        <v>262956</v>
      </c>
      <c r="G81" s="1688">
        <f t="shared" si="10"/>
        <v>287169</v>
      </c>
      <c r="H81" s="1688">
        <f t="shared" si="10"/>
        <v>6005493</v>
      </c>
      <c r="I81" s="1688">
        <f t="shared" si="10"/>
        <v>5630496</v>
      </c>
      <c r="J81" s="1688">
        <f t="shared" si="10"/>
        <v>0</v>
      </c>
      <c r="K81" s="1688">
        <f t="shared" si="10"/>
        <v>0</v>
      </c>
      <c r="L81" s="347"/>
    </row>
    <row r="82" spans="1:12" ht="0.75" customHeight="1" thickTop="1" thickBot="1" x14ac:dyDescent="0.25">
      <c r="A82" s="536" t="s">
        <v>342</v>
      </c>
      <c r="B82" s="537"/>
      <c r="C82" s="538">
        <f>(C81-C79)</f>
        <v>-2190034</v>
      </c>
      <c r="D82" s="538">
        <f t="shared" ref="D82:K82" si="11">(D81-D79)</f>
        <v>-282753</v>
      </c>
      <c r="E82" s="538">
        <f t="shared" si="11"/>
        <v>-51547</v>
      </c>
      <c r="F82" s="538">
        <f t="shared" si="11"/>
        <v>-68332</v>
      </c>
      <c r="G82" s="538">
        <f t="shared" si="11"/>
        <v>-221994</v>
      </c>
      <c r="H82" s="538">
        <f t="shared" si="11"/>
        <v>6005493</v>
      </c>
      <c r="I82" s="538">
        <f t="shared" si="11"/>
        <v>100347</v>
      </c>
      <c r="J82" s="538">
        <f t="shared" si="11"/>
        <v>0</v>
      </c>
      <c r="K82" s="538">
        <f t="shared" si="11"/>
        <v>0</v>
      </c>
    </row>
    <row r="83" spans="1:12" ht="14.25" hidden="1" thickTop="1" thickBot="1" x14ac:dyDescent="0.25">
      <c r="A83" s="539" t="s">
        <v>343</v>
      </c>
      <c r="B83" s="464"/>
      <c r="C83" s="540">
        <f>C82/C81</f>
        <v>-0.19849938606633891</v>
      </c>
      <c r="D83" s="540">
        <f t="shared" ref="D83:K83" si="12">D82/D81</f>
        <v>-0.20141871354110644</v>
      </c>
      <c r="E83" s="540">
        <f t="shared" si="12"/>
        <v>-43.027545909849749</v>
      </c>
      <c r="F83" s="540">
        <f t="shared" si="12"/>
        <v>-0.25986096533260317</v>
      </c>
      <c r="G83" s="540">
        <f t="shared" si="12"/>
        <v>-0.77304305130428419</v>
      </c>
      <c r="H83" s="540">
        <f t="shared" si="12"/>
        <v>1</v>
      </c>
      <c r="I83" s="540">
        <f t="shared" si="12"/>
        <v>1.7822053332423999E-2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pane="bottomLeft" activeCell="C85" sqref="C8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1801</v>
      </c>
      <c r="B1" s="452"/>
      <c r="C1" s="453" t="s">
        <v>424</v>
      </c>
      <c r="D1" s="453" t="s">
        <v>425</v>
      </c>
      <c r="E1" s="453" t="s">
        <v>426</v>
      </c>
      <c r="F1" s="453" t="s">
        <v>427</v>
      </c>
      <c r="G1" s="453" t="s">
        <v>428</v>
      </c>
      <c r="H1" s="453" t="s">
        <v>429</v>
      </c>
      <c r="I1" s="453" t="s">
        <v>430</v>
      </c>
      <c r="J1" s="453" t="s">
        <v>431</v>
      </c>
      <c r="K1" s="453" t="s">
        <v>755</v>
      </c>
    </row>
    <row r="2" spans="1:12" ht="36" x14ac:dyDescent="0.2">
      <c r="A2" s="2125"/>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22565171</v>
      </c>
      <c r="D5" s="481">
        <v>3569802</v>
      </c>
      <c r="E5" s="466">
        <v>764527</v>
      </c>
      <c r="F5" s="548">
        <v>1004984</v>
      </c>
      <c r="G5" s="466">
        <v>234885</v>
      </c>
      <c r="H5" s="466"/>
      <c r="I5" s="466">
        <v>94453</v>
      </c>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c r="D7" s="466"/>
      <c r="E7" s="468"/>
      <c r="F7" s="467"/>
      <c r="G7" s="467">
        <v>66536</v>
      </c>
      <c r="H7" s="467"/>
      <c r="I7" s="468"/>
      <c r="J7" s="468"/>
      <c r="K7" s="468"/>
    </row>
    <row r="8" spans="1:12" x14ac:dyDescent="0.2">
      <c r="A8" s="463" t="s">
        <v>412</v>
      </c>
      <c r="B8" s="470">
        <v>1150</v>
      </c>
      <c r="C8" s="475"/>
      <c r="D8" s="475"/>
      <c r="E8" s="477"/>
      <c r="F8" s="477"/>
      <c r="G8" s="481">
        <v>234885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22565171</v>
      </c>
      <c r="D12" s="1707">
        <f t="shared" si="0"/>
        <v>3569802</v>
      </c>
      <c r="E12" s="1707">
        <f t="shared" si="0"/>
        <v>764527</v>
      </c>
      <c r="F12" s="1707">
        <f t="shared" si="0"/>
        <v>1004984</v>
      </c>
      <c r="G12" s="1707">
        <f t="shared" si="0"/>
        <v>536306</v>
      </c>
      <c r="H12" s="1707">
        <f t="shared" si="0"/>
        <v>0</v>
      </c>
      <c r="I12" s="1707">
        <f t="shared" si="0"/>
        <v>94453</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197640</v>
      </c>
      <c r="D16" s="466"/>
      <c r="E16" s="466">
        <v>42000</v>
      </c>
      <c r="F16" s="466"/>
      <c r="G16" s="466">
        <v>257000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197640</v>
      </c>
      <c r="D18" s="1710">
        <f t="shared" ref="D18:K18" si="1">SUM(D14:D17)</f>
        <v>0</v>
      </c>
      <c r="E18" s="1710">
        <f t="shared" si="1"/>
        <v>42000</v>
      </c>
      <c r="F18" s="1710">
        <f t="shared" si="1"/>
        <v>0</v>
      </c>
      <c r="G18" s="1710">
        <f t="shared" si="1"/>
        <v>257000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257333</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257333</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2975</v>
      </c>
      <c r="G42" s="468"/>
      <c r="H42" s="468"/>
      <c r="I42" s="468"/>
      <c r="J42" s="468"/>
      <c r="K42" s="468"/>
    </row>
    <row r="43" spans="1:11" ht="12.75" customHeight="1" x14ac:dyDescent="0.2">
      <c r="A43" s="463" t="s">
        <v>836</v>
      </c>
      <c r="B43" s="470">
        <v>1412</v>
      </c>
      <c r="C43" s="468"/>
      <c r="D43" s="468"/>
      <c r="E43" s="468"/>
      <c r="F43" s="466">
        <v>495448</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498423</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216584</v>
      </c>
      <c r="D65" s="466">
        <v>15842</v>
      </c>
      <c r="E65" s="466">
        <v>2818</v>
      </c>
      <c r="F65" s="467">
        <v>4865</v>
      </c>
      <c r="G65" s="466">
        <v>6750</v>
      </c>
      <c r="H65" s="466">
        <v>5490</v>
      </c>
      <c r="I65" s="466">
        <v>107894</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216584</v>
      </c>
      <c r="D67" s="1688">
        <f t="shared" ref="D67:K67" si="2">SUM(D65:D66)</f>
        <v>15842</v>
      </c>
      <c r="E67" s="1688">
        <f t="shared" si="2"/>
        <v>2818</v>
      </c>
      <c r="F67" s="1688">
        <f t="shared" si="2"/>
        <v>4865</v>
      </c>
      <c r="G67" s="1688">
        <f t="shared" si="2"/>
        <v>6750</v>
      </c>
      <c r="H67" s="1688">
        <f t="shared" si="2"/>
        <v>5490</v>
      </c>
      <c r="I67" s="1688">
        <f t="shared" si="2"/>
        <v>107894</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379518</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379518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277783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277783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75762</v>
      </c>
      <c r="E95" s="521"/>
      <c r="F95" s="521"/>
      <c r="G95" s="521"/>
      <c r="H95" s="521"/>
      <c r="I95" s="521"/>
      <c r="J95" s="521"/>
      <c r="K95" s="521"/>
    </row>
    <row r="96" spans="1:11" ht="12.75" customHeight="1" x14ac:dyDescent="0.2">
      <c r="A96" s="463" t="s">
        <v>390</v>
      </c>
      <c r="B96" s="470">
        <v>1920</v>
      </c>
      <c r="C96" s="551">
        <v>7537</v>
      </c>
      <c r="D96" s="551"/>
      <c r="E96" s="479"/>
      <c r="F96" s="478"/>
      <c r="G96" s="478"/>
      <c r="H96" s="478"/>
      <c r="I96" s="478"/>
      <c r="J96" s="478"/>
      <c r="K96" s="478"/>
    </row>
    <row r="97" spans="1:12" ht="12.75" customHeight="1" x14ac:dyDescent="0.2">
      <c r="A97" s="1495" t="s">
        <v>244</v>
      </c>
      <c r="B97" s="559">
        <v>1930</v>
      </c>
      <c r="C97" s="489"/>
      <c r="D97" s="467">
        <v>28455</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v>532489</v>
      </c>
      <c r="E100" s="489">
        <v>508000</v>
      </c>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465375</v>
      </c>
      <c r="D107" s="466">
        <v>230979</v>
      </c>
      <c r="E107" s="466"/>
      <c r="F107" s="466"/>
      <c r="G107" s="466"/>
      <c r="H107" s="466"/>
      <c r="I107" s="466"/>
      <c r="J107" s="467"/>
      <c r="K107" s="466"/>
    </row>
    <row r="108" spans="1:12" ht="12.75" customHeight="1" thickBot="1" x14ac:dyDescent="0.25">
      <c r="A108" s="1708" t="s">
        <v>486</v>
      </c>
      <c r="B108" s="1712"/>
      <c r="C108" s="1707">
        <f>SUM(C95:C107)</f>
        <v>472912</v>
      </c>
      <c r="D108" s="1707">
        <f t="shared" ref="D108:K108" si="3">SUM(D95:D107)</f>
        <v>867685</v>
      </c>
      <c r="E108" s="1707">
        <f t="shared" si="3"/>
        <v>508000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24366941</v>
      </c>
      <c r="D109" s="1715">
        <f t="shared" si="4"/>
        <v>4453329</v>
      </c>
      <c r="E109" s="1715">
        <f t="shared" si="4"/>
        <v>1317345</v>
      </c>
      <c r="F109" s="1715">
        <f t="shared" si="4"/>
        <v>1508272</v>
      </c>
      <c r="G109" s="1715">
        <f t="shared" si="4"/>
        <v>800056</v>
      </c>
      <c r="H109" s="1715">
        <f t="shared" si="4"/>
        <v>5490</v>
      </c>
      <c r="I109" s="1715">
        <f t="shared" si="4"/>
        <v>202347</v>
      </c>
      <c r="J109" s="1715">
        <f t="shared" si="4"/>
        <v>0</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1791940</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1791940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117387</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117387</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259764</v>
      </c>
      <c r="G152" s="467"/>
      <c r="H152" s="468"/>
      <c r="I152" s="468"/>
      <c r="J152" s="468"/>
      <c r="K152" s="468"/>
    </row>
    <row r="153" spans="1:11" ht="12.75" customHeight="1" x14ac:dyDescent="0.2">
      <c r="A153" s="463" t="s">
        <v>1056</v>
      </c>
      <c r="B153" s="562">
        <v>3510</v>
      </c>
      <c r="C153" s="551"/>
      <c r="D153" s="466"/>
      <c r="E153" s="561"/>
      <c r="F153" s="466">
        <v>438801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698565</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3237</v>
      </c>
      <c r="D168" s="580"/>
      <c r="E168" s="580"/>
      <c r="F168" s="580"/>
      <c r="G168" s="581"/>
      <c r="H168" s="582"/>
      <c r="I168" s="581"/>
      <c r="J168" s="581"/>
      <c r="K168" s="582"/>
    </row>
    <row r="169" spans="1:11" ht="12.75" customHeight="1" thickTop="1" thickBot="1" x14ac:dyDescent="0.25">
      <c r="A169" s="2144" t="s">
        <v>397</v>
      </c>
      <c r="B169" s="2145"/>
      <c r="C169" s="1722">
        <f t="shared" ref="C169:K169" si="6">SUM(C132,C141,C145,C146:C150,C155,C156:C167,C168)</f>
        <v>120624</v>
      </c>
      <c r="D169" s="1722">
        <f t="shared" si="6"/>
        <v>0</v>
      </c>
      <c r="E169" s="1722">
        <f t="shared" si="6"/>
        <v>0</v>
      </c>
      <c r="F169" s="1722">
        <f t="shared" si="6"/>
        <v>698565</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1912564</v>
      </c>
      <c r="D170" s="1715">
        <f t="shared" si="7"/>
        <v>0</v>
      </c>
      <c r="E170" s="1715">
        <f t="shared" si="7"/>
        <v>0</v>
      </c>
      <c r="F170" s="1715">
        <f t="shared" si="7"/>
        <v>698565</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6" t="s">
        <v>1491</v>
      </c>
      <c r="B172" s="2147"/>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0" t="s">
        <v>1664</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1663</v>
      </c>
      <c r="B176" s="2155"/>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2" t="s">
        <v>784</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1802</v>
      </c>
      <c r="B182" s="2149"/>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0</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91849</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91849</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5291</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5291</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316649</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6245</v>
      </c>
      <c r="D213" s="466"/>
      <c r="E213" s="468"/>
      <c r="F213" s="466"/>
      <c r="G213" s="466"/>
      <c r="H213" s="468"/>
      <c r="I213" s="468"/>
      <c r="J213" s="468"/>
      <c r="K213" s="468"/>
    </row>
    <row r="214" spans="1:11" ht="12.75" customHeight="1" x14ac:dyDescent="0.2">
      <c r="A214" s="463" t="s">
        <v>1053</v>
      </c>
      <c r="B214" s="470">
        <v>4625</v>
      </c>
      <c r="C214" s="551">
        <v>126418</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449312</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50348</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58767</v>
      </c>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655567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655567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26935072</v>
      </c>
      <c r="D268" s="1715">
        <f t="shared" si="12"/>
        <v>4453329</v>
      </c>
      <c r="E268" s="1715">
        <f t="shared" si="12"/>
        <v>1317345</v>
      </c>
      <c r="F268" s="1715">
        <f t="shared" si="12"/>
        <v>2206837</v>
      </c>
      <c r="G268" s="1715">
        <f t="shared" si="12"/>
        <v>800056</v>
      </c>
      <c r="H268" s="1715">
        <f t="shared" si="12"/>
        <v>5490</v>
      </c>
      <c r="I268" s="1715">
        <f t="shared" si="12"/>
        <v>202347</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293" activePane="bottomLeft" state="frozen"/>
      <selection pane="bottomLeft" activeCell="F6" sqref="F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4" t="s">
        <v>296</v>
      </c>
      <c r="B3" s="216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11990736</v>
      </c>
      <c r="D5" s="466">
        <v>1778708</v>
      </c>
      <c r="E5" s="466">
        <v>35384</v>
      </c>
      <c r="F5" s="466">
        <v>350326</v>
      </c>
      <c r="G5" s="466">
        <v>45894</v>
      </c>
      <c r="H5" s="466">
        <v>124418</v>
      </c>
      <c r="I5" s="467"/>
      <c r="J5" s="467"/>
      <c r="K5" s="1671">
        <f>SUM(C5:J5)</f>
        <v>14325466</v>
      </c>
      <c r="L5" s="466">
        <v>14034400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1758801</v>
      </c>
      <c r="D8" s="466">
        <v>438301</v>
      </c>
      <c r="E8" s="466">
        <v>48631</v>
      </c>
      <c r="F8" s="466">
        <v>20275</v>
      </c>
      <c r="G8" s="466"/>
      <c r="H8" s="466"/>
      <c r="I8" s="467"/>
      <c r="J8" s="467"/>
      <c r="K8" s="1671">
        <f t="shared" si="0"/>
        <v>2266008</v>
      </c>
      <c r="L8" s="466">
        <v>2152200</v>
      </c>
    </row>
    <row r="9" spans="1:14" x14ac:dyDescent="0.2">
      <c r="A9" s="1504" t="s">
        <v>720</v>
      </c>
      <c r="B9" s="614" t="s">
        <v>967</v>
      </c>
      <c r="C9" s="467">
        <v>59952</v>
      </c>
      <c r="D9" s="467">
        <v>9477</v>
      </c>
      <c r="E9" s="467"/>
      <c r="F9" s="467">
        <v>654</v>
      </c>
      <c r="G9" s="467"/>
      <c r="H9" s="467"/>
      <c r="I9" s="467"/>
      <c r="J9" s="467"/>
      <c r="K9" s="1671">
        <f t="shared" si="0"/>
        <v>70083</v>
      </c>
      <c r="L9" s="466">
        <v>69600</v>
      </c>
    </row>
    <row r="10" spans="1:14" x14ac:dyDescent="0.2">
      <c r="A10" s="1504" t="s">
        <v>721</v>
      </c>
      <c r="B10" s="614">
        <v>1250</v>
      </c>
      <c r="C10" s="466">
        <v>85776</v>
      </c>
      <c r="D10" s="466">
        <v>13792</v>
      </c>
      <c r="E10" s="466">
        <v>3860</v>
      </c>
      <c r="F10" s="466">
        <v>4465</v>
      </c>
      <c r="G10" s="466"/>
      <c r="H10" s="466"/>
      <c r="I10" s="467"/>
      <c r="J10" s="467"/>
      <c r="K10" s="1671">
        <f t="shared" si="0"/>
        <v>107893</v>
      </c>
      <c r="L10" s="466">
        <v>167000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c r="D13" s="466"/>
      <c r="E13" s="466"/>
      <c r="F13" s="466"/>
      <c r="G13" s="466"/>
      <c r="H13" s="466"/>
      <c r="I13" s="467"/>
      <c r="J13" s="467"/>
      <c r="K13" s="1671">
        <f t="shared" si="0"/>
        <v>0</v>
      </c>
      <c r="L13" s="466"/>
    </row>
    <row r="14" spans="1:14" x14ac:dyDescent="0.2">
      <c r="A14" s="1504" t="s">
        <v>962</v>
      </c>
      <c r="B14" s="614">
        <v>1500</v>
      </c>
      <c r="C14" s="466">
        <v>476815</v>
      </c>
      <c r="D14" s="466">
        <v>6654</v>
      </c>
      <c r="E14" s="466">
        <v>9245</v>
      </c>
      <c r="F14" s="466">
        <v>3048</v>
      </c>
      <c r="G14" s="466">
        <v>2945</v>
      </c>
      <c r="H14" s="466"/>
      <c r="I14" s="467"/>
      <c r="J14" s="467"/>
      <c r="K14" s="1671">
        <f t="shared" si="0"/>
        <v>498707</v>
      </c>
      <c r="L14" s="466">
        <v>524400</v>
      </c>
    </row>
    <row r="15" spans="1:14" x14ac:dyDescent="0.2">
      <c r="A15" s="1504" t="s">
        <v>963</v>
      </c>
      <c r="B15" s="614">
        <v>1600</v>
      </c>
      <c r="C15" s="466">
        <v>285779</v>
      </c>
      <c r="D15" s="466">
        <v>3115</v>
      </c>
      <c r="E15" s="466">
        <v>2500</v>
      </c>
      <c r="F15" s="466">
        <v>12964</v>
      </c>
      <c r="G15" s="466"/>
      <c r="H15" s="466"/>
      <c r="I15" s="467"/>
      <c r="J15" s="467"/>
      <c r="K15" s="1671">
        <f t="shared" si="0"/>
        <v>304358</v>
      </c>
      <c r="L15" s="466">
        <v>282100</v>
      </c>
    </row>
    <row r="16" spans="1:14" x14ac:dyDescent="0.2">
      <c r="A16" s="1504" t="s">
        <v>986</v>
      </c>
      <c r="B16" s="614" t="s">
        <v>423</v>
      </c>
      <c r="C16" s="466">
        <v>408151</v>
      </c>
      <c r="D16" s="466">
        <v>63638</v>
      </c>
      <c r="E16" s="466">
        <v>7055</v>
      </c>
      <c r="F16" s="466">
        <v>3343</v>
      </c>
      <c r="G16" s="466"/>
      <c r="H16" s="466"/>
      <c r="I16" s="467"/>
      <c r="J16" s="467"/>
      <c r="K16" s="1671">
        <f t="shared" si="0"/>
        <v>482187</v>
      </c>
      <c r="L16" s="466">
        <v>482100</v>
      </c>
    </row>
    <row r="17" spans="1:12" x14ac:dyDescent="0.2">
      <c r="A17" s="1504" t="s">
        <v>723</v>
      </c>
      <c r="B17" s="614" t="s">
        <v>162</v>
      </c>
      <c r="C17" s="467"/>
      <c r="D17" s="467"/>
      <c r="E17" s="467"/>
      <c r="F17" s="467"/>
      <c r="G17" s="467"/>
      <c r="H17" s="467"/>
      <c r="I17" s="467"/>
      <c r="J17" s="467"/>
      <c r="K17" s="1671">
        <f t="shared" si="0"/>
        <v>0</v>
      </c>
      <c r="L17" s="466"/>
    </row>
    <row r="18" spans="1:12" x14ac:dyDescent="0.2">
      <c r="A18" s="1504" t="s">
        <v>1086</v>
      </c>
      <c r="B18" s="614">
        <v>1800</v>
      </c>
      <c r="C18" s="466">
        <v>188087</v>
      </c>
      <c r="D18" s="466">
        <v>21123</v>
      </c>
      <c r="E18" s="466">
        <v>6008</v>
      </c>
      <c r="F18" s="466">
        <v>1226</v>
      </c>
      <c r="G18" s="466"/>
      <c r="H18" s="466"/>
      <c r="I18" s="467"/>
      <c r="J18" s="467"/>
      <c r="K18" s="1671">
        <f t="shared" si="0"/>
        <v>216444</v>
      </c>
      <c r="L18" s="466">
        <v>224200</v>
      </c>
    </row>
    <row r="19" spans="1:12" x14ac:dyDescent="0.2">
      <c r="A19" s="1504" t="s">
        <v>134</v>
      </c>
      <c r="B19" s="614">
        <v>1900</v>
      </c>
      <c r="C19" s="466"/>
      <c r="D19" s="466"/>
      <c r="E19" s="466"/>
      <c r="F19" s="466"/>
      <c r="G19" s="466"/>
      <c r="H19" s="466"/>
      <c r="I19" s="467"/>
      <c r="J19" s="467"/>
      <c r="K19" s="1671">
        <f t="shared" si="0"/>
        <v>0</v>
      </c>
      <c r="L19" s="466">
        <v>395000</v>
      </c>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457163</v>
      </c>
      <c r="I22" s="616"/>
      <c r="J22" s="477"/>
      <c r="K22" s="1671">
        <f t="shared" si="0"/>
        <v>457163</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15254097</v>
      </c>
      <c r="D33" s="1670">
        <f t="shared" ref="D33:L33" si="1">SUM(D5:D32)</f>
        <v>2334808</v>
      </c>
      <c r="E33" s="1670">
        <f t="shared" si="1"/>
        <v>112683</v>
      </c>
      <c r="F33" s="1670">
        <f t="shared" si="1"/>
        <v>396301</v>
      </c>
      <c r="G33" s="1670">
        <f t="shared" si="1"/>
        <v>48839</v>
      </c>
      <c r="H33" s="1670">
        <f t="shared" si="1"/>
        <v>581581</v>
      </c>
      <c r="I33" s="1670">
        <f t="shared" si="1"/>
        <v>0</v>
      </c>
      <c r="J33" s="1670">
        <f t="shared" si="1"/>
        <v>0</v>
      </c>
      <c r="K33" s="1670">
        <f t="shared" si="1"/>
        <v>18728309</v>
      </c>
      <c r="L33" s="1670">
        <f t="shared" si="1"/>
        <v>18331000</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599625</v>
      </c>
      <c r="D36" s="481">
        <v>80752</v>
      </c>
      <c r="E36" s="481">
        <v>309</v>
      </c>
      <c r="F36" s="481">
        <v>2198</v>
      </c>
      <c r="G36" s="481"/>
      <c r="H36" s="481"/>
      <c r="I36" s="467"/>
      <c r="J36" s="467"/>
      <c r="K36" s="1671">
        <f t="shared" ref="K36:K41" si="2">SUM(C36:J36)</f>
        <v>682884</v>
      </c>
      <c r="L36" s="466">
        <v>667300</v>
      </c>
    </row>
    <row r="37" spans="1:14" x14ac:dyDescent="0.2">
      <c r="A37" s="1504" t="s">
        <v>1089</v>
      </c>
      <c r="B37" s="614">
        <v>2120</v>
      </c>
      <c r="C37" s="466"/>
      <c r="D37" s="466"/>
      <c r="E37" s="466"/>
      <c r="F37" s="466"/>
      <c r="G37" s="466"/>
      <c r="H37" s="466"/>
      <c r="I37" s="467"/>
      <c r="J37" s="467"/>
      <c r="K37" s="1671">
        <f t="shared" si="2"/>
        <v>0</v>
      </c>
      <c r="L37" s="466"/>
    </row>
    <row r="38" spans="1:14" x14ac:dyDescent="0.2">
      <c r="A38" s="1504" t="s">
        <v>198</v>
      </c>
      <c r="B38" s="614">
        <v>2130</v>
      </c>
      <c r="C38" s="466">
        <v>430807</v>
      </c>
      <c r="D38" s="466">
        <v>59614</v>
      </c>
      <c r="E38" s="466">
        <v>11060</v>
      </c>
      <c r="F38" s="466">
        <v>2982</v>
      </c>
      <c r="G38" s="466"/>
      <c r="H38" s="466"/>
      <c r="I38" s="467"/>
      <c r="J38" s="467"/>
      <c r="K38" s="1671">
        <f t="shared" si="2"/>
        <v>504463</v>
      </c>
      <c r="L38" s="466">
        <v>437100</v>
      </c>
    </row>
    <row r="39" spans="1:14" x14ac:dyDescent="0.2">
      <c r="A39" s="1504" t="s">
        <v>199</v>
      </c>
      <c r="B39" s="614">
        <v>2140</v>
      </c>
      <c r="C39" s="466">
        <v>268804</v>
      </c>
      <c r="D39" s="466">
        <v>49499</v>
      </c>
      <c r="E39" s="466">
        <v>1723</v>
      </c>
      <c r="F39" s="466">
        <v>2814</v>
      </c>
      <c r="G39" s="466"/>
      <c r="H39" s="466"/>
      <c r="I39" s="467"/>
      <c r="J39" s="467"/>
      <c r="K39" s="1671">
        <f t="shared" si="2"/>
        <v>322840</v>
      </c>
      <c r="L39" s="466">
        <v>341800</v>
      </c>
    </row>
    <row r="40" spans="1:14" x14ac:dyDescent="0.2">
      <c r="A40" s="1504" t="s">
        <v>200</v>
      </c>
      <c r="B40" s="614">
        <v>2150</v>
      </c>
      <c r="C40" s="466">
        <v>831953</v>
      </c>
      <c r="D40" s="466">
        <v>113529</v>
      </c>
      <c r="E40" s="466">
        <v>1815</v>
      </c>
      <c r="F40" s="466">
        <v>3419</v>
      </c>
      <c r="G40" s="466"/>
      <c r="H40" s="466"/>
      <c r="I40" s="467"/>
      <c r="J40" s="467"/>
      <c r="K40" s="1671">
        <f t="shared" si="2"/>
        <v>950716</v>
      </c>
      <c r="L40" s="466">
        <v>985500</v>
      </c>
    </row>
    <row r="41" spans="1:14" x14ac:dyDescent="0.2">
      <c r="A41" s="1504" t="s">
        <v>1668</v>
      </c>
      <c r="B41" s="614">
        <v>2190</v>
      </c>
      <c r="C41" s="466"/>
      <c r="D41" s="466"/>
      <c r="E41" s="466">
        <v>50713</v>
      </c>
      <c r="F41" s="466"/>
      <c r="G41" s="466"/>
      <c r="H41" s="466"/>
      <c r="I41" s="467"/>
      <c r="J41" s="467"/>
      <c r="K41" s="1671">
        <f t="shared" si="2"/>
        <v>50713</v>
      </c>
      <c r="L41" s="466">
        <v>50100</v>
      </c>
    </row>
    <row r="42" spans="1:14" ht="12.75" customHeight="1" thickBot="1" x14ac:dyDescent="0.25">
      <c r="A42" s="1668" t="s">
        <v>559</v>
      </c>
      <c r="B42" s="1669" t="s">
        <v>715</v>
      </c>
      <c r="C42" s="1670">
        <f>SUM(C36:C41)</f>
        <v>2131189</v>
      </c>
      <c r="D42" s="1670">
        <f t="shared" ref="D42:L42" si="3">SUM(D36:D41)</f>
        <v>303394</v>
      </c>
      <c r="E42" s="1670">
        <f t="shared" si="3"/>
        <v>65620</v>
      </c>
      <c r="F42" s="1670">
        <f t="shared" si="3"/>
        <v>11413</v>
      </c>
      <c r="G42" s="1670">
        <f t="shared" si="3"/>
        <v>0</v>
      </c>
      <c r="H42" s="1670">
        <f t="shared" si="3"/>
        <v>0</v>
      </c>
      <c r="I42" s="1670">
        <f t="shared" si="3"/>
        <v>0</v>
      </c>
      <c r="J42" s="1670">
        <f t="shared" si="3"/>
        <v>0</v>
      </c>
      <c r="K42" s="1670">
        <f t="shared" si="3"/>
        <v>2511616</v>
      </c>
      <c r="L42" s="1670">
        <f t="shared" si="3"/>
        <v>2481800</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262619</v>
      </c>
      <c r="D44" s="481">
        <v>85196</v>
      </c>
      <c r="E44" s="481">
        <v>155636</v>
      </c>
      <c r="F44" s="481">
        <v>283140</v>
      </c>
      <c r="G44" s="481">
        <v>2858</v>
      </c>
      <c r="H44" s="481"/>
      <c r="I44" s="467"/>
      <c r="J44" s="467"/>
      <c r="K44" s="1672">
        <f>SUM(C44:J44)</f>
        <v>789449</v>
      </c>
      <c r="L44" s="481">
        <v>772100</v>
      </c>
    </row>
    <row r="45" spans="1:14" x14ac:dyDescent="0.2">
      <c r="A45" s="1504" t="s">
        <v>814</v>
      </c>
      <c r="B45" s="614">
        <v>2220</v>
      </c>
      <c r="C45" s="466">
        <v>586756</v>
      </c>
      <c r="D45" s="466">
        <v>99293</v>
      </c>
      <c r="E45" s="466">
        <v>11540</v>
      </c>
      <c r="F45" s="466">
        <v>43085</v>
      </c>
      <c r="G45" s="466">
        <v>10391</v>
      </c>
      <c r="H45" s="466"/>
      <c r="I45" s="467"/>
      <c r="J45" s="467"/>
      <c r="K45" s="1672">
        <f>SUM(C45:J45)</f>
        <v>751065</v>
      </c>
      <c r="L45" s="466">
        <v>783100</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849375</v>
      </c>
      <c r="D47" s="1670">
        <f t="shared" ref="D47:K47" si="4">SUM(D44:D46)</f>
        <v>184489</v>
      </c>
      <c r="E47" s="1670">
        <f t="shared" si="4"/>
        <v>167176</v>
      </c>
      <c r="F47" s="1670">
        <f t="shared" si="4"/>
        <v>326225</v>
      </c>
      <c r="G47" s="1670">
        <f t="shared" si="4"/>
        <v>13249</v>
      </c>
      <c r="H47" s="1670">
        <f t="shared" si="4"/>
        <v>0</v>
      </c>
      <c r="I47" s="1670">
        <f t="shared" si="4"/>
        <v>0</v>
      </c>
      <c r="J47" s="1670">
        <f t="shared" si="4"/>
        <v>0</v>
      </c>
      <c r="K47" s="1670">
        <f t="shared" si="4"/>
        <v>1540514</v>
      </c>
      <c r="L47" s="1670">
        <f>SUM(L44:L46)</f>
        <v>1555200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295618</v>
      </c>
      <c r="F49" s="481">
        <v>5284</v>
      </c>
      <c r="G49" s="481"/>
      <c r="H49" s="481"/>
      <c r="I49" s="467"/>
      <c r="J49" s="467"/>
      <c r="K49" s="1672">
        <f>SUM(C49:J49)</f>
        <v>300902</v>
      </c>
      <c r="L49" s="481">
        <v>316900</v>
      </c>
    </row>
    <row r="50" spans="1:14" x14ac:dyDescent="0.2">
      <c r="A50" s="1504" t="s">
        <v>817</v>
      </c>
      <c r="B50" s="614">
        <v>2320</v>
      </c>
      <c r="C50" s="466">
        <v>362713</v>
      </c>
      <c r="D50" s="466">
        <v>41761</v>
      </c>
      <c r="E50" s="466">
        <v>14146</v>
      </c>
      <c r="F50" s="466">
        <v>4253</v>
      </c>
      <c r="G50" s="466"/>
      <c r="H50" s="466"/>
      <c r="I50" s="467"/>
      <c r="J50" s="467"/>
      <c r="K50" s="1672">
        <f>SUM(C50:J50)</f>
        <v>422873</v>
      </c>
      <c r="L50" s="466">
        <v>420900</v>
      </c>
    </row>
    <row r="51" spans="1:14" x14ac:dyDescent="0.2">
      <c r="A51" s="1504" t="s">
        <v>42</v>
      </c>
      <c r="B51" s="614">
        <v>2330</v>
      </c>
      <c r="C51" s="466">
        <v>202339</v>
      </c>
      <c r="D51" s="466">
        <v>25064</v>
      </c>
      <c r="E51" s="466">
        <v>7628</v>
      </c>
      <c r="F51" s="466">
        <v>2077</v>
      </c>
      <c r="G51" s="466"/>
      <c r="H51" s="466"/>
      <c r="I51" s="467"/>
      <c r="J51" s="467"/>
      <c r="K51" s="1672">
        <f>SUM(C51:J51)</f>
        <v>237108</v>
      </c>
      <c r="L51" s="466">
        <v>238700</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565052</v>
      </c>
      <c r="D53" s="1670">
        <f t="shared" ref="D53:L53" si="5">SUM(D49:D52)</f>
        <v>66825</v>
      </c>
      <c r="E53" s="1670">
        <f t="shared" si="5"/>
        <v>317392</v>
      </c>
      <c r="F53" s="1670">
        <f t="shared" si="5"/>
        <v>11614</v>
      </c>
      <c r="G53" s="1670">
        <f t="shared" si="5"/>
        <v>0</v>
      </c>
      <c r="H53" s="1670">
        <f t="shared" si="5"/>
        <v>0</v>
      </c>
      <c r="I53" s="1670">
        <f t="shared" si="5"/>
        <v>0</v>
      </c>
      <c r="J53" s="1670">
        <f t="shared" si="5"/>
        <v>0</v>
      </c>
      <c r="K53" s="1670">
        <f t="shared" si="5"/>
        <v>960883</v>
      </c>
      <c r="L53" s="1670">
        <f t="shared" si="5"/>
        <v>976500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1217253</v>
      </c>
      <c r="D55" s="481">
        <v>177391</v>
      </c>
      <c r="E55" s="481">
        <v>25468</v>
      </c>
      <c r="F55" s="481">
        <v>12063</v>
      </c>
      <c r="G55" s="481">
        <v>8698</v>
      </c>
      <c r="H55" s="481"/>
      <c r="I55" s="467"/>
      <c r="J55" s="467"/>
      <c r="K55" s="1672">
        <f>SUM(C55:J55)</f>
        <v>1440873</v>
      </c>
      <c r="L55" s="481">
        <v>1459900</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1217253</v>
      </c>
      <c r="D57" s="1674">
        <f t="shared" ref="D57:K57" si="6">SUM(D55:D56)</f>
        <v>177391</v>
      </c>
      <c r="E57" s="1674">
        <f t="shared" si="6"/>
        <v>25468</v>
      </c>
      <c r="F57" s="1674">
        <f t="shared" si="6"/>
        <v>12063</v>
      </c>
      <c r="G57" s="1674">
        <f t="shared" si="6"/>
        <v>8698</v>
      </c>
      <c r="H57" s="1674">
        <f t="shared" si="6"/>
        <v>0</v>
      </c>
      <c r="I57" s="1674">
        <f t="shared" si="6"/>
        <v>0</v>
      </c>
      <c r="J57" s="1674">
        <f t="shared" si="6"/>
        <v>0</v>
      </c>
      <c r="K57" s="1674">
        <f t="shared" si="6"/>
        <v>1440873</v>
      </c>
      <c r="L57" s="1670">
        <f>SUM(L55:L56)</f>
        <v>1459900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328771</v>
      </c>
      <c r="D59" s="481">
        <v>48693</v>
      </c>
      <c r="E59" s="481">
        <v>10232</v>
      </c>
      <c r="F59" s="481">
        <v>938</v>
      </c>
      <c r="G59" s="481"/>
      <c r="H59" s="481"/>
      <c r="I59" s="467"/>
      <c r="J59" s="467"/>
      <c r="K59" s="1672">
        <f t="shared" ref="K59:K64" si="7">SUM(C59:J59)</f>
        <v>388634</v>
      </c>
      <c r="L59" s="481">
        <v>415800</v>
      </c>
      <c r="M59" s="609"/>
      <c r="N59" s="609"/>
    </row>
    <row r="60" spans="1:14" s="343" customFormat="1" x14ac:dyDescent="0.2">
      <c r="A60" s="1504" t="s">
        <v>462</v>
      </c>
      <c r="B60" s="614">
        <v>2520</v>
      </c>
      <c r="C60" s="466">
        <v>142946</v>
      </c>
      <c r="D60" s="466">
        <v>9834</v>
      </c>
      <c r="E60" s="466">
        <v>175720</v>
      </c>
      <c r="F60" s="466">
        <v>11488</v>
      </c>
      <c r="G60" s="466">
        <v>3855</v>
      </c>
      <c r="H60" s="466"/>
      <c r="I60" s="467"/>
      <c r="J60" s="467"/>
      <c r="K60" s="1672">
        <f t="shared" si="7"/>
        <v>343843</v>
      </c>
      <c r="L60" s="466">
        <v>432900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111703</v>
      </c>
      <c r="D63" s="466">
        <v>8170</v>
      </c>
      <c r="E63" s="466">
        <v>424119</v>
      </c>
      <c r="F63" s="466"/>
      <c r="G63" s="466"/>
      <c r="H63" s="466"/>
      <c r="I63" s="467"/>
      <c r="J63" s="467"/>
      <c r="K63" s="1672">
        <f t="shared" si="7"/>
        <v>543992</v>
      </c>
      <c r="L63" s="466">
        <v>567100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583420</v>
      </c>
      <c r="D65" s="1670">
        <f t="shared" ref="D65:L65" si="8">SUM(D59:D64)</f>
        <v>66697</v>
      </c>
      <c r="E65" s="1670">
        <f t="shared" si="8"/>
        <v>610071</v>
      </c>
      <c r="F65" s="1670">
        <f t="shared" si="8"/>
        <v>12426</v>
      </c>
      <c r="G65" s="1670">
        <f t="shared" si="8"/>
        <v>3855</v>
      </c>
      <c r="H65" s="1670">
        <f t="shared" si="8"/>
        <v>0</v>
      </c>
      <c r="I65" s="1670">
        <f t="shared" si="8"/>
        <v>0</v>
      </c>
      <c r="J65" s="1670">
        <f t="shared" si="8"/>
        <v>0</v>
      </c>
      <c r="K65" s="1670">
        <f t="shared" si="8"/>
        <v>1276469</v>
      </c>
      <c r="L65" s="1670">
        <f t="shared" si="8"/>
        <v>1415800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75369</v>
      </c>
      <c r="D69" s="466">
        <v>16630</v>
      </c>
      <c r="E69" s="466">
        <v>6922</v>
      </c>
      <c r="F69" s="466">
        <v>31</v>
      </c>
      <c r="G69" s="466"/>
      <c r="H69" s="466"/>
      <c r="I69" s="467"/>
      <c r="J69" s="467"/>
      <c r="K69" s="1672">
        <f>SUM(C69:J69)</f>
        <v>98952</v>
      </c>
      <c r="L69" s="466">
        <v>100500</v>
      </c>
      <c r="M69" s="609"/>
      <c r="N69" s="609"/>
    </row>
    <row r="70" spans="1:14" s="343" customFormat="1" x14ac:dyDescent="0.2">
      <c r="A70" s="1504" t="s">
        <v>402</v>
      </c>
      <c r="B70" s="614">
        <v>2640</v>
      </c>
      <c r="C70" s="466">
        <v>224858</v>
      </c>
      <c r="D70" s="466">
        <v>28705</v>
      </c>
      <c r="E70" s="466">
        <v>33921</v>
      </c>
      <c r="F70" s="466">
        <v>1099</v>
      </c>
      <c r="G70" s="466"/>
      <c r="H70" s="466"/>
      <c r="I70" s="467"/>
      <c r="J70" s="467"/>
      <c r="K70" s="1672">
        <f>SUM(C70:J70)</f>
        <v>288583</v>
      </c>
      <c r="L70" s="466">
        <v>289400</v>
      </c>
      <c r="M70" s="609"/>
      <c r="N70" s="609"/>
    </row>
    <row r="71" spans="1:14" s="343" customFormat="1" x14ac:dyDescent="0.2">
      <c r="A71" s="1504" t="s">
        <v>403</v>
      </c>
      <c r="B71" s="614">
        <v>2660</v>
      </c>
      <c r="C71" s="466">
        <v>633331</v>
      </c>
      <c r="D71" s="466">
        <v>63123</v>
      </c>
      <c r="E71" s="466">
        <v>280844</v>
      </c>
      <c r="F71" s="466">
        <v>202832</v>
      </c>
      <c r="G71" s="466">
        <v>233368</v>
      </c>
      <c r="H71" s="466"/>
      <c r="I71" s="467"/>
      <c r="J71" s="467"/>
      <c r="K71" s="1672">
        <f>SUM(C71:J71)</f>
        <v>1413498</v>
      </c>
      <c r="L71" s="466">
        <v>1427300</v>
      </c>
      <c r="M71" s="609"/>
      <c r="N71" s="609"/>
    </row>
    <row r="72" spans="1:14" s="343" customFormat="1" ht="12.75" customHeight="1" thickBot="1" x14ac:dyDescent="0.25">
      <c r="A72" s="1668" t="s">
        <v>37</v>
      </c>
      <c r="B72" s="1675" t="s">
        <v>36</v>
      </c>
      <c r="C72" s="1670">
        <f>SUM(C67:C71)</f>
        <v>933558</v>
      </c>
      <c r="D72" s="1670">
        <f t="shared" ref="D72:K72" si="9">SUM(D67:D71)</f>
        <v>108458</v>
      </c>
      <c r="E72" s="1670">
        <f t="shared" si="9"/>
        <v>321687</v>
      </c>
      <c r="F72" s="1670">
        <f t="shared" si="9"/>
        <v>203962</v>
      </c>
      <c r="G72" s="1670">
        <f t="shared" si="9"/>
        <v>233368</v>
      </c>
      <c r="H72" s="1670">
        <f t="shared" si="9"/>
        <v>0</v>
      </c>
      <c r="I72" s="1670">
        <f t="shared" si="9"/>
        <v>0</v>
      </c>
      <c r="J72" s="1670">
        <f t="shared" si="9"/>
        <v>0</v>
      </c>
      <c r="K72" s="1670">
        <f t="shared" si="9"/>
        <v>1801033</v>
      </c>
      <c r="L72" s="1670">
        <f>SUM(L67:L71)</f>
        <v>1817200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6279847</v>
      </c>
      <c r="D74" s="1677">
        <f t="shared" ref="D74:K74" si="10">SUM(D42,D47,D53,D57,D65,D72,D73)</f>
        <v>907254</v>
      </c>
      <c r="E74" s="1677">
        <f t="shared" si="10"/>
        <v>1507414</v>
      </c>
      <c r="F74" s="1677">
        <f t="shared" si="10"/>
        <v>577703</v>
      </c>
      <c r="G74" s="1677">
        <f t="shared" si="10"/>
        <v>259170</v>
      </c>
      <c r="H74" s="1677">
        <f t="shared" si="10"/>
        <v>0</v>
      </c>
      <c r="I74" s="1677">
        <f t="shared" si="10"/>
        <v>0</v>
      </c>
      <c r="J74" s="1677">
        <f t="shared" si="10"/>
        <v>0</v>
      </c>
      <c r="K74" s="1677">
        <f t="shared" si="10"/>
        <v>9531388</v>
      </c>
      <c r="L74" s="1677">
        <f>SUM(L42,L47,L53,L57,L65,L72,L73)</f>
        <v>9706400</v>
      </c>
    </row>
    <row r="75" spans="1:14" s="259" customFormat="1" ht="15.75" customHeight="1" thickTop="1" thickBot="1" x14ac:dyDescent="0.25">
      <c r="A75" s="1610" t="s">
        <v>47</v>
      </c>
      <c r="B75" s="1611" t="s">
        <v>574</v>
      </c>
      <c r="C75" s="573">
        <v>21075</v>
      </c>
      <c r="D75" s="573">
        <v>34</v>
      </c>
      <c r="E75" s="573">
        <v>9898</v>
      </c>
      <c r="F75" s="573">
        <v>52798</v>
      </c>
      <c r="G75" s="573"/>
      <c r="H75" s="573"/>
      <c r="I75" s="531"/>
      <c r="J75" s="531"/>
      <c r="K75" s="1670">
        <f>SUM(C75:J75)</f>
        <v>83805</v>
      </c>
      <c r="L75" s="576">
        <v>86200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v>600800</v>
      </c>
    </row>
    <row r="79" spans="1:14" x14ac:dyDescent="0.2">
      <c r="A79" s="1504" t="s">
        <v>303</v>
      </c>
      <c r="B79" s="614">
        <v>4120</v>
      </c>
      <c r="C79" s="616"/>
      <c r="D79" s="616"/>
      <c r="E79" s="466">
        <v>108416</v>
      </c>
      <c r="F79" s="616"/>
      <c r="G79" s="616"/>
      <c r="H79" s="466">
        <v>496258</v>
      </c>
      <c r="I79" s="477"/>
      <c r="J79" s="477"/>
      <c r="K79" s="1671">
        <f t="shared" si="11"/>
        <v>604674</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108416</v>
      </c>
      <c r="F84" s="616"/>
      <c r="G84" s="616"/>
      <c r="H84" s="1670">
        <f>SUM(H78:H83)</f>
        <v>496258</v>
      </c>
      <c r="I84" s="477"/>
      <c r="J84" s="477"/>
      <c r="K84" s="1670">
        <f>SUM(K78:K83)</f>
        <v>604674</v>
      </c>
      <c r="L84" s="1670">
        <f>SUM(L78:L83)</f>
        <v>600800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108416</v>
      </c>
      <c r="F102" s="616"/>
      <c r="G102" s="616"/>
      <c r="H102" s="1677">
        <f>SUM(H84,H92,H100,H101)</f>
        <v>496258</v>
      </c>
      <c r="I102" s="477"/>
      <c r="J102" s="477"/>
      <c r="K102" s="1677">
        <f>SUM(K84,K92,K100,K101)</f>
        <v>604674</v>
      </c>
      <c r="L102" s="1677">
        <f>SUM(L84,L92,L100,L101)</f>
        <v>600800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21555019</v>
      </c>
      <c r="D114" s="1670">
        <f t="shared" ref="D114:K114" si="13">SUM(D33,D74,D75,D102,D112,D113)</f>
        <v>3242096</v>
      </c>
      <c r="E114" s="1670">
        <f t="shared" si="13"/>
        <v>1738411</v>
      </c>
      <c r="F114" s="1670">
        <f t="shared" si="13"/>
        <v>1026802</v>
      </c>
      <c r="G114" s="1670">
        <f t="shared" si="13"/>
        <v>308009</v>
      </c>
      <c r="H114" s="1670">
        <f>SUM(H33,H74,H75,H102,H112,H113)</f>
        <v>1077839</v>
      </c>
      <c r="I114" s="1670">
        <f t="shared" si="13"/>
        <v>0</v>
      </c>
      <c r="J114" s="1670">
        <f t="shared" si="13"/>
        <v>0</v>
      </c>
      <c r="K114" s="1670">
        <f t="shared" si="13"/>
        <v>28948176</v>
      </c>
      <c r="L114" s="1670">
        <f>SUM(L33,L74,L75,L102,L112,L113)</f>
        <v>28724400</v>
      </c>
    </row>
    <row r="115" spans="1:14" ht="13.5" thickTop="1" x14ac:dyDescent="0.2">
      <c r="A115" s="2156" t="s">
        <v>995</v>
      </c>
      <c r="B115" s="2157"/>
      <c r="C115" s="618"/>
      <c r="D115" s="618"/>
      <c r="E115" s="618"/>
      <c r="F115" s="618"/>
      <c r="G115" s="618"/>
      <c r="H115" s="618"/>
      <c r="I115" s="618"/>
      <c r="J115" s="618"/>
      <c r="K115" s="1684">
        <f>'Revenues 9-14'!C268-'Expenditures 15-22'!K114</f>
        <v>-2013104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295</v>
      </c>
      <c r="B117" s="216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1203328</v>
      </c>
      <c r="D124" s="466">
        <v>275366</v>
      </c>
      <c r="E124" s="466">
        <v>588716</v>
      </c>
      <c r="F124" s="466">
        <v>670194</v>
      </c>
      <c r="G124" s="466">
        <v>957486</v>
      </c>
      <c r="H124" s="466"/>
      <c r="I124" s="467"/>
      <c r="J124" s="467"/>
      <c r="K124" s="1670">
        <f>SUM(C124:J124)</f>
        <v>3695090</v>
      </c>
      <c r="L124" s="466">
        <v>3369300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1203328</v>
      </c>
      <c r="D127" s="1670">
        <f t="shared" ref="D127:L127" si="14">SUM(D122:D126)</f>
        <v>275366</v>
      </c>
      <c r="E127" s="1670">
        <f t="shared" si="14"/>
        <v>588716</v>
      </c>
      <c r="F127" s="1670">
        <f t="shared" si="14"/>
        <v>670194</v>
      </c>
      <c r="G127" s="1670">
        <f t="shared" si="14"/>
        <v>957486</v>
      </c>
      <c r="H127" s="1670">
        <f t="shared" si="14"/>
        <v>0</v>
      </c>
      <c r="I127" s="1670">
        <f t="shared" si="14"/>
        <v>0</v>
      </c>
      <c r="J127" s="1670">
        <f t="shared" si="14"/>
        <v>0</v>
      </c>
      <c r="K127" s="1670">
        <f t="shared" si="14"/>
        <v>3695090</v>
      </c>
      <c r="L127" s="1670">
        <f t="shared" si="14"/>
        <v>3369300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1203328</v>
      </c>
      <c r="D129" s="1677">
        <f t="shared" ref="D129:L129" si="15">SUM(D120,D127,D128)</f>
        <v>275366</v>
      </c>
      <c r="E129" s="1677">
        <f t="shared" si="15"/>
        <v>588716</v>
      </c>
      <c r="F129" s="1677">
        <f t="shared" si="15"/>
        <v>670194</v>
      </c>
      <c r="G129" s="1677">
        <f t="shared" si="15"/>
        <v>957486</v>
      </c>
      <c r="H129" s="1677">
        <f t="shared" si="15"/>
        <v>0</v>
      </c>
      <c r="I129" s="1677">
        <f t="shared" si="15"/>
        <v>0</v>
      </c>
      <c r="J129" s="1677">
        <f t="shared" si="15"/>
        <v>0</v>
      </c>
      <c r="K129" s="1677">
        <f t="shared" si="15"/>
        <v>3695090</v>
      </c>
      <c r="L129" s="1677">
        <f t="shared" si="15"/>
        <v>3369300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v>99492</v>
      </c>
      <c r="F134" s="616"/>
      <c r="G134" s="616"/>
      <c r="H134" s="481"/>
      <c r="I134" s="477"/>
      <c r="J134" s="616"/>
      <c r="K134" s="1672">
        <f>SUM(E134,H134)</f>
        <v>99492</v>
      </c>
      <c r="L134" s="481">
        <v>101400</v>
      </c>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99492</v>
      </c>
      <c r="F137" s="616"/>
      <c r="G137" s="616"/>
      <c r="H137" s="1670">
        <f>SUM(H133:H136)</f>
        <v>0</v>
      </c>
      <c r="I137" s="477"/>
      <c r="J137" s="616"/>
      <c r="K137" s="1670">
        <f>SUM(K133:K136)</f>
        <v>99492</v>
      </c>
      <c r="L137" s="1670">
        <f>SUM(L133:L136)</f>
        <v>101400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99492</v>
      </c>
      <c r="F139" s="616"/>
      <c r="G139" s="616"/>
      <c r="H139" s="1679">
        <f>SUM(H137:H138)</f>
        <v>0</v>
      </c>
      <c r="I139" s="477"/>
      <c r="J139" s="616"/>
      <c r="K139" s="1672">
        <f>SUM(K137,K138)</f>
        <v>99492</v>
      </c>
      <c r="L139" s="1679">
        <f>SUM(L137,L138)</f>
        <v>101400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3" t="s">
        <v>619</v>
      </c>
      <c r="B151" s="2153"/>
      <c r="C151" s="1670">
        <f>SUM(C129,C130,C139,C149,C150)</f>
        <v>1203328</v>
      </c>
      <c r="D151" s="1670">
        <f t="shared" ref="D151:K151" si="16">SUM(D129,D130,D139,D149,D150)</f>
        <v>275366</v>
      </c>
      <c r="E151" s="1670">
        <f t="shared" si="16"/>
        <v>688208</v>
      </c>
      <c r="F151" s="1670">
        <f t="shared" si="16"/>
        <v>670194</v>
      </c>
      <c r="G151" s="1670">
        <f t="shared" si="16"/>
        <v>957486</v>
      </c>
      <c r="H151" s="1670">
        <f t="shared" si="16"/>
        <v>0</v>
      </c>
      <c r="I151" s="1670">
        <f t="shared" si="16"/>
        <v>0</v>
      </c>
      <c r="J151" s="1670">
        <f t="shared" si="16"/>
        <v>0</v>
      </c>
      <c r="K151" s="1670">
        <f t="shared" si="16"/>
        <v>3794582</v>
      </c>
      <c r="L151" s="1670">
        <f>SUM(L129,L130,L139,L149,L150)</f>
        <v>3470700</v>
      </c>
    </row>
    <row r="152" spans="1:14" ht="12.75" customHeight="1" thickTop="1" x14ac:dyDescent="0.2">
      <c r="A152" s="2176" t="s">
        <v>1177</v>
      </c>
      <c r="B152" s="2177"/>
      <c r="C152" s="618"/>
      <c r="D152" s="618"/>
      <c r="E152" s="618"/>
      <c r="F152" s="618"/>
      <c r="G152" s="618"/>
      <c r="H152" s="618"/>
      <c r="I152" s="618"/>
      <c r="J152" s="616"/>
      <c r="K152" s="1684">
        <f>'Revenues 9-14'!D268-'Expenditures 15-22'!K151</f>
        <v>658747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620</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477509</v>
      </c>
      <c r="I169" s="616"/>
      <c r="J169" s="616"/>
      <c r="K169" s="1671">
        <f>SUM(C169:H169)</f>
        <v>477509</v>
      </c>
      <c r="L169" s="656">
        <v>463300</v>
      </c>
    </row>
    <row r="170" spans="1:14" ht="33.75" customHeight="1" x14ac:dyDescent="0.2">
      <c r="A170" s="669" t="s">
        <v>1669</v>
      </c>
      <c r="B170" s="671" t="s">
        <v>31</v>
      </c>
      <c r="C170" s="616"/>
      <c r="D170" s="616"/>
      <c r="E170" s="616"/>
      <c r="F170" s="616"/>
      <c r="G170" s="616"/>
      <c r="H170" s="569">
        <v>2110071</v>
      </c>
      <c r="I170" s="616"/>
      <c r="J170" s="616"/>
      <c r="K170" s="1671">
        <f>SUM(C170:J170)</f>
        <v>2110071</v>
      </c>
      <c r="L170" s="569">
        <v>2106700</v>
      </c>
    </row>
    <row r="171" spans="1:14" ht="15.75" customHeight="1" x14ac:dyDescent="0.2">
      <c r="A171" s="621" t="s">
        <v>765</v>
      </c>
      <c r="B171" s="672" t="s">
        <v>84</v>
      </c>
      <c r="C171" s="616"/>
      <c r="D171" s="616"/>
      <c r="E171" s="466">
        <v>1742</v>
      </c>
      <c r="F171" s="616"/>
      <c r="G171" s="616"/>
      <c r="H171" s="569"/>
      <c r="I171" s="477"/>
      <c r="J171" s="616"/>
      <c r="K171" s="1671">
        <f>SUM(C171:J171)</f>
        <v>1742</v>
      </c>
      <c r="L171" s="569">
        <v>2000</v>
      </c>
    </row>
    <row r="172" spans="1:14" ht="12.75" customHeight="1" thickBot="1" x14ac:dyDescent="0.25">
      <c r="A172" s="1668" t="s">
        <v>637</v>
      </c>
      <c r="B172" s="1669" t="s">
        <v>491</v>
      </c>
      <c r="C172" s="616"/>
      <c r="D172" s="616"/>
      <c r="E172" s="1677">
        <f>SUM(E168,E169,E170,E171)</f>
        <v>1742</v>
      </c>
      <c r="F172" s="616"/>
      <c r="G172" s="616"/>
      <c r="H172" s="1677">
        <f>SUM(H168,H169,H170,H171)</f>
        <v>2587580</v>
      </c>
      <c r="I172" s="638"/>
      <c r="J172" s="616"/>
      <c r="K172" s="1677">
        <f>SUM(K168,K169,K170,K171)</f>
        <v>2589322</v>
      </c>
      <c r="L172" s="1677">
        <f>SUM(L168,L169,L170,L171)</f>
        <v>2572000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1742</v>
      </c>
      <c r="F174" s="616"/>
      <c r="G174" s="616"/>
      <c r="H174" s="1677">
        <f>SUM(H160,H172,H173)</f>
        <v>2587580</v>
      </c>
      <c r="I174" s="638"/>
      <c r="J174" s="616"/>
      <c r="K174" s="1677">
        <f>SUM(K160,K172,K173)</f>
        <v>2589322</v>
      </c>
      <c r="L174" s="1677">
        <f>SUM(L160,L172,L173)</f>
        <v>2572000</v>
      </c>
    </row>
    <row r="175" spans="1:14" ht="13.5" thickTop="1" x14ac:dyDescent="0.2">
      <c r="A175" s="2156" t="s">
        <v>995</v>
      </c>
      <c r="B175" s="2157"/>
      <c r="C175" s="616"/>
      <c r="D175" s="616"/>
      <c r="E175" s="616"/>
      <c r="F175" s="616"/>
      <c r="G175" s="616"/>
      <c r="H175" s="618"/>
      <c r="I175" s="616"/>
      <c r="J175" s="616"/>
      <c r="K175" s="1684">
        <f>'Revenues 9-14'!E268-'Expenditures 15-22'!K174</f>
        <v>-1271977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18650</v>
      </c>
      <c r="D182" s="466"/>
      <c r="E182" s="466">
        <v>1618196</v>
      </c>
      <c r="F182" s="466">
        <v>638323</v>
      </c>
      <c r="G182" s="466"/>
      <c r="H182" s="466"/>
      <c r="I182" s="467"/>
      <c r="J182" s="467"/>
      <c r="K182" s="1671">
        <f>SUM(C182:J182)</f>
        <v>2275169</v>
      </c>
      <c r="L182" s="466">
        <v>2423400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18650</v>
      </c>
      <c r="D184" s="1677">
        <f t="shared" ref="D184:J184" si="17">SUM(D180,D182,D183)</f>
        <v>0</v>
      </c>
      <c r="E184" s="1677">
        <f t="shared" si="17"/>
        <v>1618196</v>
      </c>
      <c r="F184" s="1677">
        <f t="shared" si="17"/>
        <v>638323</v>
      </c>
      <c r="G184" s="1677">
        <f t="shared" si="17"/>
        <v>0</v>
      </c>
      <c r="H184" s="1677">
        <f t="shared" si="17"/>
        <v>0</v>
      </c>
      <c r="I184" s="1677">
        <f t="shared" si="17"/>
        <v>0</v>
      </c>
      <c r="J184" s="1677">
        <f t="shared" si="17"/>
        <v>0</v>
      </c>
      <c r="K184" s="1677">
        <f>SUM(K180,K182,K183)</f>
        <v>2275169</v>
      </c>
      <c r="L184" s="1677">
        <f>SUM(L180, L182:L183)</f>
        <v>2423400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18650</v>
      </c>
      <c r="D210" s="1670">
        <f>SUM(D184,D185)</f>
        <v>0</v>
      </c>
      <c r="E210" s="1670">
        <f>SUM(E184,E185,E196)</f>
        <v>1618196</v>
      </c>
      <c r="F210" s="1670">
        <f>SUM(F184,F185)</f>
        <v>638323</v>
      </c>
      <c r="G210" s="1670">
        <f>SUM(G184,G185)</f>
        <v>0</v>
      </c>
      <c r="H210" s="1670">
        <f>SUM(H184,H185,H196,H208,H209)</f>
        <v>0</v>
      </c>
      <c r="I210" s="1670">
        <f>SUM(I184,I185)</f>
        <v>0</v>
      </c>
      <c r="J210" s="1670">
        <f>SUM(J184,J185)</f>
        <v>0</v>
      </c>
      <c r="K210" s="1671">
        <f>SUM(K184,K185,K196,K208,K209)</f>
        <v>2275169</v>
      </c>
      <c r="L210" s="1670">
        <f>SUM(L184,L185,L196,L208,L209)</f>
        <v>2423400</v>
      </c>
    </row>
    <row r="211" spans="1:14" ht="13.5" thickTop="1" x14ac:dyDescent="0.2">
      <c r="A211" s="2156" t="s">
        <v>995</v>
      </c>
      <c r="B211" s="2157"/>
      <c r="C211" s="618"/>
      <c r="D211" s="618"/>
      <c r="E211" s="618"/>
      <c r="F211" s="618"/>
      <c r="G211" s="618"/>
      <c r="H211" s="618"/>
      <c r="I211" s="616"/>
      <c r="J211" s="616"/>
      <c r="K211" s="1684">
        <f>'Revenues 9-14'!F268-'Expenditures 15-22'!K210</f>
        <v>-68332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964</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178807</v>
      </c>
      <c r="E215" s="616"/>
      <c r="F215" s="616"/>
      <c r="G215" s="616"/>
      <c r="H215" s="616"/>
      <c r="I215" s="616"/>
      <c r="J215" s="616"/>
      <c r="K215" s="1671">
        <f>D215</f>
        <v>178807</v>
      </c>
      <c r="L215" s="466">
        <v>170600</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114014</v>
      </c>
      <c r="E217" s="616"/>
      <c r="F217" s="616"/>
      <c r="G217" s="616"/>
      <c r="H217" s="616"/>
      <c r="I217" s="616"/>
      <c r="J217" s="616"/>
      <c r="K217" s="1671">
        <f t="shared" si="19"/>
        <v>114014</v>
      </c>
      <c r="L217" s="466">
        <v>105400</v>
      </c>
    </row>
    <row r="218" spans="1:14" x14ac:dyDescent="0.2">
      <c r="A218" s="1504" t="s">
        <v>277</v>
      </c>
      <c r="B218" s="614" t="s">
        <v>967</v>
      </c>
      <c r="C218" s="616"/>
      <c r="D218" s="467">
        <v>918</v>
      </c>
      <c r="E218" s="616"/>
      <c r="F218" s="616"/>
      <c r="G218" s="616"/>
      <c r="H218" s="616"/>
      <c r="I218" s="616"/>
      <c r="J218" s="616"/>
      <c r="K218" s="1671">
        <f t="shared" si="19"/>
        <v>918</v>
      </c>
      <c r="L218" s="466">
        <v>800</v>
      </c>
    </row>
    <row r="219" spans="1:14" x14ac:dyDescent="0.2">
      <c r="A219" s="1504" t="s">
        <v>278</v>
      </c>
      <c r="B219" s="614">
        <v>1250</v>
      </c>
      <c r="C219" s="616"/>
      <c r="D219" s="466">
        <v>1239</v>
      </c>
      <c r="E219" s="616"/>
      <c r="F219" s="616"/>
      <c r="G219" s="616"/>
      <c r="H219" s="616"/>
      <c r="I219" s="616"/>
      <c r="J219" s="616"/>
      <c r="K219" s="1671">
        <f t="shared" si="19"/>
        <v>1239</v>
      </c>
      <c r="L219" s="466">
        <v>1600</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v>12124</v>
      </c>
      <c r="E223" s="616"/>
      <c r="F223" s="616"/>
      <c r="G223" s="616"/>
      <c r="H223" s="616"/>
      <c r="I223" s="616"/>
      <c r="J223" s="616"/>
      <c r="K223" s="1671">
        <f t="shared" si="19"/>
        <v>12124</v>
      </c>
      <c r="L223" s="466">
        <v>12100</v>
      </c>
    </row>
    <row r="224" spans="1:14" x14ac:dyDescent="0.2">
      <c r="A224" s="1504" t="s">
        <v>963</v>
      </c>
      <c r="B224" s="614">
        <v>1600</v>
      </c>
      <c r="C224" s="616"/>
      <c r="D224" s="466">
        <v>10022</v>
      </c>
      <c r="E224" s="616"/>
      <c r="F224" s="616"/>
      <c r="G224" s="616"/>
      <c r="H224" s="616"/>
      <c r="I224" s="616"/>
      <c r="J224" s="616"/>
      <c r="K224" s="1671">
        <f t="shared" si="19"/>
        <v>10022</v>
      </c>
      <c r="L224" s="466">
        <v>9100</v>
      </c>
    </row>
    <row r="225" spans="1:12" x14ac:dyDescent="0.2">
      <c r="A225" s="1504" t="s">
        <v>986</v>
      </c>
      <c r="B225" s="614">
        <v>1650</v>
      </c>
      <c r="C225" s="616"/>
      <c r="D225" s="466">
        <v>5845</v>
      </c>
      <c r="E225" s="616"/>
      <c r="F225" s="616"/>
      <c r="G225" s="616"/>
      <c r="H225" s="616"/>
      <c r="I225" s="616"/>
      <c r="J225" s="616"/>
      <c r="K225" s="1671">
        <f t="shared" si="19"/>
        <v>5845</v>
      </c>
      <c r="L225" s="466">
        <v>6000</v>
      </c>
    </row>
    <row r="226" spans="1:12" x14ac:dyDescent="0.2">
      <c r="A226" s="1504" t="s">
        <v>723</v>
      </c>
      <c r="B226" s="614" t="s">
        <v>162</v>
      </c>
      <c r="C226" s="616"/>
      <c r="D226" s="467"/>
      <c r="E226" s="616"/>
      <c r="F226" s="616"/>
      <c r="G226" s="616"/>
      <c r="H226" s="616"/>
      <c r="I226" s="616"/>
      <c r="J226" s="616"/>
      <c r="K226" s="1671">
        <f t="shared" si="19"/>
        <v>0</v>
      </c>
      <c r="L226" s="466"/>
    </row>
    <row r="227" spans="1:12" x14ac:dyDescent="0.2">
      <c r="A227" s="1504" t="s">
        <v>1086</v>
      </c>
      <c r="B227" s="614">
        <v>1800</v>
      </c>
      <c r="C227" s="616"/>
      <c r="D227" s="466">
        <v>2875</v>
      </c>
      <c r="E227" s="616"/>
      <c r="F227" s="616"/>
      <c r="G227" s="616"/>
      <c r="H227" s="616"/>
      <c r="I227" s="616"/>
      <c r="J227" s="616"/>
      <c r="K227" s="1671">
        <f t="shared" si="19"/>
        <v>2875</v>
      </c>
      <c r="L227" s="466">
        <v>2600</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325844</v>
      </c>
      <c r="E229" s="616"/>
      <c r="F229" s="616"/>
      <c r="G229" s="616"/>
      <c r="H229" s="616"/>
      <c r="I229" s="616"/>
      <c r="J229" s="616"/>
      <c r="K229" s="1670">
        <f>SUM(K215:K228)</f>
        <v>325844</v>
      </c>
      <c r="L229" s="1670">
        <f>SUM(L215:L228)</f>
        <v>308200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8874</v>
      </c>
      <c r="E232" s="616"/>
      <c r="F232" s="616"/>
      <c r="G232" s="616"/>
      <c r="H232" s="616"/>
      <c r="I232" s="616"/>
      <c r="J232" s="616"/>
      <c r="K232" s="1671">
        <f t="shared" ref="K232:K237" si="20">D232</f>
        <v>8874</v>
      </c>
      <c r="L232" s="466">
        <v>8700</v>
      </c>
    </row>
    <row r="233" spans="1:12" x14ac:dyDescent="0.2">
      <c r="A233" s="1504" t="s">
        <v>1089</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70450</v>
      </c>
      <c r="E234" s="616"/>
      <c r="F234" s="616"/>
      <c r="G234" s="616"/>
      <c r="H234" s="616"/>
      <c r="I234" s="616"/>
      <c r="J234" s="616"/>
      <c r="K234" s="1671">
        <f t="shared" si="20"/>
        <v>70450</v>
      </c>
      <c r="L234" s="466">
        <v>61400</v>
      </c>
    </row>
    <row r="235" spans="1:12" x14ac:dyDescent="0.2">
      <c r="A235" s="1504" t="s">
        <v>199</v>
      </c>
      <c r="B235" s="614">
        <v>2140</v>
      </c>
      <c r="C235" s="616"/>
      <c r="D235" s="466">
        <v>4457</v>
      </c>
      <c r="E235" s="616"/>
      <c r="F235" s="616"/>
      <c r="G235" s="616"/>
      <c r="H235" s="616"/>
      <c r="I235" s="616"/>
      <c r="J235" s="616"/>
      <c r="K235" s="1671">
        <f t="shared" si="20"/>
        <v>4457</v>
      </c>
      <c r="L235" s="466">
        <v>3900</v>
      </c>
    </row>
    <row r="236" spans="1:12" x14ac:dyDescent="0.2">
      <c r="A236" s="1504" t="s">
        <v>200</v>
      </c>
      <c r="B236" s="614">
        <v>2150</v>
      </c>
      <c r="C236" s="616"/>
      <c r="D236" s="466">
        <v>10608</v>
      </c>
      <c r="E236" s="616"/>
      <c r="F236" s="616"/>
      <c r="G236" s="616"/>
      <c r="H236" s="616"/>
      <c r="I236" s="616"/>
      <c r="J236" s="616"/>
      <c r="K236" s="1671">
        <f t="shared" si="20"/>
        <v>10608</v>
      </c>
      <c r="L236" s="466">
        <v>12500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94389</v>
      </c>
      <c r="E238" s="616"/>
      <c r="F238" s="616"/>
      <c r="G238" s="616"/>
      <c r="H238" s="616"/>
      <c r="I238" s="616"/>
      <c r="J238" s="616"/>
      <c r="K238" s="1670">
        <f>SUM(K232:K237)</f>
        <v>94389</v>
      </c>
      <c r="L238" s="1670">
        <f>SUM(L232:L237)</f>
        <v>86500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17337</v>
      </c>
      <c r="E240" s="616"/>
      <c r="F240" s="616"/>
      <c r="G240" s="616"/>
      <c r="H240" s="616"/>
      <c r="I240" s="616"/>
      <c r="J240" s="616"/>
      <c r="K240" s="1672">
        <f>D240</f>
        <v>17337</v>
      </c>
      <c r="L240" s="481">
        <v>16900</v>
      </c>
    </row>
    <row r="241" spans="1:12" x14ac:dyDescent="0.2">
      <c r="A241" s="1504" t="s">
        <v>814</v>
      </c>
      <c r="B241" s="614">
        <v>2220</v>
      </c>
      <c r="C241" s="616"/>
      <c r="D241" s="466">
        <v>31068</v>
      </c>
      <c r="E241" s="616"/>
      <c r="F241" s="616"/>
      <c r="G241" s="616"/>
      <c r="H241" s="616"/>
      <c r="I241" s="616"/>
      <c r="J241" s="616"/>
      <c r="K241" s="1672">
        <f>D241</f>
        <v>31068</v>
      </c>
      <c r="L241" s="466">
        <v>31300</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48405</v>
      </c>
      <c r="E243" s="616"/>
      <c r="F243" s="616"/>
      <c r="G243" s="616"/>
      <c r="H243" s="616"/>
      <c r="I243" s="616"/>
      <c r="J243" s="616"/>
      <c r="K243" s="1670">
        <f>SUM(K240:K242)</f>
        <v>48405</v>
      </c>
      <c r="L243" s="1670">
        <f>SUM(L240:L242)</f>
        <v>48200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16771</v>
      </c>
      <c r="E246" s="616"/>
      <c r="F246" s="616"/>
      <c r="G246" s="616"/>
      <c r="H246" s="616"/>
      <c r="I246" s="616"/>
      <c r="J246" s="616"/>
      <c r="K246" s="1672">
        <f t="shared" ref="K246:K256" si="21">D246</f>
        <v>16771</v>
      </c>
      <c r="L246" s="466">
        <v>16000</v>
      </c>
    </row>
    <row r="247" spans="1:12" x14ac:dyDescent="0.2">
      <c r="A247" s="1504" t="s">
        <v>818</v>
      </c>
      <c r="B247" s="614">
        <v>2330</v>
      </c>
      <c r="C247" s="616"/>
      <c r="D247" s="466">
        <v>9787</v>
      </c>
      <c r="E247" s="616"/>
      <c r="F247" s="616"/>
      <c r="G247" s="616"/>
      <c r="H247" s="616"/>
      <c r="I247" s="616"/>
      <c r="J247" s="616"/>
      <c r="K247" s="1672">
        <f t="shared" si="21"/>
        <v>9787</v>
      </c>
      <c r="L247" s="466">
        <v>9300</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26558</v>
      </c>
      <c r="E257" s="616"/>
      <c r="F257" s="616"/>
      <c r="G257" s="616"/>
      <c r="H257" s="616"/>
      <c r="I257" s="616"/>
      <c r="J257" s="616"/>
      <c r="K257" s="1670">
        <f>SUM(K245:K256)</f>
        <v>26558</v>
      </c>
      <c r="L257" s="1670">
        <f>SUM(L245:L256)</f>
        <v>25300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64271</v>
      </c>
      <c r="E259" s="616"/>
      <c r="F259" s="616"/>
      <c r="G259" s="616"/>
      <c r="H259" s="616"/>
      <c r="I259" s="616"/>
      <c r="J259" s="616"/>
      <c r="K259" s="1672">
        <f>D259</f>
        <v>64271</v>
      </c>
      <c r="L259" s="481">
        <v>60500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64271</v>
      </c>
      <c r="E261" s="616"/>
      <c r="F261" s="616"/>
      <c r="G261" s="616"/>
      <c r="H261" s="616"/>
      <c r="I261" s="616"/>
      <c r="J261" s="616"/>
      <c r="K261" s="1670">
        <f>SUM(K259:K260)</f>
        <v>64271</v>
      </c>
      <c r="L261" s="1670">
        <f>SUM(L259:L260)</f>
        <v>60500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16331</v>
      </c>
      <c r="E263" s="616"/>
      <c r="F263" s="616"/>
      <c r="G263" s="616"/>
      <c r="H263" s="616"/>
      <c r="I263" s="616"/>
      <c r="J263" s="616"/>
      <c r="K263" s="1672">
        <f>D263</f>
        <v>16331</v>
      </c>
      <c r="L263" s="481">
        <v>16200</v>
      </c>
    </row>
    <row r="264" spans="1:14" x14ac:dyDescent="0.2">
      <c r="A264" s="1504" t="s">
        <v>462</v>
      </c>
      <c r="B264" s="685">
        <v>2520</v>
      </c>
      <c r="C264" s="616"/>
      <c r="D264" s="466">
        <v>27970</v>
      </c>
      <c r="E264" s="616"/>
      <c r="F264" s="616"/>
      <c r="G264" s="616"/>
      <c r="H264" s="616"/>
      <c r="I264" s="616"/>
      <c r="J264" s="616"/>
      <c r="K264" s="1672">
        <f t="shared" ref="K264:K269" si="22">D264</f>
        <v>27970</v>
      </c>
      <c r="L264" s="466">
        <v>26200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231006</v>
      </c>
      <c r="E266" s="616"/>
      <c r="F266" s="616"/>
      <c r="G266" s="616"/>
      <c r="H266" s="616"/>
      <c r="I266" s="616"/>
      <c r="J266" s="616"/>
      <c r="K266" s="1672">
        <f t="shared" si="22"/>
        <v>231006</v>
      </c>
      <c r="L266" s="466">
        <v>217500</v>
      </c>
    </row>
    <row r="267" spans="1:14" x14ac:dyDescent="0.2">
      <c r="A267" s="1504" t="s">
        <v>952</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13041</v>
      </c>
      <c r="E268" s="616"/>
      <c r="F268" s="616"/>
      <c r="G268" s="616"/>
      <c r="H268" s="616"/>
      <c r="I268" s="616"/>
      <c r="J268" s="616"/>
      <c r="K268" s="1672">
        <f t="shared" si="22"/>
        <v>13041</v>
      </c>
      <c r="L268" s="466">
        <v>15400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288348</v>
      </c>
      <c r="E270" s="616"/>
      <c r="F270" s="616"/>
      <c r="G270" s="616"/>
      <c r="H270" s="616"/>
      <c r="I270" s="616"/>
      <c r="J270" s="616"/>
      <c r="K270" s="1670">
        <f>SUM(K263:K269)</f>
        <v>288348</v>
      </c>
      <c r="L270" s="1670">
        <f>SUM(L263:L269)</f>
        <v>275300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14069</v>
      </c>
      <c r="E274" s="616"/>
      <c r="F274" s="616"/>
      <c r="G274" s="616"/>
      <c r="H274" s="616"/>
      <c r="I274" s="616"/>
      <c r="J274" s="616"/>
      <c r="K274" s="1672">
        <f>D274</f>
        <v>14069</v>
      </c>
      <c r="L274" s="466">
        <v>13800</v>
      </c>
    </row>
    <row r="275" spans="1:12" x14ac:dyDescent="0.2">
      <c r="A275" s="1504" t="s">
        <v>402</v>
      </c>
      <c r="B275" s="614">
        <v>2640</v>
      </c>
      <c r="C275" s="616"/>
      <c r="D275" s="466">
        <v>10947</v>
      </c>
      <c r="E275" s="616"/>
      <c r="F275" s="616"/>
      <c r="G275" s="616"/>
      <c r="H275" s="616"/>
      <c r="I275" s="616"/>
      <c r="J275" s="616"/>
      <c r="K275" s="1672">
        <f>D275</f>
        <v>10947</v>
      </c>
      <c r="L275" s="466">
        <v>10500</v>
      </c>
    </row>
    <row r="276" spans="1:12" x14ac:dyDescent="0.2">
      <c r="A276" s="1504" t="s">
        <v>403</v>
      </c>
      <c r="B276" s="614">
        <v>2660</v>
      </c>
      <c r="C276" s="616"/>
      <c r="D276" s="466">
        <v>71749</v>
      </c>
      <c r="E276" s="616"/>
      <c r="F276" s="616"/>
      <c r="G276" s="616"/>
      <c r="H276" s="616"/>
      <c r="I276" s="616"/>
      <c r="J276" s="616"/>
      <c r="K276" s="1672">
        <f>D276</f>
        <v>71749</v>
      </c>
      <c r="L276" s="466">
        <v>75100</v>
      </c>
    </row>
    <row r="277" spans="1:12" ht="12.75" customHeight="1" thickBot="1" x14ac:dyDescent="0.25">
      <c r="A277" s="1691" t="s">
        <v>37</v>
      </c>
      <c r="B277" s="1669" t="s">
        <v>36</v>
      </c>
      <c r="C277" s="616"/>
      <c r="D277" s="1670">
        <f>SUM(D272:D276)</f>
        <v>96765</v>
      </c>
      <c r="E277" s="616"/>
      <c r="F277" s="616"/>
      <c r="G277" s="616"/>
      <c r="H277" s="616"/>
      <c r="I277" s="616"/>
      <c r="J277" s="616"/>
      <c r="K277" s="1670">
        <f>SUM(K272:K276)</f>
        <v>96765</v>
      </c>
      <c r="L277" s="1670">
        <f>SUM(L272:L276)</f>
        <v>99400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618736</v>
      </c>
      <c r="E279" s="616"/>
      <c r="F279" s="616"/>
      <c r="G279" s="616"/>
      <c r="H279" s="616"/>
      <c r="I279" s="616"/>
      <c r="J279" s="616"/>
      <c r="K279" s="1677">
        <f>SUM(K238,K243,K257,K261,K270,K277,K278)</f>
        <v>618736</v>
      </c>
      <c r="L279" s="1677">
        <f>SUM(L238,L243,L257,L261,L270,L277,L278)</f>
        <v>595200</v>
      </c>
    </row>
    <row r="280" spans="1:12" ht="15.75" customHeight="1" thickTop="1" thickBot="1" x14ac:dyDescent="0.25">
      <c r="A280" s="1624" t="s">
        <v>874</v>
      </c>
      <c r="B280" s="1613">
        <v>3000</v>
      </c>
      <c r="C280" s="616"/>
      <c r="D280" s="576">
        <v>315</v>
      </c>
      <c r="E280" s="616"/>
      <c r="F280" s="616"/>
      <c r="G280" s="616"/>
      <c r="H280" s="616"/>
      <c r="I280" s="616"/>
      <c r="J280" s="616"/>
      <c r="K280" s="1679">
        <f>D280</f>
        <v>315</v>
      </c>
      <c r="L280" s="576">
        <v>500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v>77155</v>
      </c>
      <c r="E283" s="616"/>
      <c r="F283" s="616"/>
      <c r="G283" s="616"/>
      <c r="H283" s="616"/>
      <c r="I283" s="616"/>
      <c r="J283" s="616"/>
      <c r="K283" s="1671">
        <f>D283</f>
        <v>77155</v>
      </c>
      <c r="L283" s="466">
        <v>77100</v>
      </c>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77155</v>
      </c>
      <c r="E285" s="616"/>
      <c r="F285" s="616"/>
      <c r="G285" s="616"/>
      <c r="H285" s="616"/>
      <c r="I285" s="616"/>
      <c r="J285" s="616"/>
      <c r="K285" s="1670">
        <f>SUM(K282:K284)</f>
        <v>77155</v>
      </c>
      <c r="L285" s="1670">
        <f>SUM(L282:L284)</f>
        <v>77100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4" t="s">
        <v>504</v>
      </c>
      <c r="B295" s="2175"/>
      <c r="C295" s="616"/>
      <c r="D295" s="1670">
        <f>SUM(D229,D279,D280,D285)</f>
        <v>1022050</v>
      </c>
      <c r="E295" s="616"/>
      <c r="F295" s="616"/>
      <c r="G295" s="616"/>
      <c r="H295" s="1670">
        <f>H293</f>
        <v>0</v>
      </c>
      <c r="I295" s="616"/>
      <c r="J295" s="616"/>
      <c r="K295" s="1670">
        <f>SUM(K229,K279,K280,K285,K293,K294)</f>
        <v>1022050</v>
      </c>
      <c r="L295" s="1670">
        <f>SUM(L229,L279,L280,L285,L293,L294)</f>
        <v>981000</v>
      </c>
    </row>
    <row r="296" spans="1:14" ht="13.5" thickTop="1" x14ac:dyDescent="0.2">
      <c r="A296" s="2156" t="s">
        <v>995</v>
      </c>
      <c r="B296" s="2157"/>
      <c r="C296" s="616"/>
      <c r="D296" s="618"/>
      <c r="E296" s="616"/>
      <c r="F296" s="616"/>
      <c r="G296" s="616"/>
      <c r="H296" s="687"/>
      <c r="I296" s="616"/>
      <c r="J296" s="616"/>
      <c r="K296" s="1684">
        <f>'Revenues 9-14'!G268-'Expenditures 15-22'!K295</f>
        <v>-221994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row>
    <row r="302" spans="1:14" ht="13.5" customHeight="1" x14ac:dyDescent="0.2">
      <c r="A302" s="1517" t="s">
        <v>979</v>
      </c>
      <c r="B302" s="614" t="s">
        <v>573</v>
      </c>
      <c r="C302" s="466"/>
      <c r="D302" s="466"/>
      <c r="E302" s="466">
        <v>102440</v>
      </c>
      <c r="F302" s="466"/>
      <c r="G302" s="466"/>
      <c r="H302" s="466"/>
      <c r="I302" s="467"/>
      <c r="J302" s="467"/>
      <c r="K302" s="1671">
        <f>SUM(C302:J302)</f>
        <v>102440</v>
      </c>
      <c r="L302" s="466"/>
    </row>
    <row r="303" spans="1:14" ht="12.75" customHeight="1" thickBot="1" x14ac:dyDescent="0.25">
      <c r="A303" s="1668" t="s">
        <v>810</v>
      </c>
      <c r="B303" s="1669" t="s">
        <v>568</v>
      </c>
      <c r="C303" s="1677">
        <f>SUM(C301:C302)</f>
        <v>0</v>
      </c>
      <c r="D303" s="1677">
        <f t="shared" ref="D303:L303" si="23">SUM(D301:D302)</f>
        <v>0</v>
      </c>
      <c r="E303" s="1677">
        <f t="shared" si="23"/>
        <v>102440</v>
      </c>
      <c r="F303" s="1677">
        <f t="shared" si="23"/>
        <v>0</v>
      </c>
      <c r="G303" s="1677">
        <f t="shared" si="23"/>
        <v>0</v>
      </c>
      <c r="H303" s="1677">
        <f t="shared" si="23"/>
        <v>0</v>
      </c>
      <c r="I303" s="1677">
        <f t="shared" si="23"/>
        <v>0</v>
      </c>
      <c r="J303" s="1677">
        <f t="shared" si="23"/>
        <v>0</v>
      </c>
      <c r="K303" s="1677">
        <f t="shared" si="23"/>
        <v>102440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1" t="s">
        <v>276</v>
      </c>
      <c r="B312" s="2172"/>
      <c r="C312" s="1670">
        <f>SUM(C303)</f>
        <v>0</v>
      </c>
      <c r="D312" s="1670">
        <f>SUM(D303)</f>
        <v>0</v>
      </c>
      <c r="E312" s="1670">
        <f>SUM(E303,E310)</f>
        <v>102440</v>
      </c>
      <c r="F312" s="1670">
        <f>SUM(F303)</f>
        <v>0</v>
      </c>
      <c r="G312" s="1670">
        <f>SUM(G303)</f>
        <v>0</v>
      </c>
      <c r="H312" s="1670">
        <f>SUM(H303,H310)</f>
        <v>0</v>
      </c>
      <c r="I312" s="1670">
        <f>SUM(I303)</f>
        <v>0</v>
      </c>
      <c r="J312" s="1670">
        <f>SUM(J303)</f>
        <v>0</v>
      </c>
      <c r="K312" s="1670">
        <f>SUM(K303,K310,K311)</f>
        <v>102440</v>
      </c>
      <c r="L312" s="1670">
        <f>SUM(L303,L310,L311)</f>
        <v>0</v>
      </c>
      <c r="M312" s="665"/>
      <c r="N312" s="665"/>
    </row>
    <row r="313" spans="1:14" ht="13.5" thickTop="1" x14ac:dyDescent="0.2">
      <c r="A313" s="2167" t="s">
        <v>995</v>
      </c>
      <c r="B313" s="2168"/>
      <c r="C313" s="626"/>
      <c r="D313" s="626"/>
      <c r="E313" s="626"/>
      <c r="F313" s="626"/>
      <c r="G313" s="626"/>
      <c r="H313" s="626"/>
      <c r="I313" s="626"/>
      <c r="J313" s="626"/>
      <c r="K313" s="1685">
        <f>'Revenues 9-14'!H268-'Expenditures 15-22'!K312</f>
        <v>-96950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897</v>
      </c>
      <c r="B317" s="218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9" t="s">
        <v>995</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965</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995</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purl.org/dc/dcmitype/"/>
    <ds:schemaRef ds:uri="http://purl.org/dc/terms/"/>
    <ds:schemaRef ds:uri="http://schemas.microsoft.com/office/2006/documentManagement/types"/>
    <ds:schemaRef ds:uri="http://schemas.microsoft.com/office/2006/metadata/properties"/>
    <ds:schemaRef ds:uri="6ce3111e-7420-4802-b50a-75d4e9a0b980"/>
    <ds:schemaRef ds:uri="http://www.w3.org/XML/1998/namespace"/>
    <ds:schemaRef ds:uri="http://schemas.microsoft.com/office/infopath/2007/PartnerControls"/>
    <ds:schemaRef ds:uri="d21dc803-237d-4c68-8692-8d731fd29118"/>
    <ds:schemaRef ds:uri="http://schemas.openxmlformats.org/package/2006/metadata/core-properties"/>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2019-11-14T18:56:54Z</cp:lastPrinted>
  <dcterms:created xsi:type="dcterms:W3CDTF">2003-10-29T19:06:34Z</dcterms:created>
  <dcterms:modified xsi:type="dcterms:W3CDTF">2019-12-26T16:36:59Z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