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A01815A7-714B-4F2B-BF7C-DEAE0AF45D70}" xr6:coauthVersionLast="36" xr6:coauthVersionMax="36" xr10:uidLastSave="{00000000-0000-0000-0000-000000000000}"/>
  <bookViews>
    <workbookView xWindow="-120" yWindow="-120" windowWidth="24240" windowHeight="13140" tabRatio="888"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 SEFA (3)" sheetId="184" r:id="rId30"/>
    <sheet name="SEFA NOTES" sheetId="173" r:id="rId31"/>
    <sheet name="SF&amp;QC Sec-1" sheetId="174" r:id="rId32"/>
    <sheet name="SF&amp;QC Sec-2" sheetId="175" r:id="rId33"/>
    <sheet name="SF&amp;QC Sec-3" sheetId="176" r:id="rId34"/>
    <sheet name="SSPAF" sheetId="177" r:id="rId35"/>
  </sheets>
  <definedNames>
    <definedName name="_xlnm.Print_Area" localSheetId="27">' SEFA'!$B$1:$M$46</definedName>
    <definedName name="_xlnm.Print_Area" localSheetId="28">' SEFA (2)'!$B$1:$M$46</definedName>
    <definedName name="_xlnm.Print_Area" localSheetId="29">' SEFA (3)'!$B$1:$M$46</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34" i="173" l="1"/>
  <c r="I15" i="184"/>
  <c r="F15" i="184"/>
  <c r="F20" i="183"/>
  <c r="I20" i="183"/>
  <c r="L24" i="183"/>
  <c r="L26" i="183"/>
  <c r="L12" i="184"/>
  <c r="L13" i="184"/>
  <c r="I14" i="183" l="1"/>
  <c r="I17" i="184" s="1"/>
  <c r="F14" i="183"/>
  <c r="F17" i="184" s="1"/>
  <c r="B4" i="184"/>
  <c r="L12" i="183"/>
  <c r="B4" i="183"/>
  <c r="E11" i="108" l="1"/>
  <c r="L79" i="29" l="1"/>
  <c r="M19" i="3" l="1"/>
  <c r="G6" i="3"/>
  <c r="F6" i="3"/>
  <c r="C32" i="3"/>
  <c r="C6" i="3"/>
  <c r="F141" i="181"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40" i="181"/>
  <c r="E140" i="181"/>
  <c r="G139" i="181"/>
  <c r="E139" i="181"/>
  <c r="G138" i="181"/>
  <c r="E138" i="181"/>
  <c r="G137" i="181"/>
  <c r="E137" i="181"/>
  <c r="G136" i="181"/>
  <c r="E136" i="181"/>
  <c r="G135" i="181"/>
  <c r="E135" i="181"/>
  <c r="G134" i="181"/>
  <c r="E134" i="181"/>
  <c r="E133" i="181"/>
  <c r="G133" i="181" s="1"/>
  <c r="G132" i="181"/>
  <c r="E132" i="181"/>
  <c r="G131" i="181"/>
  <c r="E131" i="181"/>
  <c r="G130" i="181"/>
  <c r="E130" i="181"/>
  <c r="G129" i="181"/>
  <c r="E129" i="181"/>
  <c r="E128" i="181"/>
  <c r="G128" i="181" s="1"/>
  <c r="G127" i="181"/>
  <c r="E127" i="181"/>
  <c r="G126" i="181"/>
  <c r="E126" i="181"/>
  <c r="G125" i="181"/>
  <c r="E125" i="181"/>
  <c r="E124" i="181"/>
  <c r="G124" i="181" s="1"/>
  <c r="G123" i="181"/>
  <c r="E123" i="181"/>
  <c r="G122" i="181"/>
  <c r="E122" i="181"/>
  <c r="G121" i="181"/>
  <c r="E121" i="181"/>
  <c r="G120" i="181"/>
  <c r="E120" i="181"/>
  <c r="G119" i="181"/>
  <c r="E119" i="181"/>
  <c r="G118" i="181"/>
  <c r="E118" i="181"/>
  <c r="G117" i="181"/>
  <c r="E117" i="181"/>
  <c r="G116" i="181"/>
  <c r="E116" i="181"/>
  <c r="E115" i="181"/>
  <c r="G115" i="181" s="1"/>
  <c r="G114" i="181"/>
  <c r="E114" i="181"/>
  <c r="G113" i="181"/>
  <c r="E113" i="181"/>
  <c r="G112" i="181"/>
  <c r="E112" i="181"/>
  <c r="E111" i="181"/>
  <c r="G111" i="181" s="1"/>
  <c r="G110" i="181"/>
  <c r="E110" i="181"/>
  <c r="G109" i="181"/>
  <c r="E109" i="181"/>
  <c r="G108" i="181"/>
  <c r="E108" i="181"/>
  <c r="G107" i="181"/>
  <c r="E107" i="181"/>
  <c r="G106" i="181"/>
  <c r="E106" i="181"/>
  <c r="G105" i="181"/>
  <c r="E105" i="181"/>
  <c r="G100" i="181"/>
  <c r="E100" i="181"/>
  <c r="G104" i="181"/>
  <c r="E104" i="181"/>
  <c r="E103" i="181"/>
  <c r="G103" i="181" s="1"/>
  <c r="G102" i="181"/>
  <c r="E102" i="181"/>
  <c r="E101" i="181"/>
  <c r="G101" i="181" s="1"/>
  <c r="G99" i="181"/>
  <c r="E99" i="181"/>
  <c r="E98" i="181"/>
  <c r="G98" i="181" s="1"/>
  <c r="G97" i="181"/>
  <c r="E97" i="181"/>
  <c r="E96" i="181"/>
  <c r="G96" i="181" s="1"/>
  <c r="G94" i="181"/>
  <c r="E94" i="181"/>
  <c r="G93" i="181"/>
  <c r="E93" i="181"/>
  <c r="E92" i="181"/>
  <c r="G92" i="181" s="1"/>
  <c r="G91" i="181"/>
  <c r="E91" i="181"/>
  <c r="G90" i="181"/>
  <c r="E90" i="181"/>
  <c r="E89" i="181"/>
  <c r="G89" i="181" s="1"/>
  <c r="G88" i="181"/>
  <c r="E88" i="181"/>
  <c r="E87" i="181"/>
  <c r="G87" i="181" s="1"/>
  <c r="G85" i="181"/>
  <c r="E85" i="181"/>
  <c r="G84" i="181"/>
  <c r="E84" i="181"/>
  <c r="G83" i="181"/>
  <c r="E83" i="181"/>
  <c r="G82" i="181"/>
  <c r="E82" i="181"/>
  <c r="G81" i="181"/>
  <c r="E81" i="181"/>
  <c r="G80" i="181"/>
  <c r="E80" i="181"/>
  <c r="G79" i="181"/>
  <c r="E79" i="181"/>
  <c r="G78" i="181"/>
  <c r="E78" i="181"/>
  <c r="G77" i="181"/>
  <c r="E77" i="181"/>
  <c r="E76" i="181"/>
  <c r="G76" i="181" s="1"/>
  <c r="G75" i="181"/>
  <c r="E75" i="181"/>
  <c r="G74" i="181"/>
  <c r="E74" i="181"/>
  <c r="G141" i="181"/>
  <c r="E141" i="181"/>
  <c r="G95" i="181"/>
  <c r="E95" i="181"/>
  <c r="G86" i="181"/>
  <c r="E86" i="181"/>
  <c r="E73" i="181"/>
  <c r="G73" i="181" s="1"/>
  <c r="G72" i="181"/>
  <c r="E72" i="181"/>
  <c r="G71" i="181"/>
  <c r="E71" i="181"/>
  <c r="G70" i="181"/>
  <c r="E70" i="181"/>
  <c r="G69" i="181"/>
  <c r="E69" i="181"/>
  <c r="G68" i="181"/>
  <c r="E68" i="181"/>
  <c r="G67" i="181"/>
  <c r="E67" i="181"/>
  <c r="E66" i="181"/>
  <c r="G66" i="181" s="1"/>
  <c r="E65" i="181"/>
  <c r="G65" i="181" s="1"/>
  <c r="G64" i="181"/>
  <c r="E64" i="181"/>
  <c r="G63" i="181"/>
  <c r="E63" i="181"/>
  <c r="E62" i="181"/>
  <c r="F62" i="181" s="1"/>
  <c r="G62" i="181" s="1"/>
  <c r="E61" i="181"/>
  <c r="E60" i="181"/>
  <c r="F60" i="181" s="1"/>
  <c r="G60" i="181" s="1"/>
  <c r="E59" i="181"/>
  <c r="E58" i="181"/>
  <c r="F58" i="181" s="1"/>
  <c r="G58" i="181" s="1"/>
  <c r="E57" i="181"/>
  <c r="E56" i="181"/>
  <c r="F56" i="181" s="1"/>
  <c r="G56" i="181" s="1"/>
  <c r="E55" i="181"/>
  <c r="E54" i="181"/>
  <c r="F54" i="181" s="1"/>
  <c r="G54" i="181" s="1"/>
  <c r="E53" i="181"/>
  <c r="F53" i="181" s="1"/>
  <c r="G53" i="181" s="1"/>
  <c r="E52" i="181"/>
  <c r="F52" i="181" s="1"/>
  <c r="G52" i="181" s="1"/>
  <c r="E51" i="181"/>
  <c r="F51" i="181" s="1"/>
  <c r="G51" i="181" s="1"/>
  <c r="E50" i="181"/>
  <c r="F50" i="181" s="1"/>
  <c r="G50" i="181" s="1"/>
  <c r="E49" i="181"/>
  <c r="E48" i="181"/>
  <c r="F48" i="181" s="1"/>
  <c r="G48" i="181" s="1"/>
  <c r="E47" i="181"/>
  <c r="F47" i="181" s="1"/>
  <c r="G47" i="181" s="1"/>
  <c r="E46" i="181"/>
  <c r="E45" i="181"/>
  <c r="E44" i="181"/>
  <c r="F44" i="181" s="1"/>
  <c r="E43" i="181"/>
  <c r="F43" i="181" s="1"/>
  <c r="E42" i="181"/>
  <c r="E41" i="181"/>
  <c r="F41" i="181" s="1"/>
  <c r="G41" i="181" s="1"/>
  <c r="E40" i="181"/>
  <c r="F40" i="181" s="1"/>
  <c r="G40" i="181" s="1"/>
  <c r="E39" i="181"/>
  <c r="F39" i="181" s="1"/>
  <c r="G39" i="181" s="1"/>
  <c r="E38" i="181"/>
  <c r="F38" i="181" s="1"/>
  <c r="G38" i="181" s="1"/>
  <c r="E37" i="181"/>
  <c r="E36" i="181"/>
  <c r="E35" i="181"/>
  <c r="E34" i="181"/>
  <c r="F34" i="181" s="1"/>
  <c r="E33" i="181"/>
  <c r="E32" i="181"/>
  <c r="E31" i="181"/>
  <c r="E30" i="181"/>
  <c r="F30" i="181" s="1"/>
  <c r="E29" i="181"/>
  <c r="E28" i="181"/>
  <c r="F28" i="181" s="1"/>
  <c r="E27" i="181"/>
  <c r="F27" i="181" s="1"/>
  <c r="G27" i="181" s="1"/>
  <c r="E26" i="181"/>
  <c r="F26" i="181" s="1"/>
  <c r="E25" i="181"/>
  <c r="E24" i="181"/>
  <c r="E23" i="181"/>
  <c r="E22" i="181"/>
  <c r="E21" i="181"/>
  <c r="E20" i="181"/>
  <c r="F20" i="181" s="1"/>
  <c r="E19" i="181"/>
  <c r="F19" i="181" s="1"/>
  <c r="F21" i="181" l="1"/>
  <c r="G21" i="181" s="1"/>
  <c r="F25" i="181"/>
  <c r="G25" i="181" s="1"/>
  <c r="F29" i="181"/>
  <c r="G29" i="181" s="1"/>
  <c r="F33" i="181"/>
  <c r="G33" i="181" s="1"/>
  <c r="F37" i="181"/>
  <c r="G37" i="181" s="1"/>
  <c r="F45" i="181"/>
  <c r="G45" i="181" s="1"/>
  <c r="F23" i="181"/>
  <c r="G23" i="181" s="1"/>
  <c r="F42" i="181"/>
  <c r="G42" i="181" s="1"/>
  <c r="F46" i="181"/>
  <c r="G46" i="181" s="1"/>
  <c r="F55" i="181"/>
  <c r="G55" i="181" s="1"/>
  <c r="F32" i="181"/>
  <c r="G32" i="181" s="1"/>
  <c r="F36" i="181"/>
  <c r="G36" i="181" s="1"/>
  <c r="F22" i="181"/>
  <c r="G22" i="181" s="1"/>
  <c r="F57" i="181"/>
  <c r="G57" i="181" s="1"/>
  <c r="F24" i="181"/>
  <c r="G24" i="181" s="1"/>
  <c r="F31" i="181"/>
  <c r="G31" i="181" s="1"/>
  <c r="F35" i="181"/>
  <c r="G35" i="181" s="1"/>
  <c r="F49" i="181"/>
  <c r="G49" i="181" s="1"/>
  <c r="F61" i="181"/>
  <c r="G61" i="181" s="1"/>
  <c r="F59" i="181"/>
  <c r="G59" i="181" s="1"/>
  <c r="G44" i="181"/>
  <c r="G43" i="181"/>
  <c r="G34" i="181"/>
  <c r="G30" i="181"/>
  <c r="G28" i="181"/>
  <c r="G26" i="181"/>
  <c r="G20" i="181"/>
  <c r="G19" i="181"/>
  <c r="D142" i="181"/>
  <c r="D80" i="36" l="1"/>
  <c r="B7797" i="106"/>
  <c r="E142" i="181"/>
  <c r="E18" i="181"/>
  <c r="F18" i="181" s="1"/>
  <c r="E17" i="181"/>
  <c r="F17" i="181" s="1"/>
  <c r="G17" i="181" l="1"/>
  <c r="G18" i="181"/>
  <c r="G142" i="181" s="1"/>
  <c r="G40" i="108" l="1"/>
  <c r="B7799" i="106"/>
  <c r="F142" i="181"/>
  <c r="B7798" i="106" s="1"/>
  <c r="E40" i="108"/>
  <c r="B4" i="179" l="1"/>
  <c r="D17" i="171" l="1"/>
  <c r="L27" i="179" l="1"/>
  <c r="L26" i="179"/>
  <c r="L25" i="179"/>
  <c r="L22" i="179"/>
  <c r="L19" i="179"/>
  <c r="L17" i="179"/>
  <c r="L15" i="179"/>
  <c r="L13" i="179"/>
  <c r="D14" i="171" l="1"/>
  <c r="D12" i="171"/>
  <c r="A10" i="169"/>
  <c r="A16" i="169"/>
  <c r="A15" i="169"/>
  <c r="A14" i="169"/>
  <c r="K18" i="169"/>
  <c r="G18" i="169"/>
  <c r="G15" i="169"/>
  <c r="I13" i="169"/>
  <c r="G11" i="169"/>
  <c r="G10" i="169"/>
  <c r="G9" i="169"/>
  <c r="G7" i="169"/>
  <c r="E7" i="169"/>
  <c r="A7" i="169"/>
  <c r="B4" i="177"/>
  <c r="B4" i="176"/>
  <c r="B4" i="175"/>
  <c r="G43" i="174"/>
  <c r="D47" i="174" s="1"/>
  <c r="B4" i="174"/>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3" l="1"/>
  <c r="B1" i="184"/>
  <c r="B2" i="179"/>
  <c r="B2" i="184"/>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71" i="36"/>
  <c r="D72" i="36"/>
  <c r="D79" i="36"/>
  <c r="B64" i="127"/>
  <c r="B65" i="127"/>
  <c r="E26" i="108"/>
  <c r="G26" i="108"/>
  <c r="D27" i="108"/>
  <c r="E27" i="108"/>
  <c r="F27" i="108"/>
  <c r="G27" i="108"/>
  <c r="F31" i="108"/>
  <c r="F36" i="108"/>
  <c r="G28" i="108"/>
  <c r="G30" i="108"/>
  <c r="D31" i="108"/>
  <c r="D36" i="108"/>
  <c r="E31" i="108"/>
  <c r="G31" i="108"/>
  <c r="E33" i="108"/>
  <c r="E34" i="108"/>
  <c r="E35"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2" i="29" s="1"/>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D22" i="37"/>
  <c r="L5" i="11"/>
  <c r="B2056" i="106" s="1"/>
  <c r="D2056" i="106" s="1"/>
  <c r="J129" i="29" l="1"/>
  <c r="B7038" i="106" s="1"/>
  <c r="D7038" i="106" s="1"/>
  <c r="H76" i="4"/>
  <c r="B3298" i="106" s="1"/>
  <c r="D3298" i="106" s="1"/>
  <c r="D6103" i="106"/>
  <c r="J77" i="4"/>
  <c r="B6262" i="106" s="1"/>
  <c r="D6262" i="106" s="1"/>
  <c r="H28" i="118"/>
  <c r="C129" i="29"/>
  <c r="L367" i="29"/>
  <c r="B3647" i="106"/>
  <c r="D3647" i="106" s="1"/>
  <c r="D24" i="37"/>
  <c r="B4270" i="106" s="1"/>
  <c r="D4270" i="106" s="1"/>
  <c r="D68" i="36"/>
  <c r="L22" i="37"/>
  <c r="J22" i="37"/>
  <c r="J352" i="29"/>
  <c r="J367" i="29" s="1"/>
  <c r="B7245" i="106" s="1"/>
  <c r="D7245" i="106" s="1"/>
  <c r="C342" i="29"/>
  <c r="B7216" i="106" s="1"/>
  <c r="D7216" i="106" s="1"/>
  <c r="G15" i="145"/>
  <c r="J210" i="29"/>
  <c r="B7072" i="106" s="1"/>
  <c r="D7072" i="106" s="1"/>
  <c r="K76" i="4"/>
  <c r="B3586" i="106" s="1"/>
  <c r="D3586" i="106" s="1"/>
  <c r="F77" i="4"/>
  <c r="B3255" i="106" s="1"/>
  <c r="D3255" i="106" s="1"/>
  <c r="H33" i="118"/>
  <c r="F19" i="7"/>
  <c r="B1807" i="106" s="1"/>
  <c r="D1807" i="106" s="1"/>
  <c r="H365" i="29"/>
  <c r="B7242" i="106" s="1"/>
  <c r="D7242" i="106" s="1"/>
  <c r="K184" i="29"/>
  <c r="F13" i="4" s="1"/>
  <c r="B2596" i="106" s="1"/>
  <c r="D2596" i="106" s="1"/>
  <c r="G210" i="29"/>
  <c r="C352" i="29"/>
  <c r="C367" i="29" s="1"/>
  <c r="L13" i="11"/>
  <c r="B2060" i="106" s="1"/>
  <c r="D2060" i="106" s="1"/>
  <c r="D69" i="36"/>
  <c r="I210" i="29"/>
  <c r="B7071" i="106" s="1"/>
  <c r="D7071" i="106" s="1"/>
  <c r="G29" i="108"/>
  <c r="F28" i="108"/>
  <c r="E29" i="108"/>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8" i="106" s="1"/>
  <c r="D5778"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G6" i="4"/>
  <c r="B2604" i="106" s="1"/>
  <c r="D2604" i="106" s="1"/>
  <c r="D44" i="3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L114" i="29" l="1"/>
  <c r="D7256" i="106"/>
  <c r="D7251" i="106"/>
  <c r="K28" i="118"/>
  <c r="O27" i="118" s="1"/>
  <c r="O29" i="118" s="1"/>
  <c r="D7250" i="106"/>
  <c r="D7254" i="106"/>
  <c r="B1365" i="106"/>
  <c r="D1365" i="106" s="1"/>
  <c r="F65" i="34"/>
  <c r="B5770" i="106"/>
  <c r="D5770" i="106" s="1"/>
  <c r="L16" i="11"/>
  <c r="B2061" i="106" s="1"/>
  <c r="D2061" i="106" s="1"/>
  <c r="N23" i="3"/>
  <c r="B284" i="106" s="1"/>
  <c r="D284" i="106" s="1"/>
  <c r="K342" i="29"/>
  <c r="F13" i="34" s="1"/>
  <c r="F41" i="108"/>
  <c r="G43" i="108" s="1"/>
  <c r="B5527" i="106"/>
  <c r="D5527" i="106" s="1"/>
  <c r="D41" i="108"/>
  <c r="E43" i="108" s="1"/>
  <c r="C114" i="29"/>
  <c r="B757" i="106" s="1"/>
  <c r="D757" i="106"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F24" i="37" l="1"/>
  <c r="B1145" i="106"/>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2567" i="106"/>
  <c r="D2567" i="106" s="1"/>
  <c r="B6227" i="106" l="1"/>
  <c r="D6227" i="106" s="1"/>
  <c r="J20" i="4"/>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<sst xmlns="http://schemas.openxmlformats.org/spreadsheetml/2006/main" count="5405" uniqueCount="2227">
  <si>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</si>
  <si>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</si>
  <si>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</si>
  <si>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</si>
  <si>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</si>
  <si>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</si>
  <si>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</si>
  <si>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</si>
  <si>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</si>
  <si>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</si>
  <si>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</si>
  <si>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</si>
  <si>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</si>
  <si>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</si>
  <si>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</si>
  <si>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</si>
  <si>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</si>
  <si>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</si>
  <si>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</si>
  <si>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</si>
  <si>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</si>
  <si>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</si>
  <si>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</si>
  <si>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</si>
  <si>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</si>
  <si>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</si>
  <si>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</si>
  <si>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</si>
  <si>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</si>
  <si>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</si>
  <si>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</si>
  <si>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</si>
  <si>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</si>
  <si>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</si>
  <si>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</si>
  <si>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</si>
  <si>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</si>
  <si>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</si>
  <si>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</si>
  <si>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</si>
  <si>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</si>
  <si>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</si>
  <si>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</si>
  <si>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</si>
  <si>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</si>
  <si>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</si>
  <si>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</si>
  <si>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</si>
  <si>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</si>
  <si>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</si>
  <si>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</si>
  <si>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</si>
  <si>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</si>
  <si>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</si>
  <si>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</si>
  <si>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</si>
  <si>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</si>
  <si>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</si>
  <si>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</si>
  <si>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</si>
  <si>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</si>
  <si>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</si>
  <si>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</si>
  <si>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</si>
  <si>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</si>
  <si>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</si>
  <si>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</si>
  <si>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</si>
  <si>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</si>
  <si>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</si>
  <si>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</si>
  <si>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</si>
  <si>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</si>
  <si>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</si>
  <si>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</si>
  <si>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</si>
  <si>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</si>
  <si>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</si>
  <si>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</si>
  <si>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</si>
  <si>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</si>
  <si>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</si>
  <si>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</si>
  <si>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</si>
  <si>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</si>
  <si>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</si>
  <si>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</si>
  <si>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</si>
  <si>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</si>
  <si>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</si>
  <si>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</si>
  <si>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</si>
  <si>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</si>
  <si>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</si>
  <si>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</si>
  <si>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</si>
  <si>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</si>
  <si>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</si>
  <si>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</si>
  <si>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</si>
  <si>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</si>
  <si>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</si>
  <si>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</si>
  <si>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</si>
  <si>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</si>
  <si>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</si>
  <si>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</si>
  <si>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</si>
  <si>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</si>
  <si>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</si>
  <si>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</si>
  <si>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</si>
  <si>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</si>
  <si>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</si>
  <si>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</si>
  <si>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</si>
  <si>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</si>
  <si>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</si>
  <si>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</si>
  <si>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</si>
  <si>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</si>
  <si>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</si>
  <si>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</si>
  <si>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</si>
  <si>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</si>
  <si>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</si>
  <si>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</si>
  <si>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</si>
  <si>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</si>
  <si>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</si>
  <si>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</si>
  <si>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</si>
  <si>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</si>
  <si>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</si>
  <si>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</si>
  <si>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</si>
  <si>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</si>
  <si>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</si>
  <si>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</si>
  <si>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</si>
  <si>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</si>
  <si>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</si>
  <si>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</si>
  <si>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</si>
  <si>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</si>
  <si>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</si>
  <si>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</si>
  <si>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</si>
  <si>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</si>
  <si>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</si>
  <si>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</si>
  <si>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</si>
  <si>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</si>
  <si>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</si>
  <si>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</si>
  <si>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</si>
  <si>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</si>
  <si>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</si>
  <si>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</si>
  <si>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</si>
  <si>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</si>
  <si>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</si>
  <si>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</si>
  <si>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</si>
  <si>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</si>
  <si>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</si>
  <si>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</si>
  <si>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</si>
  <si>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</si>
  <si>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</si>
  <si>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</si>
  <si>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</si>
  <si>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</si>
  <si>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</si>
  <si>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</si>
  <si>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</si>
  <si>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</si>
  <si>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</si>
  <si>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</si>
  <si>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</si>
  <si>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</si>
  <si>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</si>
  <si>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</si>
  <si>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</si>
  <si>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</si>
  <si>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</si>
  <si>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</si>
  <si>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</si>
  <si>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</si>
  <si>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</si>
  <si>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</si>
  <si>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</si>
  <si>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</si>
  <si>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</si>
  <si>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</si>
  <si>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</si>
  <si>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</si>
  <si>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</si>
  <si>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</si>
  <si>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</si>
  <si>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</si>
  <si>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</si>
  <si>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</si>
  <si>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</si>
  <si>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</si>
  <si>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</si>
  <si>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</si>
  <si>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</si>
  <si>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</si>
  <si>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</si>
  <si>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</si>
  <si>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</si>
  <si>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</si>
  <si>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</si>
  <si>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</si>
  <si>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</si>
  <si>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</si>
  <si>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</si>
  <si>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</si>
  <si>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</si>
  <si>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</si>
  <si>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</si>
  <si>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</si>
  <si>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</si>
  <si>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</si>
  <si>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</si>
  <si>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</si>
  <si>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</si>
  <si>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</si>
  <si>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</si>
  <si>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</si>
  <si>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</si>
  <si>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</si>
  <si>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</si>
  <si>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</si>
  <si>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</si>
  <si>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</si>
  <si>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</si>
  <si>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</si>
  <si>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</si>
  <si>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</si>
  <si>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</si>
  <si>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</si>
  <si>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</si>
  <si>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</si>
  <si>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</si>
  <si>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</si>
  <si>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</si>
  <si>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</si>
  <si>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</si>
  <si>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</si>
  <si>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</si>
  <si>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</si>
  <si>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</si>
  <si>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</si>
  <si>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</si>
  <si>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</si>
  <si>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</si>
  <si>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</si>
  <si>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</si>
  <si>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</si>
  <si>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</si>
  <si>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</si>
  <si>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</si>
  <si>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</si>
  <si>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</si>
  <si>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</si>
  <si>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</si>
  <si>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</si>
  <si>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</si>
  <si>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</si>
  <si>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</si>
  <si>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</si>
  <si>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</si>
  <si>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</si>
  <si>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</si>
  <si>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</si>
  <si>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</si>
  <si>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</si>
  <si>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</si>
  <si>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</si>
  <si>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</si>
  <si>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</si>
  <si>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</si>
  <si>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</si>
  <si>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</si>
  <si>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</si>
  <si>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</si>
  <si>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</si>
  <si>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</si>
  <si>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</si>
  <si>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</si>
  <si>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</si>
  <si>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</si>
  <si>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</si>
  <si>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</si>
  <si>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</si>
  <si>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</si>
  <si>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</si>
  <si>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</si>
  <si>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</si>
  <si>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</si>
  <si>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</si>
  <si>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</si>
  <si>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</si>
  <si>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</si>
  <si>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</si>
  <si>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</si>
  <si>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</si>
  <si>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</si>
  <si>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</si>
  <si>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</si>
  <si>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</si>
  <si>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</si>
  <si>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</si>
  <si>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</si>
  <si>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</si>
  <si>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</si>
  <si>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</si>
  <si>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</si>
  <si>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</si>
  <si>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</si>
  <si>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</si>
  <si>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</si>
  <si>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</si>
  <si>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</si>
  <si>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</si>
  <si>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</si>
  <si>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</si>
  <si>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</si>
  <si>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</si>
  <si>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</si>
  <si>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</si>
  <si>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</si>
  <si>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</si>
  <si>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</si>
  <si>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</si>
  <si>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</si>
  <si>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</si>
  <si>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</si>
  <si>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</si>
  <si>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</si>
  <si>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</si>
  <si>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</si>
  <si>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</si>
  <si>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</si>
  <si>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</si>
  <si>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</si>
  <si>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</si>
  <si>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</si>
  <si>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</si>
  <si>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</si>
  <si>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</si>
  <si>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</si>
  <si>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</si>
  <si>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</si>
  <si>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</si>
  <si>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</si>
  <si>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</si>
  <si>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</si>
  <si>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</si>
  <si>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</si>
  <si>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</si>
  <si>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</si>
  <si>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</si>
  <si>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</si>
  <si>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</si>
  <si>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</si>
  <si>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</si>
  <si>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</si>
  <si>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</si>
  <si>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</si>
  <si>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</si>
  <si>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</si>
  <si>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</si>
  <si>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</si>
  <si>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</si>
  <si>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</si>
  <si>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</si>
  <si>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</si>
  <si>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</si>
  <si>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</si>
  <si>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</si>
  <si>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</si>
  <si>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</si>
  <si>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</si>
  <si>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</si>
  <si>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</si>
  <si>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</si>
  <si>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</si>
  <si>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</si>
  <si>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</si>
  <si>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</si>
  <si>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</si>
  <si>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</si>
  <si>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</si>
  <si>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</si>
  <si>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</si>
  <si>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</si>
  <si>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</si>
  <si>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</si>
  <si>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</si>
  <si>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</si>
  <si>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</si>
  <si>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</si>
  <si>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</si>
  <si>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</si>
  <si>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</si>
  <si>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</si>
  <si>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</si>
  <si>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</si>
  <si>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</si>
  <si>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</si>
  <si>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</si>
  <si>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</si>
  <si>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</si>
  <si>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</si>
  <si>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</si>
  <si>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</si>
  <si>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</si>
  <si>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</si>
  <si>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</si>
  <si>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</si>
  <si>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</si>
  <si>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</si>
  <si>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</si>
  <si>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</si>
  <si>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</si>
  <si>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</si>
  <si>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</si>
  <si>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</si>
  <si>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</si>
  <si>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</si>
  <si>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</si>
  <si>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</si>
  <si>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</si>
  <si>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</si>
  <si>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</si>
  <si>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</si>
  <si>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</si>
  <si>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</si>
  <si>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</si>
  <si>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</si>
  <si>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</si>
  <si>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</si>
  <si>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</si>
  <si>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</si>
  <si>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</si>
  <si>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</si>
  <si>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</si>
  <si>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</si>
  <si>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</si>
  <si>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</si>
  <si>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</si>
  <si>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</si>
  <si>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</si>
  <si>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</si>
  <si>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</si>
  <si>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</si>
  <si>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</si>
  <si>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</si>
  <si>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</si>
  <si>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</si>
  <si>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</si>
  <si>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</si>
  <si>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</si>
  <si>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</si>
  <si>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</si>
  <si>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</si>
  <si>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</si>
  <si>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</si>
  <si>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</si>
  <si>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</si>
  <si>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</si>
  <si>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</si>
  <si>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</si>
  <si>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</si>
  <si>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</si>
  <si>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</si>
  <si>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</si>
  <si>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</si>
  <si>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</si>
  <si>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</si>
  <si>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</si>
  <si>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</si>
  <si>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</si>
  <si>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</si>
  <si>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</si>
  <si>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</si>
  <si>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</si>
  <si>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</si>
  <si>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</si>
  <si>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</si>
  <si>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</si>
  <si>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</si>
  <si>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</si>
  <si>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</si>
  <si>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</si>
  <si>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</si>
  <si>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</si>
  <si>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</si>
  <si>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</si>
  <si>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</si>
  <si>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</si>
  <si>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</si>
  <si>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</si>
  <si>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</si>
  <si>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</si>
  <si>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</si>
  <si>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</si>
  <si>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</si>
  <si>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</si>
  <si>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</si>
  <si>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</si>
  <si>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</si>
  <si>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</si>
  <si>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</si>
  <si>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</si>
  <si>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</si>
  <si>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</si>
  <si>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</si>
  <si>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</si>
  <si>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</si>
  <si>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</si>
  <si>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</si>
  <si>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</si>
  <si>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</si>
  <si>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</si>
  <si>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</si>
  <si>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</si>
  <si>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</si>
  <si>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</si>
  <si>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</si>
  <si>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</si>
  <si>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</si>
  <si>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</si>
  <si>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</si>
  <si>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</si>
  <si>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</si>
  <si>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</si>
  <si>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</si>
  <si>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</si>
  <si>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</si>
  <si>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</si>
  <si>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</si>
  <si>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</si>
  <si>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</si>
  <si>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</si>
  <si>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</si>
  <si>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</si>
  <si>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</si>
  <si>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</si>
  <si>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</si>
  <si>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</si>
  <si>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</si>
  <si>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</si>
  <si>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</si>
  <si>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</si>
  <si>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</si>
  <si>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</si>
  <si>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</si>
  <si>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</si>
  <si>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</si>
  <si>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</si>
  <si>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</si>
  <si>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</si>
  <si>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</si>
  <si>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</si>
  <si>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</si>
  <si>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</si>
  <si>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</si>
  <si>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</si>
  <si>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</si>
  <si>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</si>
  <si>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</si>
  <si>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</si>
  <si>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</si>
  <si>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</si>
  <si>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</si>
  <si>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</si>
  <si>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</si>
  <si>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</si>
  <si>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</si>
  <si>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</si>
  <si>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</si>
  <si>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</si>
  <si>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</si>
  <si>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</si>
  <si>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</si>
  <si>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</si>
  <si>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</si>
  <si>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</si>
  <si>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</si>
  <si>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</si>
  <si>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</si>
  <si>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</si>
  <si>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</si>
  <si>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</si>
  <si>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</si>
  <si>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</si>
  <si>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</si>
  <si>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</si>
  <si>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</si>
  <si>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</si>
  <si>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</si>
  <si>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</si>
  <si>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</si>
  <si>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</si>
  <si>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</si>
  <si>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</si>
  <si>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</si>
  <si>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</si>
  <si>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</si>
  <si>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</si>
  <si>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</si>
  <si>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</si>
  <si>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</si>
  <si>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</si>
  <si>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</si>
  <si>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</si>
  <si>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</si>
  <si>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</si>
  <si>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</si>
  <si>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</si>
  <si>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</si>
  <si>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</si>
  <si>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</si>
  <si>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</si>
  <si>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</si>
  <si>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</si>
  <si>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</si>
  <si>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</si>
  <si>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</si>
  <si>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</si>
  <si>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</si>
  <si>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</si>
  <si>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</si>
  <si>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</si>
  <si>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</si>
  <si>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</si>
  <si>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</si>
  <si>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</si>
  <si>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</si>
  <si>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</si>
  <si>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</si>
  <si>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</si>
  <si>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</si>
  <si>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</si>
  <si>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</si>
  <si>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</si>
  <si>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</si>
  <si>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</si>
  <si>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</si>
  <si>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</si>
  <si>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</si>
  <si>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</si>
  <si>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</si>
  <si>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</si>
  <si>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</si>
  <si>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</si>
  <si>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</si>
  <si>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</si>
  <si>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</si>
  <si>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</si>
  <si>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</si>
  <si>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</si>
  <si>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</si>
  <si>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</si>
  <si>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</si>
  <si>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</si>
  <si>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</si>
  <si>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</si>
  <si>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</si>
  <si>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</si>
  <si>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</si>
  <si>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</si>
  <si>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</si>
  <si>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</si>
  <si>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</si>
  <si>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</si>
  <si>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</si>
  <si>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</si>
  <si>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</si>
  <si>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</si>
  <si>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</si>
  <si>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</si>
  <si>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</si>
  <si>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</si>
  <si>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</si>
  <si>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</si>
  <si>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</si>
  <si>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</si>
  <si>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</si>
  <si>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</si>
  <si>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</si>
  <si>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</si>
  <si>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</si>
  <si>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</si>
  <si>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</si>
  <si>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</si>
  <si>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</si>
  <si>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</si>
  <si>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</si>
  <si>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</si>
  <si>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</si>
  <si>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</si>
  <si>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</si>
  <si>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</si>
  <si>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</si>
  <si>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</si>
  <si>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</si>
  <si>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</si>
  <si>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</si>
  <si>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</si>
  <si>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</si>
  <si>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</si>
  <si>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</si>
  <si>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</si>
  <si>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</si>
  <si>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</si>
  <si>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</si>
  <si>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</si>
  <si>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</si>
  <si>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</si>
  <si>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</si>
  <si>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</si>
  <si>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</si>
  <si>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</si>
  <si>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</si>
  <si>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</si>
  <si>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</si>
  <si>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</si>
  <si>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</si>
  <si>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</si>
  <si>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</si>
  <si>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</si>
  <si>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</si>
  <si>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</si>
  <si>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</si>
  <si>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</si>
  <si>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</si>
  <si>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</si>
  <si>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</si>
  <si>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</si>
  <si>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</si>
  <si>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</si>
  <si>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</si>
  <si>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</si>
  <si>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</si>
  <si>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</si>
  <si>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</si>
  <si>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</si>
  <si>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</si>
  <si>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</si>
  <si>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</si>
  <si>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</si>
  <si>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</si>
  <si>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</si>
  <si>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</si>
  <si>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</si>
  <si>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</si>
  <si>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</si>
  <si>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</si>
  <si>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</si>
  <si>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</si>
  <si>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</si>
  <si>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</si>
  <si>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</si>
  <si>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</si>
  <si>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</si>
  <si>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</si>
  <si>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</si>
  <si>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</si>
  <si>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</si>
  <si>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</si>
  <si>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</si>
  <si>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</si>
  <si>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</si>
  <si>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</si>
  <si>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</si>
  <si>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</si>
  <si>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</si>
  <si>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</si>
  <si>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</si>
  <si>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</si>
  <si>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</si>
  <si>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</si>
  <si>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</si>
  <si>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</si>
  <si>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</si>
  <si>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</si>
  <si>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</si>
  <si>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</si>
  <si>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</si>
  <si>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</si>
  <si>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</si>
  <si>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</si>
  <si>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</si>
  <si>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</si>
  <si>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</si>
  <si>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</si>
  <si>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</si>
  <si>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</si>
  <si>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</si>
  <si>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</si>
  <si>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</si>
  <si>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</si>
  <si>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</si>
  <si>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</si>
  <si>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</si>
  <si>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</si>
  <si>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</si>
  <si>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</si>
  <si>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</si>
  <si>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</si>
  <si>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</si>
  <si>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</si>
  <si>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</si>
  <si>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</si>
  <si>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</si>
  <si>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</si>
  <si>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</si>
  <si>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</si>
  <si>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</si>
  <si>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</si>
  <si>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</si>
  <si>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</si>
  <si>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</si>
  <si>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</si>
  <si>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</si>
  <si>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</si>
  <si>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</si>
  <si>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</si>
  <si>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</si>
  <si>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</si>
  <si>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</si>
  <si>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</si>
  <si>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</si>
  <si>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</si>
  <si>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</si>
  <si>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</si>
  <si>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</si>
  <si>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</si>
  <si>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</si>
  <si>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</si>
  <si>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</si>
  <si>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</si>
  <si>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</si>
  <si>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</si>
  <si>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</si>
  <si>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</si>
  <si>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</si>
  <si>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</si>
  <si>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</si>
  <si>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</si>
  <si>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</si>
  <si>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</si>
  <si>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</si>
  <si>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</si>
  <si>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</si>
  <si>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</si>
  <si>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</si>
  <si>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</si>
  <si>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</si>
  <si>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</si>
  <si>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</si>
  <si>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</si>
  <si>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</si>
  <si>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</si>
  <si>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</si>
  <si>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</si>
  <si>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</si>
  <si>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</si>
  <si>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</si>
  <si>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</si>
  <si>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</si>
  <si>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</si>
  <si>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</si>
  <si>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</si>
  <si>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</si>
  <si>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</si>
  <si>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</si>
  <si>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</si>
  <si>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</si>
  <si>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</si>
  <si>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</si>
  <si>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</si>
  <si>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</si>
  <si>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</si>
  <si>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</si>
  <si>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</si>
  <si>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</si>
  <si>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</si>
  <si>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</si>
  <si>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</si>
  <si>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</si>
  <si>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</si>
  <si>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</si>
  <si>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</si>
  <si>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</si>
  <si>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</si>
  <si>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</si>
  <si>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</si>
  <si>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</si>
  <si>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</si>
  <si>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</si>
  <si>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</si>
  <si>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</si>
  <si>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</si>
  <si>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</si>
  <si>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</si>
  <si>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</si>
  <si>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</si>
  <si>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</si>
  <si>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</si>
  <si>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</si>
  <si>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</si>
  <si>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</si>
  <si>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</si>
  <si>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</si>
  <si>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</si>
  <si>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</si>
  <si>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</si>
  <si>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</si>
  <si>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</si>
  <si>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</si>
  <si>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</si>
  <si>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</si>
  <si>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</si>
  <si>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</si>
  <si>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</si>
  <si>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</si>
  <si>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</si>
  <si>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</si>
  <si>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</si>
  <si>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</si>
  <si>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</si>
  <si>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</si>
  <si>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</si>
  <si>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</si>
  <si>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</si>
  <si>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</si>
  <si>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</si>
  <si>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</si>
  <si>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</si>
  <si>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</si>
  <si>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</si>
  <si>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</si>
  <si>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</si>
  <si>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</si>
  <si>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</si>
  <si>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</si>
  <si>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</si>
  <si>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</si>
  <si>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</si>
  <si>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</si>
  <si>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</si>
  <si>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</si>
  <si>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</si>
  <si>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</si>
  <si>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</si>
  <si>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</si>
  <si>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</si>
  <si>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</si>
  <si>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</si>
  <si>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</si>
  <si>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</si>
  <si>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</si>
  <si>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</si>
  <si>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</si>
  <si>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</si>
  <si>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</si>
  <si>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</si>
  <si>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</si>
  <si>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</si>
  <si>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</si>
  <si>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</si>
  <si>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</si>
  <si>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</si>
  <si>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</si>
  <si>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</si>
  <si>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</si>
  <si>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</si>
  <si>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</si>
  <si>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</si>
  <si>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</si>
  <si>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</si>
  <si>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</si>
  <si>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</si>
  <si>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</si>
  <si>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</si>
  <si>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</si>
  <si>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</si>
  <si>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</si>
  <si>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</si>
  <si>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</si>
  <si>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</si>
  <si>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</si>
  <si>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</si>
  <si>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</si>
  <si>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</si>
  <si>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</si>
  <si>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</si>
  <si>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</si>
  <si>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</si>
  <si>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</si>
  <si>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</si>
  <si>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</si>
  <si>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</si>
  <si>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</si>
  <si>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</si>
  <si>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</si>
  <si>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</si>
  <si>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</si>
  <si>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</si>
  <si>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</si>
  <si>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</si>
  <si>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</si>
  <si>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</si>
  <si>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</si>
  <si>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</si>
  <si>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</si>
  <si>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</si>
  <si>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</si>
  <si>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</si>
  <si>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</si>
  <si>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</si>
  <si>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</si>
  <si>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</si>
  <si>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</si>
  <si>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</si>
  <si>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</si>
  <si>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</si>
  <si>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</si>
  <si>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</si>
  <si>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</si>
  <si>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</si>
  <si>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</si>
  <si>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</si>
  <si>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</si>
  <si>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</si>
  <si>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</si>
  <si>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</si>
  <si>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</si>
  <si>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</si>
  <si>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</si>
  <si>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</si>
  <si>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</si>
  <si>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</si>
  <si>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</si>
  <si>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</si>
  <si>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</si>
  <si>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</si>
  <si>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</si>
  <si>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</si>
  <si>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</si>
  <si>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</si>
  <si>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</si>
  <si>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</si>
  <si>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</si>
  <si>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</si>
  <si>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</si>
  <si>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</si>
  <si>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</si>
  <si>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</si>
  <si>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</si>
  <si>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</si>
  <si>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</si>
  <si>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</si>
  <si>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</si>
  <si>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</si>
  <si>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</si>
  <si>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</si>
  <si>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</si>
  <si>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</si>
  <si>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</si>
  <si>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</si>
  <si>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</si>
  <si>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</si>
  <si>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</si>
  <si>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</si>
  <si>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</si>
  <si>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</si>
  <si>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</si>
  <si>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</si>
  <si>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</si>
  <si>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</si>
  <si>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</si>
  <si>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</si>
  <si>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</si>
  <si>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</si>
  <si>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</si>
  <si>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</si>
  <si>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</si>
  <si>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</si>
  <si>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</si>
  <si>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</si>
  <si>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</si>
  <si>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</si>
  <si>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</si>
  <si>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</si>
  <si>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</si>
  <si>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</si>
  <si>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</si>
  <si>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</si>
  <si>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</si>
  <si>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</si>
  <si>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</si>
  <si>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</si>
  <si>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</si>
  <si>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</si>
  <si>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</si>
  <si>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</si>
  <si>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</si>
  <si>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</si>
  <si>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</si>
  <si>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</si>
  <si>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</si>
  <si>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</si>
  <si>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</si>
  <si>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</si>
  <si>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</si>
  <si>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</si>
  <si>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</si>
  <si>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</si>
  <si>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</si>
  <si>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</si>
  <si>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</si>
  <si>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</si>
  <si>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</si>
  <si>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</si>
  <si>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</si>
  <si>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</si>
  <si>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</si>
  <si>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</si>
  <si>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</si>
  <si>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</si>
  <si>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</si>
  <si>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</si>
  <si>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</si>
  <si>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</si>
  <si>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</si>
  <si>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</si>
  <si>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</si>
  <si>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</si>
  <si>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</si>
  <si>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</si>
  <si>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</si>
  <si>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</si>
  <si>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</si>
  <si>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</si>
  <si>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</si>
  <si>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</si>
  <si>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</si>
  <si>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</si>
  <si>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</si>
  <si>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</si>
  <si>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</si>
  <si>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</si>
  <si>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</si>
  <si>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</si>
  <si>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</si>
  <si>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</si>
  <si>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</si>
  <si>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</si>
  <si>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</si>
  <si>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</si>
  <si>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</si>
  <si>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</si>
  <si>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</si>
  <si>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</si>
  <si>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</si>
  <si>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</si>
  <si>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</si>
  <si>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</si>
  <si>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</si>
  <si>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</si>
  <si>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</si>
  <si>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</si>
  <si>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</si>
  <si>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</si>
  <si>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</si>
  <si>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</si>
  <si>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</si>
  <si>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</si>
  <si>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</si>
  <si>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</si>
  <si>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</si>
  <si>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</si>
  <si>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</si>
  <si>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</si>
  <si>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</si>
  <si>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</si>
  <si>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</si>
  <si>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</si>
  <si>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</si>
  <si>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</si>
  <si>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</si>
  <si>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</si>
  <si>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</si>
  <si>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</si>
  <si>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</si>
  <si>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</si>
  <si>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</si>
  <si>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</si>
  <si>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</si>
  <si>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</si>
  <si>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</si>
  <si>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</si>
  <si>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</si>
  <si>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</si>
  <si>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</si>
  <si>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</si>
  <si>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</si>
  <si>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</si>
  <si>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</si>
  <si>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</si>
  <si>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</si>
  <si>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</si>
  <si>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</si>
  <si>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</si>
  <si>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</si>
  <si>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</si>
  <si>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</si>
  <si>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</si>
  <si>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</si>
  <si>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</si>
  <si>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</si>
  <si>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</si>
  <si>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</si>
  <si>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</si>
  <si>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</si>
  <si>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</si>
  <si>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</si>
  <si>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</si>
  <si>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</si>
  <si>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</si>
  <si>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</si>
  <si>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</si>
  <si>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</si>
  <si>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</si>
  <si>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</si>
  <si>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</si>
  <si>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</si>
  <si>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</si>
  <si>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</si>
  <si>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</si>
  <si>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</si>
  <si>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</si>
  <si>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</si>
  <si>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</si>
  <si>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</si>
  <si>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</si>
  <si>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</si>
  <si>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</si>
  <si>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</si>
  <si>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</si>
  <si>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</si>
  <si>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</si>
  <si>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</si>
  <si>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</si>
  <si>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</si>
  <si>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</si>
  <si>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</si>
  <si>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</si>
  <si>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</si>
  <si>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</si>
  <si>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</si>
  <si>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</si>
  <si>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</si>
  <si>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</si>
  <si>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</si>
  <si>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</si>
  <si>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</si>
  <si>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</si>
  <si>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</si>
  <si>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</si>
  <si>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</si>
  <si>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</si>
  <si>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</si>
  <si>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</si>
  <si>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</si>
  <si>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</si>
  <si>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</si>
  <si>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</si>
  <si>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</si>
  <si>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</si>
  <si>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</si>
  <si>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</si>
  <si>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</si>
  <si>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</si>
  <si>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</si>
  <si>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</si>
  <si>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</si>
  <si>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</si>
  <si>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</si>
  <si>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</si>
  <si>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</si>
  <si>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</si>
  <si>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</si>
  <si>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</si>
  <si>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</si>
  <si>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</si>
  <si>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</si>
  <si>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</si>
  <si>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</si>
  <si>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</si>
  <si>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</si>
  <si>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</si>
  <si>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</si>
  <si>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</si>
  <si>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</si>
  <si>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</si>
  <si>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</si>
  <si>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</si>
  <si>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</si>
  <si>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</si>
  <si>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</si>
  <si>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</si>
  <si>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</si>
  <si>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</si>
  <si>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</si>
  <si>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</si>
  <si>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</si>
  <si>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</si>
  <si>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</si>
  <si>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</si>
  <si>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</si>
  <si>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</si>
  <si>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</si>
  <si>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</si>
  <si>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</si>
  <si>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</si>
  <si>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</si>
  <si>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</si>
  <si>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</si>
  <si>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</si>
  <si>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</si>
  <si>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</si>
  <si>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</si>
  <si>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</si>
  <si>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</si>
  <si>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</si>
  <si>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</si>
  <si>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</si>
  <si>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</si>
  <si>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</si>
  <si>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</si>
  <si>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</si>
  <si>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</si>
  <si>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</si>
  <si>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</si>
  <si>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</si>
  <si>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</si>
  <si>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</si>
  <si>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</si>
  <si>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</si>
  <si>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</si>
  <si>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</si>
  <si>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</si>
  <si>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</si>
  <si>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</si>
  <si>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</si>
  <si>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</si>
  <si>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</si>
  <si>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</si>
  <si>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</si>
  <si>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</si>
  <si>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</si>
  <si>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</si>
  <si>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</si>
  <si>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</si>
  <si>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</si>
  <si>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</si>
  <si>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</si>
  <si>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</si>
  <si>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</si>
  <si>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</si>
  <si>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</si>
  <si>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</si>
  <si>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</si>
  <si>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</si>
  <si>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</si>
  <si>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</si>
  <si>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</si>
  <si>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</si>
  <si>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</si>
  <si>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</si>
  <si>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</si>
  <si>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</si>
  <si>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</si>
  <si>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</si>
  <si>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</si>
  <si>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</si>
  <si>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</si>
  <si>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</si>
  <si>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</si>
  <si>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</si>
  <si>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</si>
  <si>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</si>
  <si>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</si>
  <si>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</si>
  <si>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</si>
  <si>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</si>
  <si>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</si>
  <si>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</si>
  <si>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</si>
  <si>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</si>
  <si>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</si>
  <si>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</si>
  <si>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</si>
  <si>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</si>
  <si>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</si>
  <si>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</si>
  <si>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</si>
  <si>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</si>
  <si>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</si>
  <si>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</si>
  <si>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</si>
  <si>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</si>
  <si>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</si>
  <si>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</si>
  <si>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</si>
  <si>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</si>
  <si>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</si>
  <si>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</si>
  <si>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</si>
  <si>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</si>
  <si>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</si>
  <si>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</si>
  <si>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</si>
  <si>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</si>
  <si>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</si>
  <si>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</si>
  <si>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</si>
  <si>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</si>
  <si>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</si>
  <si>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</si>
  <si>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</si>
  <si>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</si>
  <si>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</si>
  <si>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</si>
  <si>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</si>
  <si>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</si>
  <si>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</si>
  <si>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</si>
  <si>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</si>
  <si>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</si>
  <si>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</si>
  <si>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</si>
  <si>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</si>
  <si>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</si>
  <si>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</si>
  <si>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</si>
  <si>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</si>
  <si>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</si>
  <si>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</si>
  <si>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</si>
  <si>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</si>
  <si>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</si>
  <si>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</si>
  <si>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</si>
  <si>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</si>
  <si>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</si>
  <si>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</si>
  <si>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</si>
  <si>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</si>
  <si>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</si>
  <si>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</si>
  <si>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</si>
  <si>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</si>
  <si>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</si>
  <si>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</si>
  <si>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</si>
  <si>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</si>
  <si>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</si>
  <si>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</si>
  <si>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</si>
  <si>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</si>
  <si>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</si>
  <si>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</si>
  <si>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</si>
  <si>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</si>
  <si>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</si>
  <si>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</si>
  <si>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</si>
  <si>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</si>
  <si>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</si>
  <si>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</si>
  <si>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</si>
  <si>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</si>
  <si>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</si>
  <si>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</si>
  <si>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</si>
  <si>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</si>
  <si>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</si>
  <si>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</si>
  <si>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</si>
  <si>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</si>
  <si>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</si>
  <si>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</si>
  <si>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</si>
  <si>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</si>
  <si>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</si>
  <si>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</si>
  <si>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</si>
  <si>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</si>
  <si>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</si>
  <si>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</si>
  <si>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</si>
  <si>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</si>
  <si>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</si>
  <si>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</si>
  <si>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</si>
  <si>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</si>
  <si>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</si>
  <si>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</si>
  <si>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</si>
  <si>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</si>
  <si>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</si>
  <si>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</si>
  <si>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</si>
  <si>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</si>
  <si>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</si>
  <si>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</si>
  <si>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</si>
  <si>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</si>
  <si>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</si>
  <si>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</si>
  <si>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</si>
  <si>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</si>
  <si>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</si>
  <si>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</si>
  <si>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</si>
  <si>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</si>
  <si>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</si>
  <si>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</si>
  <si>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</si>
  <si>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</si>
  <si>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</si>
  <si>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</si>
  <si>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</si>
  <si>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</si>
  <si>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</si>
  <si>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</si>
  <si>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</si>
  <si>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</si>
  <si>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</si>
  <si>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</si>
  <si>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</si>
  <si>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</si>
  <si>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</si>
  <si>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</si>
  <si>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</si>
  <si>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</si>
  <si>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</si>
  <si>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</si>
  <si>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</si>
  <si>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</si>
  <si>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</si>
  <si>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</si>
  <si>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</si>
  <si>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</si>
  <si>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</si>
  <si>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</si>
  <si>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</si>
  <si>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</si>
  <si>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</si>
  <si>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</si>
  <si>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</si>
  <si>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</si>
  <si>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</si>
  <si>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</si>
  <si>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</si>
  <si>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</si>
  <si>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</si>
  <si>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</si>
  <si>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</si>
  <si>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</si>
  <si>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</si>
  <si>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</si>
  <si>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</si>
  <si>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</si>
  <si>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</si>
  <si>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</si>
  <si>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</si>
  <si>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</si>
  <si>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</si>
  <si>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</si>
  <si>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</si>
  <si>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</si>
  <si>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</si>
  <si>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</si>
  <si>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</si>
  <si>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</si>
  <si>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</si>
  <si>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</si>
  <si>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</si>
  <si>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</si>
  <si>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</si>
  <si>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</si>
  <si>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</si>
  <si>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</si>
  <si>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</si>
  <si>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</si>
  <si>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</si>
  <si>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</si>
  <si>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</si>
  <si>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</si>
  <si>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</si>
  <si>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</si>
  <si>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</si>
  <si>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</si>
  <si>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</si>
  <si>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</si>
  <si>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</si>
  <si>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</si>
  <si>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</si>
  <si>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</si>
  <si>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</si>
  <si>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</si>
  <si>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</si>
  <si>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</si>
  <si>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</si>
  <si>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</si>
  <si>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</si>
  <si>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</si>
  <si>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</si>
  <si>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</si>
  <si>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</si>
  <si>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</si>
  <si>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</si>
  <si>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</si>
  <si>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</si>
  <si>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</si>
  <si>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</si>
  <si>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</si>
  <si>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</si>
  <si>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</si>
  <si>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</si>
  <si>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</si>
  <si>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</si>
  <si>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</si>
  <si>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</si>
  <si>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</si>
  <si>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</si>
  <si>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</si>
  <si>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</si>
  <si>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</si>
  <si>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</si>
  <si>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</si>
  <si>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</si>
  <si>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</si>
  <si>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</si>
  <si>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</si>
  <si>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</si>
  <si>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</si>
  <si>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</si>
  <si>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</si>
  <si>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</si>
  <si>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</si>
  <si>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</si>
  <si>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</si>
  <si>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</si>
  <si>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</si>
  <si>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</si>
  <si>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</si>
  <si>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</si>
  <si>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</si>
  <si>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</si>
  <si>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</si>
  <si>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</si>
  <si>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</si>
  <si>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</si>
  <si>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</si>
  <si>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</si>
  <si>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</si>
  <si>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</si>
  <si>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</si>
  <si>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</si>
  <si>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</si>
  <si>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</si>
  <si>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</si>
  <si>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</si>
  <si>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</si>
  <si>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</si>
  <si>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</si>
  <si>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</si>
  <si>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</si>
  <si>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</si>
  <si>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</si>
  <si>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</si>
  <si>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</si>
  <si>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</si>
  <si>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</si>
  <si>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</si>
  <si>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</si>
  <si>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</si>
  <si>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</si>
  <si>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</si>
  <si>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</si>
  <si>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</si>
  <si>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</si>
  <si>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</si>
  <si>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</si>
  <si>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</si>
  <si>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</si>
  <si>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</si>
  <si>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</si>
  <si>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</si>
  <si>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</si>
  <si>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</si>
  <si>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</si>
  <si>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</si>
  <si>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</si>
  <si>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</si>
  <si>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</si>
  <si>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</si>
  <si>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</si>
  <si>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</si>
  <si>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</si>
  <si>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</si>
  <si>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</si>
  <si>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</si>
  <si>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</si>
  <si>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</si>
  <si>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</si>
  <si>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</si>
  <si>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</si>
  <si>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</si>
  <si>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</si>
  <si>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</si>
  <si>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</si>
  <si>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</si>
  <si>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</si>
  <si>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</si>
  <si>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</si>
  <si>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</si>
  <si>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</si>
  <si>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</si>
  <si>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</si>
  <si>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</si>
  <si>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</si>
  <si>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</si>
  <si>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</si>
  <si>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</si>
  <si>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</si>
  <si>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</si>
  <si>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</si>
  <si>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</si>
  <si>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</si>
  <si>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</si>
  <si>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</si>
  <si>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</si>
  <si>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</si>
  <si>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</si>
  <si>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</si>
  <si>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</si>
  <si>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</si>
  <si>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</si>
  <si>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</si>
  <si>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</si>
  <si>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</si>
  <si>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</si>
  <si>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</si>
  <si>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</si>
  <si>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</si>
  <si>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</si>
  <si>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</si>
  <si>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</si>
  <si>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</si>
  <si>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</si>
  <si>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</si>
  <si>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</si>
  <si>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</si>
  <si>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</si>
  <si>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</si>
  <si>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</si>
  <si>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</si>
  <si>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</si>
  <si>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</si>
  <si>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</si>
  <si>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</si>
  <si>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</si>
  <si>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</si>
  <si>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</si>
  <si>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</si>
  <si>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</si>
  <si>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</si>
  <si>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</si>
  <si>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</si>
  <si>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</si>
  <si>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</si>
  <si>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</si>
  <si>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</si>
  <si>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</si>
  <si>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</si>
  <si>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</si>
  <si>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</si>
  <si>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</si>
  <si>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</si>
  <si>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</si>
  <si>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</si>
  <si>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</si>
  <si>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</si>
  <si>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</si>
  <si>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</si>
  <si>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</si>
  <si>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</si>
  <si>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</si>
  <si>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</si>
  <si>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</si>
  <si>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</si>
  <si>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</si>
  <si>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</si>
  <si>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</si>
  <si>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</si>
  <si>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</si>
  <si>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</si>
  <si>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</si>
  <si>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</si>
  <si>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</si>
  <si>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</si>
  <si>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</si>
  <si>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</si>
  <si>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</si>
  <si>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</si>
  <si>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</si>
  <si>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</si>
  <si>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</si>
  <si>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</si>
  <si>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</si>
  <si>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</si>
  <si>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</si>
  <si>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</si>
  <si>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</si>
  <si>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</si>
  <si>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</si>
  <si>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</si>
  <si>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</si>
  <si>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</si>
  <si>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</si>
  <si>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</si>
  <si>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</si>
  <si>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</si>
  <si>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</si>
  <si>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</si>
  <si>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</si>
  <si>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</si>
  <si>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</si>
  <si>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</si>
  <si>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</si>
  <si>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</si>
  <si>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</si>
  <si>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</si>
  <si>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</si>
  <si>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</si>
  <si>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</si>
  <si>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</si>
  <si>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</si>
  <si>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</si>
  <si>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</si>
  <si>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</si>
  <si>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</si>
  <si>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</si>
  <si>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</si>
  <si>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</si>
  <si>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</si>
  <si>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</si>
  <si>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</si>
  <si>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</si>
  <si>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</si>
  <si>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</si>
  <si>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</si>
  <si>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</si>
  <si>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</si>
  <si>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</si>
  <si>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</si>
  <si>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</si>
  <si>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</si>
  <si>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</si>
  <si>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</si>
  <si>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</si>
  <si>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</si>
  <si>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</si>
  <si>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</si>
  <si>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</si>
  <si>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</si>
  <si>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</si>
  <si>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</si>
  <si>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</si>
  <si>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</si>
  <si>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</si>
  <si>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</si>
  <si>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</si>
  <si>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</si>
  <si>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</si>
  <si>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</si>
  <si>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</si>
  <si>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</si>
  <si>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</si>
  <si>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</si>
  <si>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</si>
  <si>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</si>
  <si>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</si>
  <si>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</si>
  <si>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</si>
  <si>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</si>
  <si>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</si>
  <si>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</si>
  <si>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</si>
  <si>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</si>
  <si>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</si>
  <si>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</si>
  <si>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</si>
  <si>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</si>
  <si>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</si>
  <si>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</si>
  <si>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</si>
  <si>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</si>
  <si>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</si>
  <si>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</si>
  <si>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</si>
  <si>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</si>
  <si>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</si>
  <si>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</si>
  <si>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</si>
  <si>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</si>
  <si>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</si>
  <si>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</si>
  <si>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</si>
  <si>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</si>
  <si>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</si>
  <si>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</si>
  <si>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</si>
  <si>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</si>
  <si>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</si>
  <si>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</si>
  <si>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</si>
  <si>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</si>
  <si>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</si>
  <si>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</si>
  <si>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</si>
  <si>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</si>
  <si>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</si>
  <si>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</si>
  <si>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</si>
  <si>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</si>
  <si>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</si>
  <si>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</si>
  <si>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</si>
  <si>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</si>
  <si>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</si>
  <si>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</si>
  <si>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</si>
  <si>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</si>
  <si>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</si>
  <si>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</si>
  <si>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</si>
  <si>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</si>
  <si>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</si>
  <si>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</si>
  <si>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</si>
  <si>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</si>
  <si>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</si>
  <si>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</si>
  <si>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</si>
  <si>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</si>
  <si>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</si>
  <si>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</si>
  <si>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</si>
  <si>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</si>
  <si>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</si>
  <si>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</si>
  <si>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</si>
  <si>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</si>
  <si>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</si>
  <si>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</si>
  <si>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</si>
  <si>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</si>
  <si>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</si>
  <si>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</si>
  <si>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</si>
  <si>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</si>
  <si>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</si>
  <si>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</si>
  <si>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</si>
  <si>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</si>
  <si>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</si>
  <si>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</si>
  <si>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</si>
  <si>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</si>
  <si>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</si>
  <si>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</si>
  <si>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</si>
  <si>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</si>
  <si>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</si>
  <si>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</si>
  <si>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</si>
  <si>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</si>
  <si>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</si>
  <si>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</si>
  <si>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</si>
  <si>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</si>
  <si>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</si>
  <si>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</si>
  <si>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</si>
  <si>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</si>
  <si>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</si>
  <si>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</si>
  <si>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</si>
  <si>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</si>
  <si>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</si>
  <si>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</si>
  <si>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</si>
  <si>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</si>
  <si>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</si>
  <si>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</si>
  <si>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</si>
  <si>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</si>
  <si>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</si>
  <si>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</si>
  <si>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</si>
  <si>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</si>
  <si>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</si>
  <si>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</si>
  <si>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</si>
  <si>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</si>
  <si>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</si>
  <si>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</si>
  <si>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</si>
  <si>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</si>
  <si>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</si>
  <si>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</si>
  <si>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</si>
  <si>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</si>
  <si>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</si>
  <si>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</si>
  <si>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</si>
  <si>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</si>
  <si>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</si>
  <si>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</si>
  <si>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</si>
  <si>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</si>
  <si>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</si>
  <si>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</si>
  <si>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</si>
  <si>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</si>
  <si>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</si>
  <si>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</si>
  <si>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</si>
  <si>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</si>
  <si>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</si>
  <si>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</si>
  <si>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</si>
  <si>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</si>
  <si>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</si>
  <si>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</si>
  <si>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</si>
  <si>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</si>
  <si>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</si>
  <si>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</si>
  <si>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</si>
  <si>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</si>
  <si>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LAKE</t>
  </si>
  <si>
    <t>1105 NORTH HUNT CLUB ROAD</t>
  </si>
  <si>
    <t>GURNEE</t>
  </si>
  <si>
    <t>CBOBEK@DISTRICT50.NET</t>
  </si>
  <si>
    <t>CHRISTOPHER M. SCALET, CPA</t>
  </si>
  <si>
    <t>1875 HICKS ROAD</t>
  </si>
  <si>
    <t>ROLLING MEADOWS</t>
  </si>
  <si>
    <t>IL</t>
  </si>
  <si>
    <t>847-221-5700</t>
  </si>
  <si>
    <t>847-221-5701</t>
  </si>
  <si>
    <t>CHRIS@EMPCPA.COM</t>
  </si>
  <si>
    <t>EVANS, MARSHALL &amp; PEASE, P.C.</t>
  </si>
  <si>
    <t>2011A GO REFUNDING BOND</t>
  </si>
  <si>
    <t>2011B GO REFUNDING BOND</t>
  </si>
  <si>
    <t>2015 GO REFUNDING BOND</t>
  </si>
  <si>
    <t>2017A GO BOND</t>
  </si>
  <si>
    <t>2017B GO BOND</t>
  </si>
  <si>
    <t>CAPITAL LEASES</t>
  </si>
  <si>
    <t>VAR</t>
  </si>
  <si>
    <t>ED-Food Service-Contracted</t>
  </si>
  <si>
    <t>10-2560-300</t>
  </si>
  <si>
    <t>Arbor Management</t>
  </si>
  <si>
    <t>O&amp;F-Distric Operations-Janitorial Services</t>
  </si>
  <si>
    <t>20-2540-300</t>
  </si>
  <si>
    <t>Citywide Building Maintenance</t>
  </si>
  <si>
    <t>Trans-Operations-Bus Lease</t>
  </si>
  <si>
    <t>40-2550-300</t>
  </si>
  <si>
    <t>Santander Leasing</t>
  </si>
  <si>
    <t>Ed-Health Services-Purchase Service</t>
  </si>
  <si>
    <t>10-2100-300</t>
  </si>
  <si>
    <t>Assured Healthcare Staffing</t>
  </si>
  <si>
    <t>Ed-Transport-Professional Services</t>
  </si>
  <si>
    <t>10-2550-300</t>
  </si>
  <si>
    <t>Sheriffs Office Administration</t>
  </si>
  <si>
    <t>O&amp;F-District Maintenance-Pest Control</t>
  </si>
  <si>
    <t>Andersons Pest Solutions</t>
  </si>
  <si>
    <t>O&amp;F- District Maintenance-Garbage Pickup</t>
  </si>
  <si>
    <t>Waste Management</t>
  </si>
  <si>
    <t>Trans-Regular-Contracted Serv</t>
  </si>
  <si>
    <t>Topline Transportation</t>
  </si>
  <si>
    <t>Trans-spec Ed-Contacted Serv</t>
  </si>
  <si>
    <t>Safeway Transportation Serv Group</t>
  </si>
  <si>
    <t>Amer Funding/Chain O Lakes Trans</t>
  </si>
  <si>
    <t>Special Education Systems Inc</t>
  </si>
  <si>
    <t>Ed-Board of Ed-Audit Services</t>
  </si>
  <si>
    <t>10-2300-300</t>
  </si>
  <si>
    <t>Clarity In Numbers LLC</t>
  </si>
  <si>
    <t>Ed-Technology-Professional Services</t>
  </si>
  <si>
    <t>10-2660-300</t>
  </si>
  <si>
    <t>Telesolutions Consultants LLC</t>
  </si>
  <si>
    <t>Evans Marchall &amp; Pease PC</t>
  </si>
  <si>
    <t>Trans-Maintenance-Repairs Operations</t>
  </si>
  <si>
    <t>Metro Tank and Pump Co</t>
  </si>
  <si>
    <t>Trans-Operations-Driver Physical Exam</t>
  </si>
  <si>
    <t>Mid-West Truckers Assoc.</t>
  </si>
  <si>
    <t>Ed-Fiscal Services-Postage</t>
  </si>
  <si>
    <t>10-2520-300</t>
  </si>
  <si>
    <t>MailFinance (Neopost)</t>
  </si>
  <si>
    <t>Ed-Technology-Licensing</t>
  </si>
  <si>
    <t>PowerSchool Group LLC (Talent Ed)</t>
  </si>
  <si>
    <t>Ed-Fiscal Services-Professional Services</t>
  </si>
  <si>
    <t>Forecast 5 Analytics Inc</t>
  </si>
  <si>
    <t>Ed-Assessment/Testing -Sfwr sup</t>
  </si>
  <si>
    <t>10-2200-300</t>
  </si>
  <si>
    <t xml:space="preserve">Schoolcity Inc </t>
  </si>
  <si>
    <t>SOS Technologies</t>
  </si>
  <si>
    <t>Ed- Assessment Testing-Software Support/Licensing</t>
  </si>
  <si>
    <t>NWEA</t>
  </si>
  <si>
    <t>Ed-Assessment Testing-Software Support/Licensing</t>
  </si>
  <si>
    <t>Book Nook</t>
  </si>
  <si>
    <t>ALEKs</t>
  </si>
  <si>
    <t>IlluminateEd</t>
  </si>
  <si>
    <t>Houghton Mifflin CogAt</t>
  </si>
  <si>
    <t>ScreenTastify</t>
  </si>
  <si>
    <t>Noodle Tool</t>
  </si>
  <si>
    <t>eSpark</t>
  </si>
  <si>
    <t>FASTBridge</t>
  </si>
  <si>
    <t>Ed-Social Work-Consultant</t>
  </si>
  <si>
    <t>Mediscan Staffing Services</t>
  </si>
  <si>
    <t>Ed-Psych Services-Contracted Services</t>
  </si>
  <si>
    <t>Edu Healthcare</t>
  </si>
  <si>
    <t>Ed-Speech/Lang Services-Professional Services</t>
  </si>
  <si>
    <t>Staffing Options &amp; Solutions</t>
  </si>
  <si>
    <t>O&amp;F-Dist maintenance-Maintenance Contract</t>
  </si>
  <si>
    <t>MSDS Online Inc</t>
  </si>
  <si>
    <t>Ed-PhotoCopying-Copier Rentals</t>
  </si>
  <si>
    <t>10-2570-300</t>
  </si>
  <si>
    <t>Xerox Financial Services</t>
  </si>
  <si>
    <t>PNC</t>
  </si>
  <si>
    <t>COTG</t>
  </si>
  <si>
    <t>Siemens Industries Inc</t>
  </si>
  <si>
    <t>Johnson Controls Security Solutions</t>
  </si>
  <si>
    <t>Johnson Controls Fire Protection LP</t>
  </si>
  <si>
    <t>Otis Elevator Co.</t>
  </si>
  <si>
    <t>O&amp;F-Dist Operations-Telephone</t>
  </si>
  <si>
    <t>Comcast Cable</t>
  </si>
  <si>
    <t>Ed-Technology-maintenance Contract</t>
  </si>
  <si>
    <t>Sentinel</t>
  </si>
  <si>
    <t>Ed-Technology-Software Support Licensing</t>
  </si>
  <si>
    <t>Schoology Inc</t>
  </si>
  <si>
    <t>EDUCATIONAL BENEFITS COOPERATIVE</t>
  </si>
  <si>
    <t>COLLECTIVE LIABILITY INSURANCE COOPERATIVE</t>
  </si>
  <si>
    <t>ILLINOIS SCHOOL DISTRICT LIQUID ASSETS FUND</t>
  </si>
  <si>
    <t>SPECIAL EDUCATION DISTRICT OF LAKE COUNTY</t>
  </si>
  <si>
    <t>STATE PURCHASING PROGRAM</t>
  </si>
  <si>
    <t>TOTAL LONG TERM DEBT MUST = PRINCIPAL ON LONG-TERM DEBT SOLD --&gt; CAPITAL LEASE PROCEEDS OF $518,996 IN THE ED. FUND.</t>
  </si>
  <si>
    <t>US DEPARTMENT OF EDUCATION</t>
  </si>
  <si>
    <t>PASSED THROUGH THE ILLINOIS STATE BOARD OF EDUCATION (ISBE)</t>
  </si>
  <si>
    <t>TITLE I - LOW INCOME</t>
  </si>
  <si>
    <t>18-4300-00</t>
  </si>
  <si>
    <t>19-4300-00</t>
  </si>
  <si>
    <t>PROG. ENDS 8/31</t>
  </si>
  <si>
    <t>TITLE II - TEACHER QUALITY</t>
  </si>
  <si>
    <t>18-4932-00</t>
  </si>
  <si>
    <t>19-4932-00</t>
  </si>
  <si>
    <t>TITLE III - LANGUAGE INSTRUCTION PROGRAM - LIMITED ENGLISH (LIPLEP)</t>
  </si>
  <si>
    <t>18-4909-00</t>
  </si>
  <si>
    <t>19-4909-00</t>
  </si>
  <si>
    <t>TITLE III - IMMIGRANT EDUCATION PROGRAM (IEP)</t>
  </si>
  <si>
    <t>18-4905-00</t>
  </si>
  <si>
    <t>19-4905-00</t>
  </si>
  <si>
    <t>TITLE I - SCHOOL IMPROVEMENT AND ACCOUNTABILITY</t>
  </si>
  <si>
    <t>19-4331-00</t>
  </si>
  <si>
    <t>SPECIAL EDUCATION - IDEA ROOM AND BOARD (M)</t>
  </si>
  <si>
    <t>18-4625-00</t>
  </si>
  <si>
    <t>N/A</t>
  </si>
  <si>
    <t>PASSED THROUGH THE SPECIAL EDUCATION DISTRICT OF LAKE COUNTY (SEDOL)</t>
  </si>
  <si>
    <t>18-4600-00</t>
  </si>
  <si>
    <t>19-4600-00</t>
  </si>
  <si>
    <t>SPECIAL EDUCATION - IDEA PRESCHOOL FLOW THROUGH (M)</t>
  </si>
  <si>
    <t>18-4620-00</t>
  </si>
  <si>
    <t>SPECIAL EDUCATION - IDEA FLOW THROUGH (M)</t>
  </si>
  <si>
    <t>19-4620</t>
  </si>
  <si>
    <t>PASSED THROUGH THE SPECIAL EDUCATION DISTRICT OF LAKE COUNTY (SEDOL) (CONTINUED)</t>
  </si>
  <si>
    <t>TOTAL US DEPARTMENT OF EDUCATION</t>
  </si>
  <si>
    <t>US DEPARTMENT OF HEALTH AND HUMAN SERVICES</t>
  </si>
  <si>
    <t>MEDICAID MATCHING - ADMINISTRATIVE OUTREACH</t>
  </si>
  <si>
    <t>FY 2019</t>
  </si>
  <si>
    <t>TOTAL US DEPARTMENT OF HEALTH AND HUMAN SERVICES</t>
  </si>
  <si>
    <t>US DEPARTMENT OF AGRICULTURE</t>
  </si>
  <si>
    <t>NATIONAL SCHOOL LUNCH (M)</t>
  </si>
  <si>
    <t>18-4210-00</t>
  </si>
  <si>
    <t>19-4210-00</t>
  </si>
  <si>
    <t>PROG. ENDS 9/30</t>
  </si>
  <si>
    <t>SCHOOL BREAKFAST (M)</t>
  </si>
  <si>
    <t>18-4220-00</t>
  </si>
  <si>
    <t>19-4220-00</t>
  </si>
  <si>
    <t>COMMODITIES - USDA FOODS (NON-CASH) (M)</t>
  </si>
  <si>
    <t>PASSED THROUGH THE ILLINOIS STATE BOARD OF EDUCATION (ISBE) (CONTINUED)</t>
  </si>
  <si>
    <t>COMMODITIES - FRUITS AND VEGETABLES (NON-CASH) (M)</t>
  </si>
  <si>
    <t>TOTAL US DEPARTMENT OF AGRICULTURE</t>
  </si>
  <si>
    <t>TOTAL FEDERAL AWARDS</t>
  </si>
  <si>
    <r>
      <t xml:space="preserve">The accompanying Schedule of Expenditures of Federal Awards includes the federal grant activity of </t>
    </r>
    <r>
      <rPr>
        <b/>
        <sz val="9"/>
        <rFont val="Calibri"/>
        <family val="2"/>
        <scheme val="minor"/>
      </rPr>
      <t>Woodland CCSD No. 50</t>
    </r>
    <r>
      <rPr>
        <sz val="9"/>
        <rFont val="Calibri"/>
        <family val="2"/>
        <scheme val="minor"/>
      </rPr>
      <t xml:space="preserve"> and is presented on the </t>
    </r>
    <r>
      <rPr>
        <b/>
        <sz val="9"/>
        <rFont val="Calibri"/>
        <family val="2"/>
        <scheme val="minor"/>
      </rPr>
      <t>modified accrual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</si>
  <si>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NONE</t>
  </si>
  <si>
    <t>UNMODIFIED</t>
  </si>
  <si>
    <t>84.027 AND 84.173</t>
  </si>
  <si>
    <t>SPECIAL EDUCATION CLUSTER</t>
  </si>
  <si>
    <t>CHILD NUTRITION CLUSTER</t>
  </si>
  <si>
    <t>10.555 AND 10.553</t>
  </si>
  <si>
    <t>2019-NONE</t>
  </si>
  <si>
    <r>
      <t xml:space="preserve">The following amounts were expended in the form of non-cash assistance by </t>
    </r>
    <r>
      <rPr>
        <b/>
        <sz val="9"/>
        <rFont val="Calibri"/>
        <family val="2"/>
        <scheme val="minor"/>
      </rPr>
      <t>Woodland CCSD No. 50</t>
    </r>
    <r>
      <rPr>
        <sz val="9"/>
        <rFont val="Calibri"/>
        <family val="2"/>
        <scheme val="minor"/>
      </rPr>
      <t xml:space="preserve"> and </t>
    </r>
    <r>
      <rPr>
        <b/>
        <sz val="9"/>
        <rFont val="Calibri"/>
        <family val="2"/>
        <scheme val="minor"/>
      </rPr>
      <t>are</t>
    </r>
    <r>
      <rPr>
        <sz val="9"/>
        <rFont val="Calibri"/>
        <family val="2"/>
        <scheme val="minor"/>
      </rPr>
      <t xml:space="preserve"> included in the Schedule of Expenditures of Federal Awards:</t>
    </r>
  </si>
  <si>
    <t>PASSED THROUGH THE ILLINOIS DEPARTMENT OF HEALTHCARE AND FAMILY SERVICES</t>
  </si>
  <si>
    <t>Woodland CCSD 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</si>
</sst>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496">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5" xfId="12" applyNumberFormat="1" applyFont="1" applyBorder="1" applyAlignment="1" applyProtection="1">
      <alignment horizontal="right" vertical="center"/>
    </xf>
    <xf numFmtId="0" fontId="9" fillId="0" borderId="125" xfId="12" applyFont="1" applyBorder="1" applyAlignment="1" applyProtection="1">
      <alignment vertical="center"/>
    </xf>
    <xf numFmtId="0" fontId="12" fillId="0" borderId="128" xfId="12" applyFont="1" applyBorder="1" applyAlignment="1" applyProtection="1">
      <alignment vertical="center"/>
    </xf>
    <xf numFmtId="0" fontId="12" fillId="0" borderId="126" xfId="12" applyFont="1" applyBorder="1" applyAlignment="1" applyProtection="1">
      <alignment vertical="center"/>
    </xf>
    <xf numFmtId="1" fontId="8" fillId="0" borderId="0" xfId="0" applyNumberFormat="1" applyFont="1" applyAlignment="1">
      <alignment horizontal="center" vertical="center"/>
    </xf>
    <xf numFmtId="0" fontId="9" fillId="0" borderId="135"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9" borderId="101" xfId="0" applyFont="1" applyFill="1" applyBorder="1" applyAlignment="1">
      <alignment horizontal="center" vertical="center"/>
    </xf>
    <xf numFmtId="0" fontId="74" fillId="9" borderId="102" xfId="0" applyFont="1" applyFill="1" applyBorder="1" applyAlignment="1">
      <alignment horizontal="center" vertical="center"/>
    </xf>
    <xf numFmtId="0" fontId="52" fillId="17" borderId="121" xfId="0" applyFont="1" applyFill="1" applyBorder="1" applyAlignment="1" applyProtection="1">
      <alignment horizontal="left" vertical="center"/>
    </xf>
    <xf numFmtId="164" fontId="52" fillId="17" borderId="121" xfId="0" applyNumberFormat="1" applyFont="1" applyFill="1" applyBorder="1" applyAlignment="1" applyProtection="1">
      <alignment horizontal="center" vertical="center"/>
    </xf>
    <xf numFmtId="164" fontId="62" fillId="17" borderId="121" xfId="0" applyNumberFormat="1" applyFont="1" applyFill="1" applyBorder="1" applyAlignment="1" applyProtection="1">
      <alignment vertical="center"/>
    </xf>
    <xf numFmtId="0" fontId="75" fillId="10" borderId="122" xfId="0" applyFont="1" applyFill="1" applyBorder="1" applyAlignment="1">
      <alignment horizontal="left" vertical="center"/>
    </xf>
    <xf numFmtId="38" fontId="47" fillId="10" borderId="103" xfId="0" applyNumberFormat="1" applyFont="1" applyFill="1" applyBorder="1" applyAlignment="1">
      <alignment horizontal="right"/>
    </xf>
    <xf numFmtId="38" fontId="47" fillId="10" borderId="110" xfId="0" applyNumberFormat="1" applyFont="1" applyFill="1" applyBorder="1" applyAlignment="1">
      <alignment horizontal="right"/>
    </xf>
    <xf numFmtId="0" fontId="76" fillId="11" borderId="103" xfId="0" applyFont="1" applyFill="1" applyBorder="1" applyAlignment="1">
      <alignment vertical="center"/>
    </xf>
    <xf numFmtId="164" fontId="52" fillId="13" borderId="117"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55" fillId="13" borderId="103" xfId="0" applyFont="1" applyFill="1" applyBorder="1" applyAlignment="1" applyProtection="1">
      <alignment vertical="center"/>
    </xf>
    <xf numFmtId="38" fontId="47" fillId="11" borderId="120" xfId="0" applyNumberFormat="1" applyFont="1" applyFill="1" applyBorder="1" applyAlignment="1" applyProtection="1">
      <alignment horizontal="right"/>
      <protection locked="0"/>
    </xf>
    <xf numFmtId="38" fontId="47" fillId="11" borderId="103" xfId="0" applyNumberFormat="1" applyFont="1" applyFill="1" applyBorder="1" applyAlignment="1" applyProtection="1">
      <alignment horizontal="right"/>
      <protection locked="0"/>
    </xf>
    <xf numFmtId="38" fontId="47" fillId="11" borderId="110" xfId="0" applyNumberFormat="1" applyFont="1" applyFill="1" applyBorder="1" applyAlignment="1" applyProtection="1">
      <alignment horizontal="right"/>
      <protection locked="0"/>
    </xf>
    <xf numFmtId="0" fontId="52" fillId="17" borderId="110" xfId="0" applyFont="1" applyFill="1" applyBorder="1" applyAlignment="1" applyProtection="1">
      <alignment horizontal="center" vertical="center"/>
    </xf>
    <xf numFmtId="164" fontId="52" fillId="17" borderId="110" xfId="0" applyNumberFormat="1" applyFont="1" applyFill="1" applyBorder="1" applyAlignment="1" applyProtection="1">
      <alignment horizontal="center" vertical="center"/>
    </xf>
    <xf numFmtId="164" fontId="62" fillId="17" borderId="110" xfId="0" applyNumberFormat="1" applyFont="1" applyFill="1" applyBorder="1" applyAlignment="1" applyProtection="1">
      <alignment vertical="center"/>
    </xf>
    <xf numFmtId="0" fontId="75" fillId="10" borderId="103" xfId="0" applyFont="1" applyFill="1" applyBorder="1" applyAlignment="1">
      <alignment horizontal="left" vertical="center"/>
    </xf>
    <xf numFmtId="0" fontId="52" fillId="17" borderId="0" xfId="0" applyFont="1" applyFill="1" applyBorder="1" applyAlignment="1" applyProtection="1">
      <alignment horizontal="left" vertical="center"/>
    </xf>
    <xf numFmtId="164" fontId="52" fillId="17" borderId="0" xfId="0" applyNumberFormat="1" applyFont="1" applyFill="1" applyBorder="1" applyAlignment="1" applyProtection="1">
      <alignment horizontal="center" vertical="center"/>
    </xf>
    <xf numFmtId="164" fontId="62" fillId="17" borderId="0" xfId="0" applyNumberFormat="1" applyFont="1" applyFill="1" applyBorder="1" applyAlignment="1" applyProtection="1">
      <alignment vertical="center"/>
    </xf>
    <xf numFmtId="0" fontId="60" fillId="13" borderId="117" xfId="0" applyFont="1" applyFill="1" applyBorder="1" applyAlignment="1" applyProtection="1">
      <alignment horizontal="left" vertical="center"/>
    </xf>
    <xf numFmtId="164" fontId="52" fillId="13" borderId="110" xfId="0" applyNumberFormat="1" applyFont="1" applyFill="1" applyBorder="1" applyAlignment="1" applyProtection="1">
      <alignment horizontal="center" vertical="center"/>
    </xf>
    <xf numFmtId="164" fontId="60" fillId="13"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2" fillId="13" borderId="118" xfId="0" applyFont="1" applyFill="1" applyBorder="1" applyAlignment="1" applyProtection="1">
      <alignment horizontal="center" vertical="center"/>
    </xf>
    <xf numFmtId="164" fontId="52" fillId="13" borderId="119" xfId="0" applyNumberFormat="1" applyFont="1" applyFill="1" applyBorder="1" applyAlignment="1" applyProtection="1">
      <alignment horizontal="center" vertical="center"/>
    </xf>
    <xf numFmtId="164" fontId="62" fillId="13" borderId="119" xfId="0" applyNumberFormat="1" applyFont="1" applyFill="1" applyBorder="1" applyAlignment="1" applyProtection="1">
      <alignment vertical="center"/>
    </xf>
    <xf numFmtId="38" fontId="47" fillId="11" borderId="110" xfId="0" applyNumberFormat="1" applyFont="1" applyFill="1" applyBorder="1" applyAlignment="1">
      <alignment horizontal="right"/>
    </xf>
    <xf numFmtId="0" fontId="75" fillId="10" borderId="104" xfId="0" applyFont="1" applyFill="1" applyBorder="1" applyAlignment="1">
      <alignment horizontal="left" vertical="center"/>
    </xf>
    <xf numFmtId="38" fontId="47" fillId="10" borderId="104" xfId="0" applyNumberFormat="1" applyFont="1" applyFill="1" applyBorder="1" applyAlignment="1">
      <alignment horizontal="right"/>
    </xf>
    <xf numFmtId="38" fontId="47" fillId="10"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7" xfId="0" applyNumberFormat="1" applyFont="1" applyBorder="1" applyAlignment="1" applyProtection="1">
      <alignment horizontal="center" vertical="center"/>
    </xf>
    <xf numFmtId="38" fontId="53" fillId="0" borderId="127" xfId="0" applyNumberFormat="1" applyFont="1" applyBorder="1" applyAlignment="1" applyProtection="1">
      <alignment horizontal="right"/>
      <protection locked="0"/>
    </xf>
    <xf numFmtId="38" fontId="53" fillId="3" borderId="127"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3" xfId="0" applyNumberFormat="1" applyFont="1" applyFill="1" applyBorder="1" applyAlignment="1" applyProtection="1">
      <alignment horizontal="right"/>
      <protection locked="0"/>
    </xf>
    <xf numFmtId="38" fontId="53" fillId="0" borderId="111"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7"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7"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5"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7" xfId="0" applyFont="1" applyFill="1" applyBorder="1" applyAlignment="1">
      <alignment horizontal="center" vertical="center"/>
    </xf>
    <xf numFmtId="38" fontId="53" fillId="0" borderId="127"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5"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6" xfId="0" applyNumberFormat="1" applyFont="1" applyFill="1" applyBorder="1" applyAlignment="1">
      <alignment horizontal="center" vertical="center"/>
    </xf>
    <xf numFmtId="49" fontId="60" fillId="0" borderId="127"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7"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5"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19"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5"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5"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3" xfId="3" applyNumberFormat="1" applyFont="1" applyBorder="1" applyAlignment="1">
      <alignment horizontal="center" vertical="center"/>
    </xf>
    <xf numFmtId="0" fontId="55" fillId="0" borderId="133"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3"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2" xfId="0" applyFont="1" applyBorder="1"/>
    <xf numFmtId="0" fontId="53" fillId="0" borderId="13" xfId="0" applyFont="1" applyBorder="1"/>
    <xf numFmtId="0" fontId="53" fillId="0" borderId="125" xfId="0" applyFont="1" applyBorder="1" applyAlignment="1">
      <alignment horizontal="left" vertical="top"/>
    </xf>
    <xf numFmtId="164" fontId="111" fillId="0" borderId="128" xfId="0" applyNumberFormat="1" applyFont="1" applyBorder="1" applyAlignment="1">
      <alignment horizontal="right" vertical="top"/>
    </xf>
    <xf numFmtId="0" fontId="53" fillId="0" borderId="128" xfId="0" applyNumberFormat="1" applyFont="1" applyBorder="1" applyAlignment="1">
      <alignment horizontal="left" vertical="center" wrapText="1" indent="1"/>
    </xf>
    <xf numFmtId="0" fontId="83" fillId="0" borderId="127" xfId="0" applyFont="1" applyBorder="1" applyAlignment="1">
      <alignment horizontal="left" vertical="center" wrapText="1"/>
    </xf>
    <xf numFmtId="0" fontId="53" fillId="0" borderId="128" xfId="0" applyFont="1" applyBorder="1" applyAlignment="1">
      <alignment horizontal="left" vertical="top"/>
    </xf>
    <xf numFmtId="0" fontId="53" fillId="0" borderId="0" xfId="0" applyFont="1" applyBorder="1" applyAlignment="1">
      <alignment vertical="top"/>
    </xf>
    <xf numFmtId="0" fontId="113" fillId="0" borderId="128" xfId="0" applyNumberFormat="1" applyFont="1" applyBorder="1" applyAlignment="1">
      <alignment horizontal="left" vertical="center"/>
    </xf>
    <xf numFmtId="0" fontId="111" fillId="0" borderId="128" xfId="0" applyFont="1" applyBorder="1" applyAlignment="1">
      <alignment vertical="top"/>
    </xf>
    <xf numFmtId="0" fontId="111" fillId="0" borderId="128" xfId="0" applyFont="1" applyBorder="1" applyAlignment="1">
      <alignment horizontal="left" vertical="top"/>
    </xf>
    <xf numFmtId="0" fontId="53" fillId="0" borderId="125" xfId="0" applyFont="1" applyBorder="1" applyAlignment="1"/>
    <xf numFmtId="164" fontId="111" fillId="0" borderId="128" xfId="0" applyNumberFormat="1" applyFont="1" applyBorder="1" applyAlignment="1"/>
    <xf numFmtId="0" fontId="53" fillId="0" borderId="128" xfId="0" applyFont="1" applyBorder="1" applyAlignment="1"/>
    <xf numFmtId="0" fontId="60" fillId="0" borderId="126"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4"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5" xfId="0" applyFont="1" applyFill="1" applyBorder="1" applyAlignment="1"/>
    <xf numFmtId="0" fontId="52" fillId="0" borderId="128" xfId="0" applyFont="1" applyFill="1" applyBorder="1" applyAlignment="1">
      <alignment horizontal="left" vertical="top"/>
    </xf>
    <xf numFmtId="0" fontId="52" fillId="0" borderId="126"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6"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3" xfId="3" quotePrefix="1" applyNumberFormat="1" applyFont="1" applyBorder="1" applyAlignment="1" applyProtection="1">
      <alignment horizontal="left"/>
    </xf>
    <xf numFmtId="0" fontId="60" fillId="0" borderId="144" xfId="3" applyNumberFormat="1" applyFont="1" applyBorder="1" applyAlignment="1" applyProtection="1">
      <alignment horizontal="center"/>
    </xf>
    <xf numFmtId="0" fontId="60" fillId="0" borderId="144" xfId="3" applyNumberFormat="1" applyFont="1" applyBorder="1" applyProtection="1"/>
    <xf numFmtId="0" fontId="53" fillId="0" borderId="143" xfId="3" applyNumberFormat="1" applyFont="1" applyBorder="1" applyAlignment="1" applyProtection="1"/>
    <xf numFmtId="0" fontId="60" fillId="0" borderId="145" xfId="3" applyNumberFormat="1" applyFont="1" applyBorder="1" applyAlignment="1" applyProtection="1">
      <alignment horizontal="centerContinuous"/>
    </xf>
    <xf numFmtId="0" fontId="53" fillId="0" borderId="143" xfId="3" applyNumberFormat="1" applyFont="1" applyBorder="1" applyAlignment="1" applyProtection="1">
      <alignment horizontal="left"/>
    </xf>
    <xf numFmtId="0" fontId="60" fillId="0" borderId="145" xfId="3" applyNumberFormat="1" applyFont="1" applyBorder="1" applyProtection="1"/>
    <xf numFmtId="0" fontId="60" fillId="0" borderId="144"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3"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3" fillId="0" borderId="0" xfId="3" applyNumberFormat="1" applyFont="1" applyProtection="1"/>
    <xf numFmtId="0" fontId="60" fillId="0" borderId="0" xfId="3" quotePrefix="1" applyNumberFormat="1" applyFont="1" applyAlignment="1" applyProtection="1">
      <alignment horizontal="left"/>
    </xf>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7"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4"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8"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6" xfId="3" applyFont="1" applyBorder="1" applyProtection="1"/>
    <xf numFmtId="0" fontId="53" fillId="0" borderId="147" xfId="3" applyFont="1" applyBorder="1" applyProtection="1">
      <protection locked="0"/>
    </xf>
    <xf numFmtId="0" fontId="53" fillId="0" borderId="146"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5" xfId="3" applyNumberFormat="1" applyFont="1" applyBorder="1" applyAlignment="1" applyProtection="1">
      <alignment horizontal="center"/>
    </xf>
    <xf numFmtId="0" fontId="62" fillId="0" borderId="144" xfId="3" applyFont="1" applyBorder="1" applyAlignment="1" applyProtection="1">
      <alignment horizontal="centerContinuous"/>
    </xf>
    <xf numFmtId="0" fontId="62" fillId="0" borderId="145"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5"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0" borderId="72" xfId="3" applyFont="1" applyFill="1" applyBorder="1" applyAlignment="1" applyProtection="1">
      <alignment horizontal="center"/>
    </xf>
    <xf numFmtId="0" fontId="62" fillId="21"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0"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1"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0" borderId="0" xfId="3" applyFont="1" applyFill="1" applyProtection="1"/>
    <xf numFmtId="169" fontId="55" fillId="20" borderId="0" xfId="3" applyNumberFormat="1" applyFont="1" applyFill="1" applyProtection="1"/>
    <xf numFmtId="1" fontId="55" fillId="20" borderId="0" xfId="3" applyNumberFormat="1" applyFont="1" applyFill="1" applyProtection="1"/>
    <xf numFmtId="0" fontId="55" fillId="20"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4" xfId="3" applyFont="1" applyBorder="1" applyProtection="1"/>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4" xfId="3" quotePrefix="1" applyFont="1" applyBorder="1" applyAlignment="1" applyProtection="1">
      <alignment horizontal="left"/>
    </xf>
    <xf numFmtId="0" fontId="53" fillId="0" borderId="144" xfId="3" applyFont="1" applyBorder="1" applyProtection="1"/>
    <xf numFmtId="0" fontId="53" fillId="0" borderId="144"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4" xfId="3" applyFont="1" applyBorder="1" applyProtection="1"/>
    <xf numFmtId="0" fontId="55" fillId="0" borderId="0" xfId="3" applyFont="1" applyBorder="1" applyAlignment="1" applyProtection="1">
      <alignment horizontal="left"/>
    </xf>
    <xf numFmtId="0" fontId="62" fillId="0" borderId="144" xfId="3" applyFont="1" applyBorder="1" applyAlignment="1" applyProtection="1">
      <alignment horizontal="left"/>
    </xf>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4"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9"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70" fillId="0" borderId="151" xfId="3" applyFont="1" applyBorder="1" applyAlignment="1" applyProtection="1">
      <alignment horizontal="left"/>
    </xf>
    <xf numFmtId="0" fontId="55" fillId="0" borderId="151" xfId="3" applyFont="1" applyBorder="1" applyProtection="1"/>
    <xf numFmtId="0" fontId="55" fillId="0" borderId="151"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8"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9"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7" xfId="0" applyNumberFormat="1" applyFont="1" applyBorder="1" applyAlignment="1">
      <alignment horizontal="left" vertical="center" wrapText="1" indent="1"/>
    </xf>
    <xf numFmtId="3" fontId="60" fillId="0" borderId="125"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7"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7" xfId="0" applyNumberFormat="1" applyFont="1" applyFill="1" applyBorder="1" applyAlignment="1" applyProtection="1">
      <alignment horizontal="right" vertical="center"/>
      <protection locked="0"/>
    </xf>
    <xf numFmtId="38" fontId="52" fillId="6" borderId="155" xfId="0" applyNumberFormat="1" applyFont="1" applyFill="1" applyBorder="1" applyAlignment="1">
      <alignment horizontal="center" vertical="center" wrapText="1"/>
    </xf>
    <xf numFmtId="38" fontId="52" fillId="6" borderId="155" xfId="0" applyNumberFormat="1" applyFont="1" applyFill="1" applyBorder="1" applyAlignment="1">
      <alignment horizontal="center" vertical="top" wrapText="1"/>
    </xf>
    <xf numFmtId="38" fontId="62" fillId="6" borderId="155"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0" xfId="17" applyFont="1" applyBorder="1" applyAlignment="1">
      <alignment horizontal="left" vertical="top"/>
    </xf>
    <xf numFmtId="0" fontId="124" fillId="0" borderId="141" xfId="17" applyFont="1" applyBorder="1" applyAlignment="1">
      <alignment horizontal="center" vertical="top"/>
    </xf>
    <xf numFmtId="0" fontId="124" fillId="0" borderId="142"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2" borderId="157" xfId="17" applyNumberFormat="1" applyFill="1" applyBorder="1" applyAlignment="1">
      <alignment horizontal="right" vertical="top"/>
    </xf>
    <xf numFmtId="38" fontId="5" fillId="22" borderId="158"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3" borderId="156" xfId="17" applyFont="1" applyFill="1" applyBorder="1" applyAlignment="1">
      <alignment horizontal="center" vertical="center" wrapText="1"/>
    </xf>
    <xf numFmtId="38" fontId="123" fillId="23" borderId="156" xfId="17" applyNumberFormat="1" applyFont="1" applyFill="1" applyBorder="1" applyAlignment="1">
      <alignment horizontal="center" vertical="center" wrapText="1"/>
    </xf>
    <xf numFmtId="3" fontId="53" fillId="23" borderId="131" xfId="0" applyNumberFormat="1" applyFont="1" applyFill="1" applyBorder="1" applyAlignment="1">
      <alignment horizontal="center"/>
    </xf>
    <xf numFmtId="3" fontId="53" fillId="23" borderId="131" xfId="0" applyNumberFormat="1" applyFont="1" applyFill="1" applyBorder="1" applyAlignment="1">
      <alignment horizontal="right"/>
    </xf>
    <xf numFmtId="3" fontId="53" fillId="23" borderId="132"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5"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7" borderId="14" xfId="0" applyFont="1" applyFill="1" applyBorder="1" applyAlignment="1" applyProtection="1">
      <alignment horizontal="left" vertical="center"/>
    </xf>
    <xf numFmtId="0" fontId="62" fillId="17" borderId="2" xfId="0" applyFont="1" applyFill="1" applyBorder="1" applyAlignment="1" applyProtection="1">
      <alignment horizontal="center" vertical="top"/>
    </xf>
    <xf numFmtId="0" fontId="62" fillId="17"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7" borderId="20" xfId="0" applyNumberFormat="1" applyFont="1" applyFill="1" applyBorder="1" applyAlignment="1" applyProtection="1">
      <alignment horizontal="left" vertical="center"/>
    </xf>
    <xf numFmtId="0" fontId="62" fillId="17" borderId="2" xfId="0" applyFont="1" applyFill="1" applyBorder="1" applyAlignment="1">
      <alignment horizontal="center" vertical="center"/>
    </xf>
    <xf numFmtId="164" fontId="62" fillId="17" borderId="20" xfId="0" applyNumberFormat="1" applyFont="1" applyFill="1" applyBorder="1" applyAlignment="1" applyProtection="1">
      <alignment horizontal="left" vertical="center"/>
    </xf>
    <xf numFmtId="0" fontId="62" fillId="17" borderId="29" xfId="0" applyFont="1" applyFill="1" applyBorder="1" applyAlignment="1" applyProtection="1">
      <alignment horizontal="center" vertical="center"/>
    </xf>
    <xf numFmtId="0" fontId="62" fillId="17" borderId="127" xfId="0" applyFont="1" applyFill="1" applyBorder="1" applyAlignment="1" applyProtection="1">
      <alignment horizontal="center" vertical="center"/>
    </xf>
    <xf numFmtId="164" fontId="62" fillId="17" borderId="21" xfId="0" applyNumberFormat="1" applyFont="1" applyFill="1" applyBorder="1" applyAlignment="1" applyProtection="1">
      <alignment horizontal="left" vertical="center"/>
    </xf>
    <xf numFmtId="0" fontId="62" fillId="17" borderId="14" xfId="0" applyFont="1" applyFill="1" applyBorder="1" applyAlignment="1" applyProtection="1">
      <alignment horizontal="center" vertical="center"/>
    </xf>
    <xf numFmtId="0" fontId="62" fillId="17" borderId="31" xfId="0" applyFont="1" applyFill="1" applyBorder="1" applyAlignment="1" applyProtection="1">
      <alignment horizontal="center" vertical="center"/>
    </xf>
    <xf numFmtId="164" fontId="62" fillId="15" borderId="21" xfId="0" applyNumberFormat="1" applyFont="1" applyFill="1" applyBorder="1" applyAlignment="1" applyProtection="1">
      <alignment horizontal="left" vertical="center" indent="1"/>
    </xf>
    <xf numFmtId="0" fontId="60" fillId="15" borderId="14" xfId="0" applyFont="1" applyFill="1" applyBorder="1" applyAlignment="1" applyProtection="1">
      <alignment horizontal="center" vertical="center"/>
    </xf>
    <xf numFmtId="164" fontId="62" fillId="15" borderId="20" xfId="0" applyNumberFormat="1" applyFont="1" applyFill="1" applyBorder="1" applyAlignment="1" applyProtection="1">
      <alignment horizontal="left" vertical="center" indent="1"/>
    </xf>
    <xf numFmtId="1" fontId="60" fillId="15" borderId="11" xfId="0" applyNumberFormat="1" applyFont="1" applyFill="1" applyBorder="1" applyAlignment="1" applyProtection="1">
      <alignment horizontal="center" vertical="center"/>
    </xf>
    <xf numFmtId="1" fontId="60" fillId="15" borderId="4" xfId="0" applyNumberFormat="1" applyFont="1" applyFill="1" applyBorder="1" applyAlignment="1" applyProtection="1">
      <alignment horizontal="center" vertical="center"/>
    </xf>
    <xf numFmtId="0" fontId="62" fillId="15" borderId="21" xfId="0" applyFont="1" applyFill="1" applyBorder="1" applyAlignment="1">
      <alignment horizontal="left" vertical="center" indent="1"/>
    </xf>
    <xf numFmtId="0" fontId="60" fillId="15" borderId="14" xfId="0" applyFont="1" applyFill="1" applyBorder="1" applyAlignment="1">
      <alignment horizontal="left" vertical="center"/>
    </xf>
    <xf numFmtId="0" fontId="60" fillId="15" borderId="11" xfId="0" applyFont="1" applyFill="1" applyBorder="1" applyAlignment="1" applyProtection="1">
      <alignment horizontal="center" vertical="center"/>
    </xf>
    <xf numFmtId="3" fontId="62" fillId="17" borderId="125" xfId="0" applyNumberFormat="1" applyFont="1" applyFill="1" applyBorder="1" applyAlignment="1">
      <alignment horizontal="left" vertical="center" wrapText="1"/>
    </xf>
    <xf numFmtId="49" fontId="62" fillId="17" borderId="127" xfId="0" applyNumberFormat="1" applyFont="1" applyFill="1" applyBorder="1" applyAlignment="1">
      <alignment horizontal="center" vertical="center"/>
    </xf>
    <xf numFmtId="0" fontId="62" fillId="17" borderId="17" xfId="0" applyFont="1" applyFill="1" applyBorder="1" applyAlignment="1">
      <alignment horizontal="left" vertical="center" wrapText="1"/>
    </xf>
    <xf numFmtId="49" fontId="62" fillId="17" borderId="29" xfId="0" applyNumberFormat="1" applyFont="1" applyFill="1" applyBorder="1" applyAlignment="1">
      <alignment horizontal="center" vertical="center"/>
    </xf>
    <xf numFmtId="3" fontId="62" fillId="17" borderId="33" xfId="0" applyNumberFormat="1" applyFont="1" applyFill="1" applyBorder="1" applyAlignment="1">
      <alignment horizontal="left" vertical="center" wrapText="1"/>
    </xf>
    <xf numFmtId="49" fontId="62" fillId="17" borderId="33" xfId="0" applyNumberFormat="1" applyFont="1" applyFill="1" applyBorder="1" applyAlignment="1">
      <alignment horizontal="center" vertical="center"/>
    </xf>
    <xf numFmtId="164" fontId="62" fillId="17" borderId="125" xfId="0" applyNumberFormat="1" applyFont="1" applyFill="1" applyBorder="1" applyAlignment="1">
      <alignment horizontal="left" vertical="center" wrapText="1"/>
    </xf>
    <xf numFmtId="49" fontId="62" fillId="17" borderId="4" xfId="0" applyNumberFormat="1" applyFont="1" applyFill="1" applyBorder="1" applyAlignment="1">
      <alignment horizontal="center" vertical="center"/>
    </xf>
    <xf numFmtId="3" fontId="62" fillId="17" borderId="13" xfId="0" applyNumberFormat="1" applyFont="1" applyFill="1" applyBorder="1" applyAlignment="1">
      <alignment horizontal="left" vertical="center" wrapText="1"/>
    </xf>
    <xf numFmtId="49" fontId="62" fillId="17" borderId="2" xfId="0" applyNumberFormat="1" applyFont="1" applyFill="1" applyBorder="1" applyAlignment="1">
      <alignment horizontal="center" vertical="center"/>
    </xf>
    <xf numFmtId="164" fontId="62" fillId="17" borderId="17" xfId="0" applyNumberFormat="1" applyFont="1" applyFill="1" applyBorder="1" applyAlignment="1">
      <alignment horizontal="left" vertical="center" wrapText="1"/>
    </xf>
    <xf numFmtId="0" fontId="62" fillId="17" borderId="36" xfId="0" applyFont="1" applyFill="1" applyBorder="1" applyAlignment="1">
      <alignment horizontal="left" vertical="center" wrapText="1"/>
    </xf>
    <xf numFmtId="49" fontId="62" fillId="17" borderId="27" xfId="0" applyNumberFormat="1" applyFont="1" applyFill="1" applyBorder="1" applyAlignment="1">
      <alignment horizontal="center" vertical="center"/>
    </xf>
    <xf numFmtId="3" fontId="62" fillId="17" borderId="37" xfId="0" applyNumberFormat="1" applyFont="1" applyFill="1" applyBorder="1" applyAlignment="1">
      <alignment horizontal="left" vertical="center" wrapText="1"/>
    </xf>
    <xf numFmtId="0" fontId="62" fillId="17" borderId="13" xfId="0" applyFont="1" applyFill="1" applyBorder="1" applyAlignment="1">
      <alignment horizontal="left" vertical="center" wrapText="1"/>
    </xf>
    <xf numFmtId="49" fontId="62" fillId="17" borderId="14" xfId="0" applyNumberFormat="1" applyFont="1" applyFill="1" applyBorder="1" applyAlignment="1">
      <alignment horizontal="center" vertical="center"/>
    </xf>
    <xf numFmtId="0" fontId="62" fillId="17" borderId="37" xfId="0" applyFont="1" applyFill="1" applyBorder="1" applyAlignment="1">
      <alignment horizontal="left" vertical="center" wrapText="1"/>
    </xf>
    <xf numFmtId="164" fontId="62" fillId="17" borderId="13" xfId="0" applyNumberFormat="1" applyFont="1" applyFill="1" applyBorder="1" applyAlignment="1">
      <alignment horizontal="left" vertical="center" wrapText="1"/>
    </xf>
    <xf numFmtId="0" fontId="62" fillId="17" borderId="127" xfId="0" applyFont="1" applyFill="1" applyBorder="1" applyAlignment="1">
      <alignment horizontal="left" vertical="center" wrapText="1"/>
    </xf>
    <xf numFmtId="3" fontId="62" fillId="17" borderId="127"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7" borderId="50" xfId="0" applyFont="1" applyFill="1" applyBorder="1" applyAlignment="1" applyProtection="1">
      <alignment horizontal="left" vertical="center"/>
    </xf>
    <xf numFmtId="0" fontId="62" fillId="17" borderId="22" xfId="0" applyFont="1" applyFill="1" applyBorder="1" applyAlignment="1" applyProtection="1">
      <alignment horizontal="center" vertical="center"/>
    </xf>
    <xf numFmtId="0" fontId="62" fillId="17" borderId="46" xfId="0" applyFont="1" applyFill="1" applyBorder="1" applyAlignment="1" applyProtection="1">
      <alignment horizontal="left" vertical="center"/>
    </xf>
    <xf numFmtId="0" fontId="62" fillId="17" borderId="46" xfId="0" applyFont="1" applyFill="1" applyBorder="1" applyAlignment="1" applyProtection="1">
      <alignment horizontal="left" vertical="center" wrapText="1"/>
    </xf>
    <xf numFmtId="0" fontId="62" fillId="17"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5" borderId="12" xfId="0" applyFont="1" applyFill="1" applyBorder="1" applyAlignment="1" applyProtection="1">
      <alignment vertical="center"/>
    </xf>
    <xf numFmtId="0" fontId="62" fillId="0" borderId="159" xfId="0" applyFont="1" applyBorder="1" applyAlignment="1">
      <alignment horizontal="centerContinuous" vertical="center"/>
    </xf>
    <xf numFmtId="0" fontId="53" fillId="0" borderId="160" xfId="0" applyFont="1" applyBorder="1" applyAlignment="1">
      <alignment horizontal="centerContinuous" vertical="center"/>
    </xf>
    <xf numFmtId="0" fontId="55" fillId="0" borderId="160" xfId="0" applyFont="1" applyBorder="1" applyAlignment="1">
      <alignment horizontal="centerContinuous" vertical="center"/>
    </xf>
    <xf numFmtId="0" fontId="62" fillId="0" borderId="105"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5" fillId="20" borderId="157" xfId="17" applyFont="1" applyFill="1" applyBorder="1" applyAlignment="1" applyProtection="1">
      <alignment horizontal="left" vertical="top" wrapText="1"/>
    </xf>
    <xf numFmtId="49" fontId="125" fillId="20" borderId="157" xfId="17" applyNumberFormat="1" applyFont="1" applyFill="1" applyBorder="1" applyAlignment="1" applyProtection="1">
      <alignment horizontal="center" vertical="top"/>
    </xf>
    <xf numFmtId="0" fontId="125" fillId="20" borderId="157" xfId="17" applyFont="1" applyFill="1" applyBorder="1" applyAlignment="1" applyProtection="1">
      <alignment vertical="top"/>
    </xf>
    <xf numFmtId="38" fontId="125" fillId="20" borderId="157" xfId="17" applyNumberFormat="1" applyFont="1" applyFill="1" applyBorder="1" applyAlignment="1" applyProtection="1">
      <alignment horizontal="right" vertical="top"/>
    </xf>
    <xf numFmtId="38" fontId="125" fillId="20" borderId="157" xfId="17" applyNumberFormat="1" applyFont="1" applyFill="1" applyBorder="1" applyAlignment="1" applyProtection="1">
      <alignment vertical="top"/>
    </xf>
    <xf numFmtId="0" fontId="5" fillId="0" borderId="157" xfId="17" applyBorder="1" applyAlignment="1" applyProtection="1">
      <alignment horizontal="left" vertical="top" wrapText="1"/>
      <protection locked="0"/>
    </xf>
    <xf numFmtId="0" fontId="5" fillId="0" borderId="157" xfId="17" applyBorder="1" applyAlignment="1" applyProtection="1">
      <alignment vertical="top"/>
      <protection locked="0"/>
    </xf>
    <xf numFmtId="0" fontId="4" fillId="0" borderId="157" xfId="17" applyFont="1" applyBorder="1" applyAlignment="1" applyProtection="1">
      <alignment horizontal="left" vertical="top" wrapText="1"/>
      <protection locked="0"/>
    </xf>
    <xf numFmtId="0" fontId="4" fillId="0" borderId="157"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7" xfId="17" applyNumberFormat="1" applyBorder="1" applyAlignment="1" applyProtection="1">
      <alignment horizontal="center" vertical="center"/>
      <protection locked="0"/>
    </xf>
    <xf numFmtId="49" fontId="3" fillId="0" borderId="157" xfId="17" applyNumberFormat="1" applyFont="1" applyBorder="1" applyAlignment="1" applyProtection="1">
      <alignment horizontal="center" vertical="center"/>
      <protection locked="0"/>
    </xf>
    <xf numFmtId="3" fontId="62" fillId="16" borderId="36" xfId="0" applyNumberFormat="1" applyFont="1" applyFill="1" applyBorder="1" applyAlignment="1">
      <alignment horizontal="left" vertical="center" wrapText="1" indent="1"/>
    </xf>
    <xf numFmtId="49" fontId="62" fillId="16" borderId="27" xfId="0" applyNumberFormat="1" applyFont="1" applyFill="1" applyBorder="1" applyAlignment="1">
      <alignment horizontal="center" vertical="center"/>
    </xf>
    <xf numFmtId="38" fontId="53" fillId="16" borderId="27" xfId="0" applyNumberFormat="1" applyFont="1" applyFill="1" applyBorder="1" applyAlignment="1">
      <alignment horizontal="right"/>
    </xf>
    <xf numFmtId="38" fontId="53" fillId="16" borderId="2" xfId="0" applyNumberFormat="1" applyFont="1" applyFill="1" applyBorder="1" applyAlignment="1">
      <alignment horizontal="right"/>
    </xf>
    <xf numFmtId="38" fontId="53" fillId="16" borderId="4" xfId="0" applyNumberFormat="1" applyFont="1" applyFill="1" applyBorder="1" applyAlignment="1">
      <alignment horizontal="right"/>
    </xf>
    <xf numFmtId="49" fontId="62" fillId="16" borderId="36" xfId="0" applyNumberFormat="1" applyFont="1" applyFill="1" applyBorder="1" applyAlignment="1">
      <alignment horizontal="center" vertical="center"/>
    </xf>
    <xf numFmtId="38" fontId="53" fillId="16" borderId="30" xfId="0" applyNumberFormat="1" applyFont="1" applyFill="1" applyBorder="1" applyAlignment="1">
      <alignment horizontal="right"/>
    </xf>
    <xf numFmtId="49" fontId="62" fillId="16" borderId="30" xfId="0" applyNumberFormat="1" applyFont="1" applyFill="1" applyBorder="1" applyAlignment="1">
      <alignment horizontal="center" vertical="center"/>
    </xf>
    <xf numFmtId="0" fontId="62" fillId="16" borderId="32" xfId="0" applyNumberFormat="1" applyFont="1" applyFill="1" applyBorder="1" applyAlignment="1">
      <alignment horizontal="center" vertical="center"/>
    </xf>
    <xf numFmtId="38" fontId="53" fillId="16" borderId="32" xfId="0" applyNumberFormat="1" applyFont="1" applyFill="1" applyBorder="1" applyAlignment="1">
      <alignment horizontal="right"/>
    </xf>
    <xf numFmtId="0" fontId="62" fillId="16" borderId="27" xfId="0" applyFont="1" applyFill="1" applyBorder="1" applyAlignment="1">
      <alignment horizontal="center" vertical="center"/>
    </xf>
    <xf numFmtId="38" fontId="53" fillId="16" borderId="33" xfId="0" applyNumberFormat="1" applyFont="1" applyFill="1" applyBorder="1" applyAlignment="1">
      <alignment horizontal="right"/>
    </xf>
    <xf numFmtId="3" fontId="62" fillId="16" borderId="27" xfId="0" applyNumberFormat="1" applyFont="1" applyFill="1" applyBorder="1" applyAlignment="1">
      <alignment horizontal="left" vertical="center" indent="1"/>
    </xf>
    <xf numFmtId="0" fontId="62" fillId="16" borderId="27" xfId="0" applyFont="1" applyFill="1" applyBorder="1" applyAlignment="1">
      <alignment horizontal="center" vertical="top"/>
    </xf>
    <xf numFmtId="0" fontId="55" fillId="16" borderId="30" xfId="0" applyFont="1" applyFill="1" applyBorder="1" applyAlignment="1">
      <alignment horizontal="left" vertical="center" indent="1"/>
    </xf>
    <xf numFmtId="38" fontId="53" fillId="16" borderId="26" xfId="0" applyNumberFormat="1" applyFont="1" applyFill="1" applyBorder="1" applyAlignment="1">
      <alignment horizontal="right"/>
    </xf>
    <xf numFmtId="38" fontId="53" fillId="16" borderId="28" xfId="0" applyNumberFormat="1" applyFont="1" applyFill="1" applyBorder="1" applyAlignment="1">
      <alignment horizontal="right"/>
    </xf>
    <xf numFmtId="38" fontId="53" fillId="16" borderId="29" xfId="0" applyNumberFormat="1" applyFont="1" applyFill="1" applyBorder="1" applyAlignment="1">
      <alignment horizontal="right"/>
    </xf>
    <xf numFmtId="3" fontId="62" fillId="16" borderId="55" xfId="0" applyNumberFormat="1" applyFont="1" applyFill="1" applyBorder="1" applyAlignment="1">
      <alignment horizontal="left" vertical="center" wrapText="1" indent="1"/>
    </xf>
    <xf numFmtId="49" fontId="62" fillId="16" borderId="32" xfId="0" applyNumberFormat="1" applyFont="1" applyFill="1" applyBorder="1" applyAlignment="1">
      <alignment horizontal="center" vertical="center"/>
    </xf>
    <xf numFmtId="38" fontId="53" fillId="16" borderId="27" xfId="0" applyNumberFormat="1" applyFont="1" applyFill="1" applyBorder="1" applyAlignment="1" applyProtection="1">
      <alignment horizontal="right"/>
    </xf>
    <xf numFmtId="3" fontId="62" fillId="16" borderId="55" xfId="0" applyNumberFormat="1" applyFont="1" applyFill="1" applyBorder="1" applyAlignment="1">
      <alignment horizontal="left" vertical="top" wrapText="1" indent="1"/>
    </xf>
    <xf numFmtId="49" fontId="60" fillId="16" borderId="51" xfId="0" applyNumberFormat="1" applyFont="1" applyFill="1" applyBorder="1" applyAlignment="1">
      <alignment horizontal="center" vertical="top"/>
    </xf>
    <xf numFmtId="3" fontId="62" fillId="16" borderId="27" xfId="0" applyNumberFormat="1" applyFont="1" applyFill="1" applyBorder="1" applyAlignment="1">
      <alignment horizontal="left" vertical="center" wrapText="1" indent="1"/>
    </xf>
    <xf numFmtId="3" fontId="62" fillId="16" borderId="36" xfId="0" applyNumberFormat="1" applyFont="1" applyFill="1" applyBorder="1" applyAlignment="1">
      <alignment horizontal="left" vertical="top" wrapText="1" indent="1"/>
    </xf>
    <xf numFmtId="0" fontId="60" fillId="16" borderId="30" xfId="0" applyFont="1" applyFill="1" applyBorder="1" applyAlignment="1">
      <alignment vertical="top"/>
    </xf>
    <xf numFmtId="3" fontId="62" fillId="16" borderId="36" xfId="0" applyNumberFormat="1" applyFont="1" applyFill="1" applyBorder="1" applyAlignment="1">
      <alignment horizontal="left" vertical="center" indent="1"/>
    </xf>
    <xf numFmtId="0" fontId="62" fillId="16" borderId="30" xfId="0" applyFont="1" applyFill="1" applyBorder="1" applyAlignment="1">
      <alignment horizontal="center" vertical="center"/>
    </xf>
    <xf numFmtId="0" fontId="62" fillId="16" borderId="27" xfId="0" applyFont="1" applyFill="1" applyBorder="1" applyAlignment="1">
      <alignment horizontal="center" vertical="center" wrapText="1"/>
    </xf>
    <xf numFmtId="49" fontId="62" fillId="16" borderId="27" xfId="0" applyNumberFormat="1" applyFont="1" applyFill="1" applyBorder="1" applyAlignment="1">
      <alignment horizontal="center" vertical="top" wrapText="1"/>
    </xf>
    <xf numFmtId="3" fontId="62" fillId="16" borderId="36" xfId="0" applyNumberFormat="1" applyFont="1" applyFill="1" applyBorder="1" applyAlignment="1">
      <alignment horizontal="left" vertical="top" indent="1"/>
    </xf>
    <xf numFmtId="38" fontId="53" fillId="16" borderId="3" xfId="0" applyNumberFormat="1" applyFont="1" applyFill="1" applyBorder="1" applyAlignment="1">
      <alignment horizontal="right"/>
    </xf>
    <xf numFmtId="0" fontId="62" fillId="16" borderId="36" xfId="0" applyFont="1" applyFill="1" applyBorder="1" applyAlignment="1">
      <alignment horizontal="left" vertical="center" wrapText="1" indent="1"/>
    </xf>
    <xf numFmtId="49" fontId="60" fillId="16" borderId="51" xfId="0" applyNumberFormat="1" applyFont="1" applyFill="1" applyBorder="1" applyAlignment="1">
      <alignment horizontal="center" vertical="center"/>
    </xf>
    <xf numFmtId="38" fontId="53" fillId="16" borderId="33" xfId="0" applyNumberFormat="1" applyFont="1" applyFill="1" applyBorder="1" applyAlignment="1" applyProtection="1">
      <alignment horizontal="right"/>
    </xf>
    <xf numFmtId="38" fontId="53" fillId="16" borderId="32" xfId="0" applyNumberFormat="1" applyFont="1" applyFill="1" applyBorder="1" applyAlignment="1" applyProtection="1">
      <alignment horizontal="right"/>
    </xf>
    <xf numFmtId="0" fontId="60"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center" wrapText="1" indent="1"/>
    </xf>
    <xf numFmtId="0" fontId="60" fillId="16" borderId="30" xfId="0" applyFont="1" applyFill="1" applyBorder="1" applyAlignment="1" applyProtection="1">
      <alignment horizontal="left" vertical="center"/>
    </xf>
    <xf numFmtId="38" fontId="53" fillId="16" borderId="36" xfId="0" applyNumberFormat="1" applyFont="1" applyFill="1" applyBorder="1" applyAlignment="1" applyProtection="1">
      <alignment horizontal="right"/>
    </xf>
    <xf numFmtId="0" fontId="62" fillId="16" borderId="35" xfId="0" applyFont="1" applyFill="1" applyBorder="1" applyAlignment="1" applyProtection="1">
      <alignment horizontal="left" vertical="center" indent="1"/>
    </xf>
    <xf numFmtId="0" fontId="60" fillId="16" borderId="30" xfId="0" applyFont="1" applyFill="1" applyBorder="1" applyAlignment="1" applyProtection="1">
      <alignment horizontal="center" vertical="center"/>
    </xf>
    <xf numFmtId="37" fontId="53" fillId="16" borderId="36" xfId="0" applyNumberFormat="1" applyFont="1" applyFill="1" applyBorder="1" applyAlignment="1" applyProtection="1">
      <alignment horizontal="right"/>
    </xf>
    <xf numFmtId="37" fontId="53" fillId="16" borderId="27" xfId="0" applyNumberFormat="1" applyFont="1" applyFill="1" applyBorder="1" applyAlignment="1" applyProtection="1">
      <alignment horizontal="right"/>
    </xf>
    <xf numFmtId="0" fontId="60"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top" wrapText="1" indent="1"/>
    </xf>
    <xf numFmtId="49" fontId="62" fillId="16" borderId="33" xfId="0" applyNumberFormat="1" applyFont="1" applyFill="1" applyBorder="1" applyAlignment="1">
      <alignment horizontal="center" vertical="center"/>
    </xf>
    <xf numFmtId="38" fontId="53" fillId="16" borderId="37" xfId="0" applyNumberFormat="1" applyFont="1" applyFill="1" applyBorder="1" applyAlignment="1" applyProtection="1">
      <alignment horizontal="right"/>
    </xf>
    <xf numFmtId="49" fontId="62" fillId="16" borderId="35" xfId="0" applyNumberFormat="1" applyFont="1" applyFill="1" applyBorder="1" applyAlignment="1" applyProtection="1">
      <alignment horizontal="left" vertical="top" indent="1"/>
    </xf>
    <xf numFmtId="49" fontId="62" fillId="16" borderId="27" xfId="0" applyNumberFormat="1" applyFont="1" applyFill="1" applyBorder="1" applyAlignment="1">
      <alignment horizontal="center" vertical="top"/>
    </xf>
    <xf numFmtId="38" fontId="53" fillId="16" borderId="12" xfId="0" applyNumberFormat="1" applyFont="1" applyFill="1" applyBorder="1" applyAlignment="1" applyProtection="1">
      <alignment horizontal="right"/>
    </xf>
    <xf numFmtId="49" fontId="60" fillId="16" borderId="30" xfId="0" applyNumberFormat="1" applyFont="1" applyFill="1" applyBorder="1" applyAlignment="1" applyProtection="1">
      <alignment horizontal="center" vertical="center"/>
    </xf>
    <xf numFmtId="1" fontId="60" fillId="16" borderId="30"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55" xfId="0" applyNumberFormat="1" applyFont="1" applyFill="1" applyBorder="1" applyAlignment="1" applyProtection="1">
      <alignment horizontal="right"/>
    </xf>
    <xf numFmtId="0" fontId="62" fillId="16" borderId="35" xfId="0" applyFont="1" applyFill="1" applyBorder="1" applyAlignment="1" applyProtection="1">
      <alignment horizontal="left" indent="1"/>
    </xf>
    <xf numFmtId="0" fontId="60" fillId="16" borderId="30" xfId="0" applyFont="1" applyFill="1" applyBorder="1" applyAlignment="1" applyProtection="1">
      <alignment horizontal="center"/>
    </xf>
    <xf numFmtId="0" fontId="62" fillId="16" borderId="36" xfId="0" applyFont="1" applyFill="1" applyBorder="1" applyAlignment="1" applyProtection="1">
      <alignment horizontal="left" vertical="center" indent="1"/>
    </xf>
    <xf numFmtId="0" fontId="60" fillId="16" borderId="27" xfId="0" applyFont="1" applyFill="1" applyBorder="1" applyAlignment="1" applyProtection="1">
      <alignment horizontal="center" vertical="center"/>
    </xf>
    <xf numFmtId="0" fontId="62" fillId="16" borderId="30" xfId="0" applyFont="1" applyFill="1" applyBorder="1" applyAlignment="1">
      <alignment vertical="center"/>
    </xf>
    <xf numFmtId="49" fontId="62" fillId="16" borderId="33" xfId="0" applyNumberFormat="1" applyFont="1" applyFill="1" applyBorder="1" applyAlignment="1" applyProtection="1">
      <alignment horizontal="left" vertical="center" wrapText="1" indent="1"/>
    </xf>
    <xf numFmtId="49" fontId="62" fillId="16" borderId="53" xfId="0" applyNumberFormat="1" applyFont="1" applyFill="1" applyBorder="1" applyAlignment="1">
      <alignment horizontal="center" vertical="center"/>
    </xf>
    <xf numFmtId="0" fontId="62" fillId="16" borderId="52" xfId="0" applyFont="1" applyFill="1" applyBorder="1" applyAlignment="1" applyProtection="1">
      <alignment horizontal="left" wrapText="1" indent="1"/>
    </xf>
    <xf numFmtId="0" fontId="60" fillId="16" borderId="53" xfId="0" applyFont="1" applyFill="1" applyBorder="1" applyAlignment="1" applyProtection="1">
      <alignment horizontal="left" indent="2"/>
    </xf>
    <xf numFmtId="176" fontId="55" fillId="16" borderId="2" xfId="0" applyNumberFormat="1" applyFont="1" applyFill="1" applyBorder="1" applyAlignment="1" applyProtection="1">
      <alignment vertical="center"/>
    </xf>
    <xf numFmtId="38" fontId="55" fillId="16" borderId="2"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vertical="center"/>
    </xf>
    <xf numFmtId="37" fontId="55" fillId="16" borderId="13" xfId="5" applyNumberFormat="1" applyFont="1" applyFill="1" applyBorder="1" applyAlignment="1" applyProtection="1">
      <alignment horizontal="right"/>
    </xf>
    <xf numFmtId="0" fontId="62" fillId="16" borderId="35" xfId="0" applyFont="1" applyFill="1" applyBorder="1" applyAlignment="1" applyProtection="1">
      <alignment horizontal="left" vertical="center" indent="2"/>
    </xf>
    <xf numFmtId="38" fontId="53" fillId="16" borderId="30" xfId="0" applyNumberFormat="1" applyFont="1" applyFill="1" applyBorder="1" applyAlignment="1" applyProtection="1">
      <alignment horizontal="right"/>
    </xf>
    <xf numFmtId="0" fontId="62" fillId="16" borderId="20" xfId="0" applyFont="1" applyFill="1" applyBorder="1" applyAlignment="1" applyProtection="1">
      <alignment horizontal="left" vertical="center" indent="2"/>
    </xf>
    <xf numFmtId="0" fontId="62" fillId="16" borderId="14" xfId="0" applyFont="1" applyFill="1" applyBorder="1" applyAlignment="1" applyProtection="1">
      <alignment horizontal="center" vertical="center"/>
    </xf>
    <xf numFmtId="38" fontId="53" fillId="16" borderId="26" xfId="0" applyNumberFormat="1" applyFont="1" applyFill="1" applyBorder="1" applyAlignment="1" applyProtection="1">
      <alignment horizontal="right"/>
    </xf>
    <xf numFmtId="0" fontId="62" fillId="16" borderId="30" xfId="0" applyFont="1" applyFill="1" applyBorder="1" applyAlignment="1" applyProtection="1">
      <alignment horizontal="center" vertical="center"/>
    </xf>
    <xf numFmtId="38" fontId="53" fillId="16" borderId="4" xfId="0" applyNumberFormat="1" applyFont="1" applyFill="1" applyBorder="1" applyAlignment="1" applyProtection="1">
      <alignment horizontal="right"/>
    </xf>
    <xf numFmtId="38" fontId="53" fillId="16" borderId="2" xfId="0" applyNumberFormat="1" applyFont="1" applyFill="1" applyBorder="1" applyAlignment="1" applyProtection="1">
      <alignment horizontal="right"/>
    </xf>
    <xf numFmtId="0" fontId="71" fillId="16" borderId="20" xfId="0" applyFont="1" applyFill="1" applyBorder="1" applyAlignment="1" applyProtection="1">
      <alignment horizontal="left" vertical="center" indent="1"/>
    </xf>
    <xf numFmtId="0" fontId="60" fillId="16" borderId="4" xfId="0" applyFont="1" applyFill="1" applyBorder="1" applyAlignment="1" applyProtection="1">
      <alignment horizontal="center"/>
    </xf>
    <xf numFmtId="38" fontId="53" fillId="16" borderId="28" xfId="0" applyNumberFormat="1" applyFont="1" applyFill="1" applyBorder="1" applyAlignment="1" applyProtection="1">
      <alignment horizontal="right"/>
    </xf>
    <xf numFmtId="38" fontId="53" fillId="16" borderId="18" xfId="0" applyNumberFormat="1" applyFont="1" applyFill="1" applyBorder="1" applyAlignment="1" applyProtection="1">
      <alignment horizontal="right"/>
    </xf>
    <xf numFmtId="38" fontId="53" fillId="16" borderId="0" xfId="0" applyNumberFormat="1" applyFont="1" applyFill="1" applyAlignment="1" applyProtection="1">
      <alignment horizontal="right"/>
    </xf>
    <xf numFmtId="38" fontId="53" fillId="16" borderId="127" xfId="0" applyNumberFormat="1" applyFont="1" applyFill="1" applyBorder="1" applyAlignment="1" applyProtection="1">
      <alignment horizontal="right" vertical="center"/>
      <protection locked="0"/>
    </xf>
    <xf numFmtId="38" fontId="53" fillId="16" borderId="2" xfId="0" applyNumberFormat="1" applyFont="1" applyFill="1" applyBorder="1" applyAlignment="1" applyProtection="1">
      <alignment horizontal="right" vertical="center"/>
      <protection locked="0"/>
    </xf>
    <xf numFmtId="38" fontId="53" fillId="16" borderId="27" xfId="0" applyNumberFormat="1" applyFont="1" applyFill="1" applyBorder="1" applyAlignment="1" applyProtection="1">
      <alignment horizontal="right" vertical="center"/>
      <protection locked="0"/>
    </xf>
    <xf numFmtId="38" fontId="53" fillId="16" borderId="127" xfId="0" applyNumberFormat="1" applyFont="1" applyFill="1" applyBorder="1" applyAlignment="1" applyProtection="1">
      <alignment horizontal="right" vertical="center"/>
    </xf>
    <xf numFmtId="38" fontId="53" fillId="16" borderId="2" xfId="0" applyNumberFormat="1" applyFont="1" applyFill="1" applyBorder="1" applyAlignment="1" applyProtection="1">
      <alignment horizontal="right" vertical="center"/>
    </xf>
    <xf numFmtId="0" fontId="62" fillId="16" borderId="27" xfId="0" applyFont="1" applyFill="1" applyBorder="1" applyAlignment="1">
      <alignment horizontal="left" vertical="center" wrapText="1" indent="1"/>
    </xf>
    <xf numFmtId="38" fontId="53" fillId="16" borderId="27" xfId="0" applyNumberFormat="1" applyFont="1" applyFill="1" applyBorder="1" applyAlignment="1" applyProtection="1">
      <alignment horizontal="right" vertical="center"/>
    </xf>
    <xf numFmtId="38" fontId="53" fillId="16" borderId="2" xfId="9" applyNumberFormat="1" applyFont="1" applyFill="1" applyBorder="1" applyAlignment="1" applyProtection="1">
      <alignment horizontal="right"/>
    </xf>
    <xf numFmtId="49" fontId="60" fillId="16" borderId="41"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vertical="center"/>
    </xf>
    <xf numFmtId="49" fontId="60" fillId="16" borderId="7"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horizontal="right" vertical="center"/>
    </xf>
    <xf numFmtId="49" fontId="60" fillId="16" borderId="7" xfId="0" applyNumberFormat="1" applyFont="1" applyFill="1" applyBorder="1" applyAlignment="1" applyProtection="1">
      <alignment horizontal="left" vertical="center" indent="2"/>
    </xf>
    <xf numFmtId="0" fontId="55" fillId="16" borderId="7" xfId="0" applyFont="1" applyFill="1" applyBorder="1" applyAlignment="1">
      <alignment horizontal="left" indent="2"/>
    </xf>
    <xf numFmtId="38" fontId="53" fillId="16" borderId="60" xfId="0" applyNumberFormat="1" applyFont="1" applyFill="1" applyBorder="1" applyAlignment="1" applyProtection="1"/>
    <xf numFmtId="38" fontId="53" fillId="16" borderId="41" xfId="0" applyNumberFormat="1" applyFont="1" applyFill="1" applyBorder="1" applyAlignment="1" applyProtection="1">
      <alignment horizontal="right"/>
    </xf>
    <xf numFmtId="0" fontId="62" fillId="16" borderId="54" xfId="0" applyFont="1" applyFill="1" applyBorder="1" applyAlignment="1" applyProtection="1">
      <alignment horizontal="left" vertical="center" indent="2"/>
    </xf>
    <xf numFmtId="0" fontId="62" fillId="16" borderId="41" xfId="0" applyFont="1" applyFill="1" applyBorder="1" applyAlignment="1" applyProtection="1">
      <alignment horizontal="center" vertical="center"/>
    </xf>
    <xf numFmtId="0" fontId="62" fillId="16" borderId="41" xfId="0" applyFont="1" applyFill="1" applyBorder="1" applyAlignment="1" applyProtection="1">
      <alignment horizontal="left" vertical="center" indent="1"/>
    </xf>
    <xf numFmtId="0" fontId="55" fillId="16" borderId="41" xfId="0" applyFont="1" applyFill="1" applyBorder="1" applyAlignment="1" applyProtection="1">
      <alignment vertical="center"/>
    </xf>
    <xf numFmtId="38" fontId="53" fillId="16" borderId="22" xfId="0" applyNumberFormat="1" applyFont="1" applyFill="1" applyBorder="1" applyAlignment="1" applyProtection="1">
      <alignment horizontal="right" vertical="center"/>
    </xf>
    <xf numFmtId="0" fontId="60" fillId="16" borderId="0" xfId="10" applyFont="1" applyFill="1" applyAlignment="1">
      <alignment vertical="center"/>
    </xf>
    <xf numFmtId="0" fontId="60" fillId="16" borderId="0" xfId="10" applyFont="1" applyFill="1" applyAlignment="1">
      <alignment horizontal="center" vertical="center"/>
    </xf>
    <xf numFmtId="0" fontId="60" fillId="16" borderId="0" xfId="10" applyFont="1" applyFill="1" applyAlignment="1">
      <alignment horizontal="right" vertical="center"/>
    </xf>
    <xf numFmtId="0" fontId="62" fillId="16" borderId="0" xfId="10" applyFont="1" applyFill="1" applyAlignment="1">
      <alignment horizontal="right" vertical="center" indent="3"/>
    </xf>
    <xf numFmtId="0" fontId="60" fillId="16" borderId="0" xfId="10" applyFont="1" applyFill="1" applyBorder="1" applyAlignment="1">
      <alignment horizontal="right" vertical="center"/>
    </xf>
    <xf numFmtId="3" fontId="62" fillId="16" borderId="57" xfId="10" applyNumberFormat="1" applyFont="1" applyFill="1" applyBorder="1" applyAlignment="1" applyProtection="1">
      <alignment vertical="center"/>
    </xf>
    <xf numFmtId="0" fontId="60" fillId="16" borderId="0" xfId="10" applyFont="1" applyFill="1" applyAlignment="1">
      <alignment horizontal="left" vertical="center"/>
    </xf>
    <xf numFmtId="0" fontId="62" fillId="16" borderId="0" xfId="10" applyFont="1" applyFill="1" applyAlignment="1">
      <alignment horizontal="right" vertical="center"/>
    </xf>
    <xf numFmtId="38" fontId="62" fillId="16" borderId="47" xfId="10" applyNumberFormat="1" applyFont="1" applyFill="1" applyBorder="1" applyAlignment="1">
      <alignment horizontal="right"/>
    </xf>
    <xf numFmtId="0" fontId="60" fillId="16" borderId="0" xfId="10" quotePrefix="1" applyFont="1" applyFill="1" applyAlignment="1">
      <alignment horizontal="left" vertical="center"/>
    </xf>
    <xf numFmtId="38" fontId="60" fillId="16" borderId="58" xfId="10" applyNumberFormat="1" applyFont="1" applyFill="1" applyBorder="1" applyAlignment="1" applyProtection="1">
      <alignment horizontal="right"/>
    </xf>
    <xf numFmtId="0" fontId="60" fillId="16" borderId="0" xfId="11" quotePrefix="1" applyFont="1" applyFill="1" applyAlignment="1">
      <alignment horizontal="left" vertical="center"/>
    </xf>
    <xf numFmtId="0" fontId="62" fillId="16" borderId="0" xfId="10" quotePrefix="1" applyFont="1" applyFill="1" applyAlignment="1">
      <alignment horizontal="left" vertical="center"/>
    </xf>
    <xf numFmtId="40" fontId="62" fillId="16" borderId="47" xfId="10" applyNumberFormat="1" applyFont="1" applyFill="1" applyBorder="1" applyAlignment="1" applyProtection="1">
      <alignment horizontal="right"/>
    </xf>
    <xf numFmtId="0" fontId="60" fillId="16" borderId="0" xfId="11" applyFont="1" applyFill="1" applyAlignment="1">
      <alignment horizontal="left" vertical="center"/>
    </xf>
    <xf numFmtId="0" fontId="60" fillId="16" borderId="0" xfId="11" applyFont="1" applyFill="1" applyAlignment="1">
      <alignment horizontal="right" vertical="center"/>
    </xf>
    <xf numFmtId="0" fontId="62" fillId="16" borderId="0" xfId="11" applyFont="1" applyFill="1" applyAlignment="1">
      <alignment horizontal="right" vertical="center"/>
    </xf>
    <xf numFmtId="0" fontId="60" fillId="16" borderId="0" xfId="11" applyFont="1" applyFill="1" applyBorder="1" applyAlignment="1">
      <alignment horizontal="right" vertical="center"/>
    </xf>
    <xf numFmtId="38" fontId="62" fillId="16" borderId="9" xfId="11" applyNumberFormat="1" applyFont="1" applyFill="1" applyBorder="1" applyAlignment="1" applyProtection="1">
      <alignment horizontal="right"/>
    </xf>
    <xf numFmtId="38" fontId="60" fillId="16" borderId="6" xfId="11" applyNumberFormat="1" applyFont="1" applyFill="1" applyBorder="1" applyAlignment="1" applyProtection="1">
      <alignment horizontal="right"/>
    </xf>
    <xf numFmtId="0" fontId="60" fillId="16" borderId="0" xfId="11" applyFont="1" applyFill="1" applyAlignment="1">
      <alignment vertical="center"/>
    </xf>
    <xf numFmtId="40" fontId="60" fillId="16" borderId="9" xfId="11" applyNumberFormat="1" applyFont="1" applyFill="1" applyBorder="1" applyAlignment="1" applyProtection="1">
      <alignment horizontal="right"/>
    </xf>
    <xf numFmtId="40" fontId="62" fillId="16" borderId="57" xfId="11" applyNumberFormat="1" applyFont="1" applyFill="1" applyBorder="1" applyAlignment="1" applyProtection="1">
      <alignment horizontal="right"/>
    </xf>
    <xf numFmtId="38" fontId="5" fillId="16" borderId="157" xfId="17" applyNumberFormat="1" applyFill="1" applyBorder="1" applyAlignment="1" applyProtection="1">
      <alignment vertical="top"/>
    </xf>
    <xf numFmtId="38" fontId="5" fillId="16" borderId="158" xfId="17" applyNumberFormat="1" applyFill="1" applyBorder="1" applyAlignment="1" applyProtection="1">
      <alignment horizontal="right" vertical="top"/>
    </xf>
    <xf numFmtId="38" fontId="5" fillId="16" borderId="158" xfId="17" applyNumberFormat="1" applyFill="1" applyBorder="1" applyAlignment="1" applyProtection="1">
      <alignment vertical="top"/>
    </xf>
    <xf numFmtId="0" fontId="5" fillId="16" borderId="158" xfId="17" applyFill="1" applyBorder="1" applyAlignment="1" applyProtection="1">
      <alignment horizontal="left" vertical="top" wrapText="1"/>
    </xf>
    <xf numFmtId="49" fontId="5" fillId="16" borderId="158" xfId="17" applyNumberFormat="1" applyFill="1" applyBorder="1" applyAlignment="1" applyProtection="1">
      <alignment vertical="top"/>
    </xf>
    <xf numFmtId="0" fontId="5" fillId="16" borderId="158" xfId="17" applyFill="1" applyBorder="1" applyAlignment="1" applyProtection="1">
      <alignment vertical="top"/>
    </xf>
    <xf numFmtId="0" fontId="53" fillId="16" borderId="126" xfId="0" applyFont="1" applyFill="1" applyBorder="1"/>
    <xf numFmtId="37" fontId="53" fillId="16" borderId="126" xfId="0" applyNumberFormat="1" applyFont="1" applyFill="1" applyBorder="1"/>
    <xf numFmtId="37" fontId="53" fillId="16" borderId="128" xfId="0" applyNumberFormat="1" applyFont="1" applyFill="1" applyBorder="1"/>
    <xf numFmtId="0" fontId="53" fillId="16" borderId="14" xfId="0" applyFont="1" applyFill="1" applyBorder="1"/>
    <xf numFmtId="0" fontId="53" fillId="16" borderId="21" xfId="0" applyFont="1" applyFill="1" applyBorder="1"/>
    <xf numFmtId="37" fontId="53" fillId="16" borderId="14" xfId="0" applyNumberFormat="1" applyFont="1" applyFill="1" applyBorder="1"/>
    <xf numFmtId="37" fontId="53" fillId="16" borderId="21" xfId="0" applyNumberFormat="1" applyFont="1" applyFill="1" applyBorder="1"/>
    <xf numFmtId="38" fontId="53" fillId="16" borderId="14" xfId="0" applyNumberFormat="1" applyFont="1" applyFill="1" applyBorder="1"/>
    <xf numFmtId="0" fontId="60" fillId="16" borderId="0" xfId="0" applyFont="1" applyFill="1" applyBorder="1" applyAlignment="1">
      <alignment horizontal="right"/>
    </xf>
    <xf numFmtId="38" fontId="53" fillId="16" borderId="18" xfId="0" applyNumberFormat="1" applyFont="1" applyFill="1" applyBorder="1"/>
    <xf numFmtId="0" fontId="53" fillId="16" borderId="13" xfId="0" applyFont="1" applyFill="1" applyBorder="1" applyAlignment="1">
      <alignment horizontal="right"/>
    </xf>
    <xf numFmtId="10" fontId="52" fillId="16" borderId="14" xfId="0" applyNumberFormat="1" applyFont="1" applyFill="1" applyBorder="1" applyAlignment="1">
      <alignment horizontal="left" indent="2"/>
    </xf>
    <xf numFmtId="38" fontId="53" fillId="16" borderId="2" xfId="3" applyNumberFormat="1" applyFont="1" applyFill="1" applyBorder="1" applyAlignment="1">
      <alignment vertical="center"/>
    </xf>
    <xf numFmtId="38" fontId="53" fillId="16" borderId="2" xfId="3" applyNumberFormat="1" applyFont="1" applyFill="1" applyBorder="1" applyAlignment="1" applyProtection="1">
      <alignment vertical="center"/>
    </xf>
    <xf numFmtId="38" fontId="53" fillId="16" borderId="27" xfId="3" applyNumberFormat="1" applyFont="1" applyFill="1" applyBorder="1" applyAlignment="1">
      <alignment vertical="center"/>
    </xf>
    <xf numFmtId="9" fontId="53" fillId="16" borderId="4" xfId="3" applyNumberFormat="1" applyFont="1" applyFill="1" applyBorder="1" applyAlignment="1">
      <alignment horizontal="center" vertical="center"/>
    </xf>
    <xf numFmtId="38" fontId="53" fillId="16" borderId="22" xfId="3" applyNumberFormat="1" applyFont="1" applyFill="1" applyBorder="1" applyAlignment="1">
      <alignment horizontal="right" vertical="center"/>
    </xf>
    <xf numFmtId="38" fontId="53" fillId="16" borderId="41"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2" fillId="16" borderId="75"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2" fillId="16" borderId="60" xfId="3" applyNumberFormat="1" applyFont="1" applyFill="1" applyBorder="1" applyAlignment="1">
      <alignment horizontal="right" vertical="center"/>
    </xf>
    <xf numFmtId="38" fontId="53" fillId="16" borderId="127" xfId="0" applyNumberFormat="1" applyFont="1" applyFill="1" applyBorder="1" applyAlignment="1" applyProtection="1">
      <alignment horizontal="right"/>
    </xf>
    <xf numFmtId="0" fontId="62" fillId="15" borderId="17" xfId="0" applyFont="1" applyFill="1" applyBorder="1" applyAlignment="1">
      <alignment horizontal="left" vertical="center" wrapText="1"/>
    </xf>
    <xf numFmtId="49" fontId="62" fillId="15" borderId="26" xfId="0" applyNumberFormat="1" applyFont="1" applyFill="1" applyBorder="1" applyAlignment="1">
      <alignment horizontal="center" vertical="center"/>
    </xf>
    <xf numFmtId="38" fontId="53" fillId="15" borderId="26" xfId="0" applyNumberFormat="1" applyFont="1" applyFill="1" applyBorder="1" applyAlignment="1">
      <alignment horizontal="right"/>
    </xf>
    <xf numFmtId="38" fontId="53" fillId="15"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6" borderId="13" xfId="0" applyFont="1" applyFill="1" applyBorder="1" applyAlignment="1">
      <alignment horizontal="left" vertical="center" wrapText="1"/>
    </xf>
    <xf numFmtId="49" fontId="62" fillId="16"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6"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7"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1" xfId="3" applyFont="1" applyBorder="1" applyProtection="1"/>
    <xf numFmtId="49" fontId="60" fillId="0" borderId="14" xfId="0" applyNumberFormat="1" applyFont="1" applyFill="1" applyBorder="1" applyAlignment="1" applyProtection="1">
      <alignment horizontal="center" vertical="center"/>
    </xf>
    <xf numFmtId="38" fontId="53" fillId="15" borderId="3" xfId="0" applyNumberFormat="1" applyFont="1" applyFill="1" applyBorder="1" applyAlignment="1" applyProtection="1">
      <alignment horizontal="right"/>
    </xf>
    <xf numFmtId="38" fontId="53" fillId="15" borderId="26" xfId="0" applyNumberFormat="1" applyFont="1" applyFill="1" applyBorder="1" applyAlignment="1" applyProtection="1">
      <alignment horizontal="right"/>
    </xf>
    <xf numFmtId="38" fontId="5" fillId="0" borderId="157"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7"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2"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4"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9" xfId="18" applyFont="1" applyBorder="1" applyAlignment="1">
      <alignment horizontal="left" vertical="center" wrapText="1"/>
    </xf>
    <xf numFmtId="0" fontId="102" fillId="0" borderId="160" xfId="18" applyFont="1" applyBorder="1" applyAlignment="1">
      <alignment horizontal="left" vertical="center" wrapText="1"/>
    </xf>
    <xf numFmtId="49" fontId="102" fillId="17"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2"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0" xfId="18" applyFont="1" applyBorder="1" applyAlignment="1">
      <alignment vertical="top"/>
    </xf>
    <xf numFmtId="0" fontId="46" fillId="0" borderId="141" xfId="18" applyFont="1" applyBorder="1" applyAlignment="1">
      <alignment vertical="top"/>
    </xf>
    <xf numFmtId="0" fontId="47" fillId="15" borderId="76" xfId="18" applyFont="1" applyFill="1" applyBorder="1" applyAlignment="1">
      <alignment vertical="top"/>
    </xf>
    <xf numFmtId="0" fontId="46" fillId="0" borderId="140" xfId="18" applyFont="1" applyBorder="1" applyAlignment="1">
      <alignment vertical="top" wrapText="1"/>
    </xf>
    <xf numFmtId="0" fontId="46" fillId="0" borderId="141"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2" borderId="46" xfId="0" applyFont="1" applyFill="1" applyBorder="1" applyAlignment="1" applyProtection="1">
      <alignment horizontal="left" vertical="center"/>
    </xf>
    <xf numFmtId="0" fontId="62" fillId="12" borderId="6" xfId="0" applyFont="1" applyFill="1" applyBorder="1" applyAlignment="1" applyProtection="1">
      <alignment horizontal="left" vertical="center"/>
    </xf>
    <xf numFmtId="0" fontId="60" fillId="12" borderId="7" xfId="0" applyFont="1" applyFill="1" applyBorder="1" applyAlignment="1" applyProtection="1">
      <alignment horizontal="left" vertical="center" indent="2"/>
    </xf>
    <xf numFmtId="0" fontId="63" fillId="12"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8" xfId="18" applyFont="1" applyFill="1" applyBorder="1" applyAlignment="1">
      <alignment horizontal="center" vertical="center" wrapText="1"/>
    </xf>
    <xf numFmtId="0" fontId="102" fillId="23" borderId="163" xfId="18" applyFont="1" applyFill="1" applyBorder="1" applyAlignment="1">
      <alignment horizontal="center" vertical="center" wrapText="1"/>
    </xf>
    <xf numFmtId="0" fontId="102" fillId="17" borderId="139" xfId="18" applyFont="1" applyFill="1" applyBorder="1" applyAlignment="1">
      <alignment horizontal="center" vertical="center" wrapText="1"/>
    </xf>
    <xf numFmtId="49" fontId="102" fillId="17" borderId="107" xfId="18" applyNumberFormat="1" applyFont="1" applyFill="1" applyBorder="1" applyAlignment="1">
      <alignment horizontal="center" vertical="center" wrapText="1"/>
    </xf>
    <xf numFmtId="0" fontId="47" fillId="17" borderId="108" xfId="18" applyFont="1" applyFill="1" applyBorder="1" applyAlignment="1">
      <alignment horizontal="center"/>
    </xf>
    <xf numFmtId="0" fontId="100" fillId="0" borderId="139"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2" borderId="39" xfId="0" applyFont="1" applyFill="1" applyBorder="1"/>
    <xf numFmtId="0" fontId="53" fillId="12" borderId="23" xfId="0" applyFont="1" applyFill="1" applyBorder="1" applyAlignment="1">
      <alignment horizontal="left" vertical="top"/>
    </xf>
    <xf numFmtId="0" fontId="53" fillId="12" borderId="23" xfId="0" applyFont="1" applyFill="1" applyBorder="1" applyAlignment="1">
      <alignment vertical="top" wrapText="1"/>
    </xf>
    <xf numFmtId="0" fontId="62" fillId="12"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7" xfId="11" applyNumberFormat="1" applyFont="1" applyFill="1" applyBorder="1" applyAlignment="1" applyProtection="1">
      <alignment horizontal="right"/>
      <protection locked="0"/>
    </xf>
    <xf numFmtId="38" fontId="60" fillId="16" borderId="9" xfId="11" applyNumberFormat="1" applyFont="1" applyFill="1" applyBorder="1" applyAlignment="1" applyProtection="1">
      <alignment horizontal="right"/>
    </xf>
    <xf numFmtId="3" fontId="60" fillId="16" borderId="9" xfId="10" applyNumberFormat="1" applyFont="1" applyFill="1" applyBorder="1" applyAlignment="1" applyProtection="1">
      <alignment vertical="center"/>
    </xf>
    <xf numFmtId="3" fontId="60" fillId="16" borderId="6" xfId="10" applyNumberFormat="1" applyFont="1" applyFill="1" applyBorder="1" applyAlignment="1" applyProtection="1">
      <alignment vertical="center"/>
    </xf>
    <xf numFmtId="38" fontId="60" fillId="16" borderId="9" xfId="10" applyNumberFormat="1" applyFont="1" applyFill="1" applyBorder="1" applyAlignment="1" applyProtection="1">
      <alignment horizontal="right" vertical="center"/>
    </xf>
    <xf numFmtId="38" fontId="60" fillId="16" borderId="0" xfId="10" applyNumberFormat="1" applyFont="1" applyFill="1" applyAlignment="1">
      <alignment vertical="top"/>
    </xf>
    <xf numFmtId="38" fontId="60" fillId="16" borderId="6" xfId="10" applyNumberFormat="1" applyFont="1" applyFill="1" applyBorder="1" applyAlignment="1" applyProtection="1">
      <alignment horizontal="right" vertical="center"/>
    </xf>
    <xf numFmtId="38" fontId="60" fillId="16" borderId="6" xfId="10" applyNumberFormat="1" applyFont="1" applyFill="1" applyBorder="1" applyAlignment="1" applyProtection="1">
      <alignment horizontal="right"/>
    </xf>
    <xf numFmtId="38" fontId="60" fillId="16" borderId="0" xfId="10" applyNumberFormat="1" applyFont="1" applyFill="1" applyAlignment="1">
      <alignment horizontal="right"/>
    </xf>
    <xf numFmtId="38" fontId="60" fillId="16" borderId="9" xfId="10" applyNumberFormat="1" applyFont="1" applyFill="1" applyBorder="1" applyAlignment="1" applyProtection="1">
      <alignment horizontal="right"/>
    </xf>
    <xf numFmtId="38" fontId="60" fillId="16" borderId="6" xfId="10" applyNumberFormat="1" applyFont="1" applyFill="1" applyBorder="1" applyAlignment="1">
      <alignment horizontal="right"/>
    </xf>
    <xf numFmtId="38" fontId="60" fillId="16" borderId="147"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7" borderId="21" xfId="0" applyFont="1" applyFill="1" applyBorder="1" applyAlignment="1" applyProtection="1">
      <alignment vertical="center"/>
    </xf>
    <xf numFmtId="0" fontId="62" fillId="17" borderId="2" xfId="0" applyFont="1" applyFill="1" applyBorder="1" applyAlignment="1" applyProtection="1">
      <alignment vertical="center"/>
    </xf>
    <xf numFmtId="0" fontId="60" fillId="0" borderId="21" xfId="0" applyFont="1" applyBorder="1" applyAlignment="1" applyProtection="1">
      <alignment horizontal="left" vertical="center" indent="1"/>
    </xf>
    <xf numFmtId="0" fontId="122" fillId="0" borderId="21" xfId="0" applyFont="1" applyBorder="1" applyAlignment="1" applyProtection="1">
      <alignment horizontal="left" vertical="center" indent="1"/>
    </xf>
    <xf numFmtId="38" fontId="1" fillId="16" borderId="158" xfId="17" applyNumberFormat="1" applyFont="1" applyFill="1" applyBorder="1" applyAlignment="1" applyProtection="1">
      <alignment horizontal="right" vertical="top"/>
    </xf>
    <xf numFmtId="0" fontId="55" fillId="0" borderId="77" xfId="3" applyNumberFormat="1" applyFont="1" applyBorder="1" applyAlignment="1" applyProtection="1">
      <alignment horizontal="center"/>
      <protection locked="0"/>
    </xf>
    <xf numFmtId="38" fontId="125" fillId="16" borderId="157" xfId="17" applyNumberFormat="1" applyFont="1" applyFill="1" applyBorder="1" applyAlignment="1" applyProtection="1">
      <alignment horizontal="right" vertical="top"/>
    </xf>
    <xf numFmtId="0" fontId="124" fillId="0" borderId="149" xfId="17" applyFont="1" applyFill="1" applyBorder="1" applyAlignment="1">
      <alignment vertical="center"/>
    </xf>
    <xf numFmtId="0" fontId="124" fillId="0" borderId="76" xfId="17" applyFont="1" applyFill="1" applyBorder="1" applyAlignment="1">
      <alignment vertical="center"/>
    </xf>
    <xf numFmtId="0" fontId="124" fillId="0" borderId="150" xfId="17" applyFont="1" applyFill="1" applyBorder="1" applyAlignment="1">
      <alignment vertical="center"/>
    </xf>
    <xf numFmtId="0" fontId="0" fillId="0" borderId="157" xfId="17" applyFont="1" applyBorder="1" applyAlignment="1" applyProtection="1">
      <alignment horizontal="left" vertical="top" wrapText="1"/>
      <protection locked="0"/>
    </xf>
    <xf numFmtId="49" fontId="0" fillId="0" borderId="157" xfId="17" applyNumberFormat="1" applyFont="1" applyBorder="1" applyAlignment="1" applyProtection="1">
      <alignment horizontal="center" vertical="top"/>
      <protection locked="0"/>
    </xf>
    <xf numFmtId="0" fontId="0" fillId="0" borderId="157" xfId="17" applyFont="1" applyBorder="1" applyAlignment="1" applyProtection="1">
      <alignment vertical="top"/>
      <protection locked="0"/>
    </xf>
    <xf numFmtId="4" fontId="5" fillId="0" borderId="157" xfId="17" applyNumberFormat="1" applyBorder="1" applyAlignment="1" applyProtection="1">
      <alignment horizontal="right" vertical="top"/>
      <protection locked="0"/>
    </xf>
    <xf numFmtId="0" fontId="0" fillId="0" borderId="0" xfId="17" applyFont="1" applyAlignment="1">
      <alignment horizontal="left" vertical="top" wrapText="1"/>
    </xf>
    <xf numFmtId="49" fontId="0" fillId="0" borderId="157" xfId="17" applyNumberFormat="1" applyFont="1" applyBorder="1" applyAlignment="1" applyProtection="1">
      <alignment horizontal="center" vertical="center"/>
      <protection locked="0"/>
    </xf>
    <xf numFmtId="3" fontId="62" fillId="0" borderId="22" xfId="3" applyNumberFormat="1" applyFont="1" applyBorder="1" applyAlignment="1" applyProtection="1">
      <alignment horizontal="left" vertical="center" wrapText="1"/>
      <protection locked="0"/>
    </xf>
    <xf numFmtId="3" fontId="71" fillId="0" borderId="22" xfId="3" applyNumberFormat="1" applyFont="1" applyBorder="1" applyAlignment="1" applyProtection="1">
      <alignment horizontal="left" vertical="center" wrapText="1"/>
      <protection locked="0"/>
    </xf>
    <xf numFmtId="3" fontId="62" fillId="0" borderId="22" xfId="3" applyNumberFormat="1" applyFont="1" applyBorder="1" applyAlignment="1" applyProtection="1">
      <alignment horizontal="center" vertical="center" wrapText="1"/>
      <protection locked="0"/>
    </xf>
    <xf numFmtId="3" fontId="62" fillId="0" borderId="22" xfId="3" applyNumberFormat="1" applyFont="1" applyBorder="1" applyAlignment="1" applyProtection="1">
      <alignment horizontal="center"/>
      <protection locked="0"/>
    </xf>
    <xf numFmtId="3" fontId="94" fillId="0" borderId="22" xfId="3" applyNumberFormat="1" applyFont="1" applyBorder="1" applyAlignment="1" applyProtection="1">
      <alignment horizontal="center" vertical="center" wrapText="1"/>
      <protection locked="0"/>
    </xf>
    <xf numFmtId="3" fontId="94" fillId="0" borderId="22" xfId="3" applyNumberFormat="1" applyFont="1" applyBorder="1" applyAlignment="1" applyProtection="1">
      <alignment horizont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5" xfId="12" applyNumberFormat="1" applyFont="1" applyBorder="1" applyAlignment="1" applyProtection="1">
      <alignment horizontal="left" vertical="center" indent="1"/>
      <protection locked="0"/>
    </xf>
    <xf numFmtId="0" fontId="11" fillId="0" borderId="128" xfId="12"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8"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6" xfId="12"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8"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2" fillId="0" borderId="134"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8" borderId="0" xfId="0" applyFont="1" applyFill="1" applyBorder="1" applyAlignment="1" applyProtection="1">
      <alignment horizontal="center" vertical="center"/>
    </xf>
    <xf numFmtId="0" fontId="52" fillId="18"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6"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6" borderId="36" xfId="0" applyNumberFormat="1" applyFont="1" applyFill="1" applyBorder="1" applyAlignment="1" applyProtection="1">
      <alignment horizontal="left" vertical="center" wrapText="1" indent="2"/>
    </xf>
    <xf numFmtId="164" fontId="62" fillId="16" borderId="30" xfId="0" applyNumberFormat="1" applyFont="1" applyFill="1" applyBorder="1" applyAlignment="1" applyProtection="1">
      <alignment horizontal="left" vertical="center" wrapText="1" indent="2"/>
    </xf>
    <xf numFmtId="0" fontId="62" fillId="16" borderId="52" xfId="0" applyFont="1" applyFill="1" applyBorder="1" applyAlignment="1" applyProtection="1">
      <alignment horizontal="left" vertical="center" indent="2"/>
    </xf>
    <xf numFmtId="0" fontId="62" fillId="16" borderId="53" xfId="0" applyFont="1" applyFill="1" applyBorder="1" applyAlignment="1" applyProtection="1">
      <alignment horizontal="left" vertical="center" indent="2"/>
    </xf>
    <xf numFmtId="0" fontId="62" fillId="16" borderId="35" xfId="0" applyFont="1" applyFill="1" applyBorder="1" applyAlignment="1" applyProtection="1">
      <alignment horizontal="left" vertical="center" indent="2"/>
    </xf>
    <xf numFmtId="0" fontId="62" fillId="16" borderId="30" xfId="0" applyFont="1" applyFill="1" applyBorder="1" applyAlignment="1" applyProtection="1">
      <alignment horizontal="left" vertical="center" indent="2"/>
    </xf>
    <xf numFmtId="0" fontId="60" fillId="16" borderId="52" xfId="0" applyFont="1" applyFill="1" applyBorder="1" applyAlignment="1" applyProtection="1">
      <alignment horizontal="left" vertical="center" wrapText="1" indent="2"/>
    </xf>
    <xf numFmtId="0" fontId="55" fillId="16"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6" xfId="0" applyNumberFormat="1" applyFont="1" applyBorder="1" applyAlignment="1" applyProtection="1">
      <alignment horizontal="center" vertical="center" wrapText="1"/>
    </xf>
    <xf numFmtId="0" fontId="62" fillId="16" borderId="34" xfId="0" applyFont="1" applyFill="1" applyBorder="1" applyAlignment="1" applyProtection="1">
      <alignment horizontal="left" vertical="center" indent="1"/>
    </xf>
    <xf numFmtId="0" fontId="62" fillId="16"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4" borderId="13" xfId="0" applyNumberFormat="1" applyFont="1" applyFill="1" applyBorder="1" applyAlignment="1" applyProtection="1">
      <alignment horizontal="left" vertical="center" wrapText="1" indent="1"/>
    </xf>
    <xf numFmtId="164" fontId="62" fillId="14" borderId="14" xfId="0" applyNumberFormat="1" applyFont="1" applyFill="1" applyBorder="1" applyAlignment="1" applyProtection="1">
      <alignment horizontal="left" vertical="center" wrapText="1" indent="1"/>
    </xf>
    <xf numFmtId="164" fontId="62" fillId="17" borderId="13" xfId="0" applyNumberFormat="1" applyFont="1" applyFill="1" applyBorder="1" applyAlignment="1" applyProtection="1">
      <alignment horizontal="left" vertical="center" wrapText="1"/>
    </xf>
    <xf numFmtId="164" fontId="62" fillId="17"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6" borderId="13" xfId="0" applyNumberFormat="1" applyFont="1" applyFill="1" applyBorder="1" applyAlignment="1" applyProtection="1">
      <alignment horizontal="left" vertical="center" wrapText="1" indent="2"/>
    </xf>
    <xf numFmtId="164" fontId="62" fillId="16"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6" borderId="24" xfId="0" applyFont="1" applyFill="1" applyBorder="1" applyAlignment="1" applyProtection="1">
      <alignment horizontal="left" vertical="center" indent="1"/>
    </xf>
    <xf numFmtId="0" fontId="55" fillId="16" borderId="51" xfId="0" applyFont="1" applyFill="1" applyBorder="1" applyAlignment="1">
      <alignment horizontal="left" vertical="center" indent="1"/>
    </xf>
    <xf numFmtId="0" fontId="62" fillId="17" borderId="21" xfId="0" applyFont="1" applyFill="1" applyBorder="1" applyAlignment="1">
      <alignment horizontal="left" vertical="center" wrapText="1"/>
    </xf>
    <xf numFmtId="0" fontId="55" fillId="17" borderId="14" xfId="0" applyFont="1" applyFill="1" applyBorder="1" applyAlignment="1">
      <alignment horizontal="left" vertical="center" wrapText="1"/>
    </xf>
    <xf numFmtId="0" fontId="62" fillId="17" borderId="34" xfId="0" applyFont="1" applyFill="1" applyBorder="1" applyAlignment="1">
      <alignment vertical="top" wrapText="1"/>
    </xf>
    <xf numFmtId="0" fontId="55" fillId="17" borderId="31" xfId="0" applyFont="1" applyFill="1" applyBorder="1" applyAlignment="1">
      <alignment vertical="top" wrapText="1"/>
    </xf>
    <xf numFmtId="0" fontId="62" fillId="16" borderId="35" xfId="0" applyFont="1" applyFill="1" applyBorder="1" applyAlignment="1" applyProtection="1">
      <alignment horizontal="left" vertical="top" wrapText="1" indent="1"/>
    </xf>
    <xf numFmtId="0" fontId="55"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top" indent="1"/>
    </xf>
    <xf numFmtId="0" fontId="55" fillId="16" borderId="30" xfId="0" applyFont="1" applyFill="1" applyBorder="1" applyAlignment="1">
      <alignment horizontal="left" vertical="top" indent="1"/>
    </xf>
    <xf numFmtId="0" fontId="62" fillId="17" borderId="34" xfId="0" applyFont="1" applyFill="1" applyBorder="1" applyAlignment="1">
      <alignment vertical="center" wrapText="1"/>
    </xf>
    <xf numFmtId="0" fontId="55" fillId="17"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7" xfId="0" applyFont="1" applyFill="1" applyBorder="1" applyAlignment="1">
      <alignment horizontal="center" vertical="center"/>
    </xf>
    <xf numFmtId="0" fontId="55" fillId="23" borderId="131" xfId="0" applyFont="1" applyFill="1" applyBorder="1" applyAlignment="1">
      <alignment horizontal="center" vertical="center"/>
    </xf>
    <xf numFmtId="0" fontId="63" fillId="23" borderId="20" xfId="0" applyFont="1" applyFill="1" applyBorder="1" applyAlignment="1">
      <alignment horizontal="center" vertical="center"/>
    </xf>
    <xf numFmtId="3" fontId="62" fillId="16" borderId="34" xfId="0" applyNumberFormat="1" applyFont="1" applyFill="1" applyBorder="1" applyAlignment="1">
      <alignment horizontal="left" vertical="top" wrapText="1" indent="1"/>
    </xf>
    <xf numFmtId="0" fontId="55" fillId="16" borderId="31" xfId="0" applyFont="1" applyFill="1" applyBorder="1" applyAlignment="1">
      <alignment horizontal="left" vertical="top" wrapText="1"/>
    </xf>
    <xf numFmtId="3" fontId="62" fillId="16" borderId="23" xfId="0" applyNumberFormat="1" applyFont="1" applyFill="1" applyBorder="1" applyAlignment="1">
      <alignment horizontal="left" vertical="top" wrapText="1" indent="1"/>
    </xf>
    <xf numFmtId="0" fontId="55" fillId="16" borderId="38" xfId="0" applyFont="1" applyFill="1" applyBorder="1" applyAlignment="1">
      <alignment horizontal="left" vertical="top" wrapText="1" indent="1"/>
    </xf>
    <xf numFmtId="3" fontId="62" fillId="16" borderId="24" xfId="0" applyNumberFormat="1" applyFont="1" applyFill="1" applyBorder="1" applyAlignment="1">
      <alignment horizontal="left" vertical="top" wrapText="1" indent="1"/>
    </xf>
    <xf numFmtId="0" fontId="60" fillId="16" borderId="51" xfId="0" applyFont="1" applyFill="1" applyBorder="1" applyAlignment="1">
      <alignment horizontal="left" vertical="top" wrapText="1" indent="1"/>
    </xf>
    <xf numFmtId="3" fontId="62" fillId="16" borderId="35" xfId="0" applyNumberFormat="1" applyFont="1" applyFill="1" applyBorder="1" applyAlignment="1">
      <alignment horizontal="left" vertical="top" wrapText="1" indent="1"/>
    </xf>
    <xf numFmtId="3" fontId="62" fillId="16" borderId="35" xfId="0" applyNumberFormat="1" applyFont="1" applyFill="1" applyBorder="1" applyAlignment="1">
      <alignment horizontal="left" vertical="top" indent="1"/>
    </xf>
    <xf numFmtId="0" fontId="60" fillId="16"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6" borderId="49" xfId="0" applyNumberFormat="1" applyFont="1" applyFill="1" applyBorder="1" applyAlignment="1">
      <alignment horizontal="left" vertical="top" indent="1"/>
    </xf>
    <xf numFmtId="3" fontId="62" fillId="16" borderId="31" xfId="0" applyNumberFormat="1" applyFont="1" applyFill="1" applyBorder="1" applyAlignment="1">
      <alignment horizontal="left" vertical="top" indent="1"/>
    </xf>
    <xf numFmtId="3" fontId="62" fillId="15" borderId="10" xfId="0" applyNumberFormat="1" applyFont="1" applyFill="1" applyBorder="1" applyAlignment="1" applyProtection="1">
      <alignment horizontal="center" vertical="center" wrapText="1"/>
    </xf>
    <xf numFmtId="3" fontId="62" fillId="15" borderId="126"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6" borderId="13" xfId="0" applyNumberFormat="1" applyFont="1" applyFill="1" applyBorder="1" applyAlignment="1" applyProtection="1">
      <alignment horizontal="left" vertical="center" wrapText="1" indent="1"/>
    </xf>
    <xf numFmtId="0" fontId="55" fillId="16" borderId="14" xfId="0" applyFont="1" applyFill="1" applyBorder="1" applyAlignment="1">
      <alignment horizontal="left" vertical="center" wrapText="1" indent="1"/>
    </xf>
    <xf numFmtId="49" fontId="63" fillId="12" borderId="13" xfId="0" applyNumberFormat="1" applyFont="1" applyFill="1" applyBorder="1" applyAlignment="1" applyProtection="1">
      <alignment horizontal="center" vertical="center"/>
    </xf>
    <xf numFmtId="0" fontId="55" fillId="12"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6" borderId="13" xfId="0" applyNumberFormat="1" applyFont="1" applyFill="1" applyBorder="1" applyAlignment="1" applyProtection="1">
      <alignment horizontal="left" vertical="center" indent="1"/>
    </xf>
    <xf numFmtId="0" fontId="55" fillId="16"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2"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6" borderId="54" xfId="0" applyFont="1" applyFill="1" applyBorder="1" applyAlignment="1" applyProtection="1">
      <alignment horizontal="left" vertical="center" indent="1"/>
    </xf>
    <xf numFmtId="0" fontId="62" fillId="16" borderId="57" xfId="0" applyFont="1" applyFill="1" applyBorder="1" applyAlignment="1" applyProtection="1">
      <alignment horizontal="left" vertical="center" indent="1"/>
    </xf>
    <xf numFmtId="0" fontId="62" fillId="16" borderId="61" xfId="0" applyFont="1" applyFill="1" applyBorder="1" applyAlignment="1" applyProtection="1">
      <alignment horizontal="left" vertical="center" indent="1"/>
    </xf>
    <xf numFmtId="0" fontId="62" fillId="16" borderId="147" xfId="0" applyFont="1" applyFill="1" applyBorder="1" applyAlignment="1" applyProtection="1">
      <alignment horizontal="left" vertical="center" indent="1"/>
    </xf>
    <xf numFmtId="0" fontId="62" fillId="16" borderId="146" xfId="0" applyFont="1" applyFill="1" applyBorder="1" applyAlignment="1" applyProtection="1">
      <alignment horizontal="left" vertical="center" indent="1"/>
    </xf>
    <xf numFmtId="0" fontId="62" fillId="3" borderId="147" xfId="0" applyFont="1" applyFill="1" applyBorder="1" applyAlignment="1" applyProtection="1">
      <alignment horizontal="left" vertical="center"/>
    </xf>
    <xf numFmtId="0" fontId="62" fillId="3" borderId="148" xfId="0" applyFont="1" applyFill="1" applyBorder="1" applyAlignment="1" applyProtection="1">
      <alignment horizontal="left" vertical="center"/>
    </xf>
    <xf numFmtId="0" fontId="63" fillId="12" borderId="46" xfId="0" applyFont="1" applyFill="1" applyBorder="1" applyAlignment="1" applyProtection="1">
      <alignment horizontal="left" vertical="center" wrapText="1"/>
    </xf>
    <xf numFmtId="0" fontId="55" fillId="12" borderId="6" xfId="0" applyFont="1" applyFill="1" applyBorder="1" applyAlignment="1">
      <alignment horizontal="left" wrapText="1"/>
    </xf>
    <xf numFmtId="0" fontId="55" fillId="12"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7" xfId="0" applyFont="1" applyBorder="1" applyAlignment="1" applyProtection="1">
      <alignment horizontal="left" vertical="center" wrapText="1" indent="1"/>
    </xf>
    <xf numFmtId="0" fontId="60" fillId="0" borderId="148"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6" xfId="0" applyFont="1" applyFill="1" applyBorder="1" applyAlignment="1" applyProtection="1">
      <alignment horizontal="left" vertical="center" indent="1"/>
    </xf>
    <xf numFmtId="0" fontId="63" fillId="23" borderId="147" xfId="0" applyFont="1" applyFill="1" applyBorder="1" applyAlignment="1" applyProtection="1">
      <alignment horizontal="left" vertical="center" indent="1"/>
    </xf>
    <xf numFmtId="0" fontId="63" fillId="23" borderId="148"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3" borderId="92"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93" xfId="0" applyFont="1" applyFill="1" applyBorder="1" applyAlignment="1">
      <alignment horizontal="center" vertical="center" wrapText="1"/>
    </xf>
    <xf numFmtId="0" fontId="128" fillId="23" borderId="94"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3" borderId="140" xfId="17" applyFont="1" applyFill="1" applyBorder="1" applyAlignment="1">
      <alignment horizontal="center" vertical="center"/>
    </xf>
    <xf numFmtId="0" fontId="124" fillId="23" borderId="141" xfId="17" applyFont="1" applyFill="1" applyBorder="1" applyAlignment="1">
      <alignment horizontal="center" vertical="center"/>
    </xf>
    <xf numFmtId="0" fontId="124" fillId="23" borderId="142" xfId="17" applyFont="1" applyFill="1" applyBorder="1" applyAlignment="1">
      <alignment horizontal="center" vertical="center"/>
    </xf>
    <xf numFmtId="0" fontId="124" fillId="23" borderId="98" xfId="17" applyFont="1" applyFill="1" applyBorder="1" applyAlignment="1">
      <alignment horizontal="center" vertical="center"/>
    </xf>
    <xf numFmtId="0" fontId="124" fillId="23" borderId="78" xfId="17" applyFont="1" applyFill="1" applyBorder="1" applyAlignment="1">
      <alignment horizontal="center" vertical="center"/>
    </xf>
    <xf numFmtId="0" fontId="124" fillId="23"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19" borderId="13" xfId="0" applyFont="1" applyFill="1" applyBorder="1" applyAlignment="1" applyProtection="1">
      <alignment horizontal="left" vertical="center" wrapText="1" indent="1"/>
    </xf>
    <xf numFmtId="0" fontId="55" fillId="19" borderId="21" xfId="0" applyFont="1" applyFill="1" applyBorder="1" applyAlignment="1">
      <alignment horizontal="left" vertical="center" wrapText="1" indent="1"/>
    </xf>
    <xf numFmtId="0" fontId="55" fillId="19"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7"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1" xfId="18" applyFont="1" applyBorder="1" applyAlignment="1" applyProtection="1">
      <alignment horizontal="center" vertical="top" wrapText="1"/>
      <protection locked="0"/>
    </xf>
    <xf numFmtId="0" fontId="2" fillId="0" borderId="142"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1" xfId="18" applyFont="1" applyBorder="1" applyAlignment="1" applyProtection="1">
      <alignment horizontal="center" vertical="top" wrapText="1"/>
      <protection locked="0"/>
    </xf>
    <xf numFmtId="0" fontId="47" fillId="0" borderId="142"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3" xfId="3" applyFont="1" applyBorder="1" applyAlignment="1">
      <alignment horizontal="center" vertical="center" wrapText="1"/>
    </xf>
    <xf numFmtId="0" fontId="71" fillId="0" borderId="133" xfId="3" applyNumberFormat="1" applyFont="1" applyBorder="1" applyAlignment="1">
      <alignment horizontal="center"/>
    </xf>
    <xf numFmtId="0" fontId="55" fillId="0" borderId="134" xfId="3" applyNumberFormat="1" applyFont="1" applyBorder="1" applyAlignment="1" applyProtection="1">
      <alignment horizontal="center"/>
      <protection locked="0"/>
    </xf>
    <xf numFmtId="171" fontId="55" fillId="0" borderId="134" xfId="3" applyNumberFormat="1" applyFont="1" applyBorder="1" applyAlignment="1" applyProtection="1">
      <alignment horizontal="center"/>
      <protection locked="0"/>
    </xf>
    <xf numFmtId="0" fontId="55" fillId="0" borderId="134"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2" borderId="13" xfId="3" applyFont="1" applyFill="1" applyBorder="1" applyAlignment="1">
      <alignment horizontal="center" vertical="center" wrapText="1"/>
    </xf>
    <xf numFmtId="0" fontId="63" fillId="12" borderId="21" xfId="3" applyFont="1" applyFill="1" applyBorder="1" applyAlignment="1">
      <alignment horizontal="center" vertical="center" wrapText="1"/>
    </xf>
    <xf numFmtId="0" fontId="63" fillId="12" borderId="14" xfId="3" applyFont="1" applyFill="1" applyBorder="1" applyAlignment="1">
      <alignment horizontal="center" vertical="center" wrapText="1"/>
    </xf>
    <xf numFmtId="0" fontId="55" fillId="0" borderId="0" xfId="3" applyFont="1" applyBorder="1" applyAlignment="1">
      <alignment wrapText="1"/>
    </xf>
    <xf numFmtId="0" fontId="107" fillId="0" borderId="112"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2" borderId="125" xfId="0" applyFont="1" applyFill="1" applyBorder="1" applyAlignment="1">
      <alignment horizontal="center" vertical="center"/>
    </xf>
    <xf numFmtId="0" fontId="110" fillId="12" borderId="128" xfId="0" applyFont="1" applyFill="1" applyBorder="1" applyAlignment="1">
      <alignment horizontal="center" vertical="center"/>
    </xf>
    <xf numFmtId="0" fontId="110" fillId="12" borderId="153" xfId="0" applyFont="1" applyFill="1" applyBorder="1" applyAlignment="1">
      <alignment horizontal="center" vertical="center"/>
    </xf>
    <xf numFmtId="164" fontId="110" fillId="12" borderId="17" xfId="0" applyNumberFormat="1" applyFont="1" applyFill="1" applyBorder="1" applyAlignment="1">
      <alignment horizontal="center" vertical="center"/>
    </xf>
    <xf numFmtId="164" fontId="110" fillId="12" borderId="0" xfId="0" applyNumberFormat="1" applyFont="1" applyFill="1" applyBorder="1" applyAlignment="1">
      <alignment horizontal="center" vertical="center"/>
    </xf>
    <xf numFmtId="164" fontId="110" fillId="12" borderId="63" xfId="0" applyNumberFormat="1" applyFont="1" applyFill="1" applyBorder="1" applyAlignment="1">
      <alignment horizontal="center" vertical="center"/>
    </xf>
    <xf numFmtId="164" fontId="59" fillId="12" borderId="125" xfId="0" applyNumberFormat="1" applyFont="1" applyFill="1" applyBorder="1" applyAlignment="1">
      <alignment horizontal="center" vertical="top"/>
    </xf>
    <xf numFmtId="164" fontId="111" fillId="12" borderId="128" xfId="0" applyNumberFormat="1" applyFont="1" applyFill="1" applyBorder="1" applyAlignment="1">
      <alignment horizontal="center" vertical="top"/>
    </xf>
    <xf numFmtId="164" fontId="111" fillId="12" borderId="153"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8" xfId="0" applyNumberFormat="1" applyFont="1" applyBorder="1" applyAlignment="1">
      <alignment horizontal="left" vertical="center" wrapText="1"/>
    </xf>
    <xf numFmtId="0" fontId="55" fillId="0" borderId="126"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6" xfId="3" applyNumberFormat="1" applyFont="1" applyBorder="1" applyProtection="1"/>
    <xf numFmtId="0" fontId="53" fillId="0" borderId="147"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7" xfId="3" applyNumberFormat="1" applyFont="1" applyBorder="1" applyAlignment="1" applyProtection="1">
      <alignment horizontal="left" indent="1"/>
      <protection locked="0"/>
    </xf>
    <xf numFmtId="0" fontId="63" fillId="0" borderId="147" xfId="3"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49" xfId="3" applyNumberFormat="1" applyFont="1" applyBorder="1" applyAlignment="1" applyProtection="1">
      <protection locked="0"/>
    </xf>
    <xf numFmtId="0" fontId="63" fillId="0" borderId="150"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2" fillId="0" borderId="149"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0"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9" xfId="3" applyNumberFormat="1" applyFont="1" applyBorder="1" applyProtection="1">
      <protection locked="0"/>
    </xf>
    <xf numFmtId="6" fontId="60" fillId="0" borderId="150"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49"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0"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9" xfId="3" applyFont="1" applyBorder="1" applyAlignment="1" applyProtection="1">
      <alignment horizontal="center"/>
    </xf>
    <xf numFmtId="0" fontId="60" fillId="0" borderId="76" xfId="3" applyFont="1" applyBorder="1" applyAlignment="1" applyProtection="1">
      <alignment horizontal="center"/>
    </xf>
    <xf numFmtId="0" fontId="60" fillId="0" borderId="150" xfId="3" applyFont="1" applyBorder="1" applyAlignment="1" applyProtection="1">
      <alignment horizontal="center"/>
    </xf>
    <xf numFmtId="38" fontId="60" fillId="0" borderId="149"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0"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4"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3</xdr:col>
          <xdr:colOff>304800</xdr:colOff>
          <xdr:row>10</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561975</xdr:colOff>
          <xdr:row>6</xdr:row>
          <xdr:rowOff>0</xdr:rowOff>
        </xdr:from>
        <xdr:to>
          <xdr:col>5</xdr:col>
          <xdr:colOff>257175</xdr:colOff>
          <xdr:row>10</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485775</xdr:colOff>
          <xdr:row>5</xdr:row>
          <xdr:rowOff>152400</xdr:rowOff>
        </xdr:from>
        <xdr:to>
          <xdr:col>7</xdr:col>
          <xdr:colOff>180975</xdr:colOff>
          <xdr:row>10</xdr:row>
          <xdr:rowOff>28575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Normal="10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1988</v>
      </c>
      <c r="B1" s="45"/>
      <c r="C1" s="45"/>
      <c r="D1" s="46"/>
      <c r="I1" s="2025" t="s">
        <v>405</v>
      </c>
      <c r="J1" s="2026"/>
      <c r="K1" s="2026"/>
      <c r="L1" s="2026"/>
      <c r="M1" s="2026"/>
      <c r="N1" s="2026"/>
      <c r="O1" s="2026"/>
      <c r="P1" s="2026"/>
      <c r="Q1" s="2026"/>
      <c r="R1" s="2026"/>
      <c r="S1" s="2026"/>
    </row>
    <row r="2" spans="1:28" ht="12" customHeight="1" x14ac:dyDescent="0.2">
      <c r="A2" s="47" t="s">
        <v>1989</v>
      </c>
      <c r="D2" s="48"/>
      <c r="I2" s="2027" t="s">
        <v>979</v>
      </c>
      <c r="J2" s="2026"/>
      <c r="K2" s="2026"/>
      <c r="L2" s="2026"/>
      <c r="M2" s="2026"/>
      <c r="N2" s="2026"/>
      <c r="O2" s="2026"/>
      <c r="P2" s="2026"/>
      <c r="Q2" s="2026"/>
      <c r="R2" s="2026"/>
      <c r="S2" s="2026"/>
    </row>
    <row r="3" spans="1:28" ht="12" customHeight="1" x14ac:dyDescent="0.2">
      <c r="A3" s="155" t="s">
        <v>1941</v>
      </c>
      <c r="B3" s="156"/>
      <c r="C3" s="156"/>
      <c r="D3" s="157"/>
      <c r="I3" s="2027" t="s">
        <v>52</v>
      </c>
      <c r="J3" s="2026"/>
      <c r="K3" s="2026"/>
      <c r="L3" s="2026"/>
      <c r="M3" s="2026"/>
      <c r="N3" s="2026"/>
      <c r="O3" s="2026"/>
      <c r="P3" s="2026"/>
      <c r="Q3" s="2026"/>
      <c r="R3" s="2026"/>
      <c r="S3" s="2026"/>
    </row>
    <row r="4" spans="1:28" ht="12" customHeight="1" x14ac:dyDescent="0.2">
      <c r="A4" s="37"/>
      <c r="I4" s="2027" t="s">
        <v>524</v>
      </c>
      <c r="J4" s="2026"/>
      <c r="K4" s="2026"/>
      <c r="L4" s="2026"/>
      <c r="M4" s="2026"/>
      <c r="N4" s="2026"/>
      <c r="O4" s="2026"/>
      <c r="P4" s="2026"/>
      <c r="Q4" s="2026"/>
      <c r="R4" s="2026"/>
      <c r="S4" s="2026"/>
    </row>
    <row r="5" spans="1:28" ht="14.1" customHeight="1" x14ac:dyDescent="0.2">
      <c r="B5" s="104" t="s">
        <v>2063</v>
      </c>
      <c r="C5" s="26" t="s">
        <v>910</v>
      </c>
      <c r="D5" s="84"/>
      <c r="E5" s="84"/>
      <c r="H5" s="38"/>
      <c r="I5" s="2034" t="s">
        <v>680</v>
      </c>
      <c r="J5" s="1979"/>
      <c r="K5" s="1979"/>
      <c r="L5" s="1979"/>
      <c r="M5" s="1979"/>
      <c r="N5" s="1979"/>
      <c r="O5" s="1979"/>
      <c r="P5" s="1979"/>
      <c r="Q5" s="1979"/>
      <c r="R5" s="1979"/>
      <c r="S5" s="1979"/>
    </row>
    <row r="6" spans="1:28" ht="14.1" customHeight="1" x14ac:dyDescent="0.2">
      <c r="B6" s="104"/>
      <c r="C6" s="26" t="s">
        <v>911</v>
      </c>
      <c r="D6" s="84"/>
      <c r="E6" s="84"/>
      <c r="I6" s="2033" t="s">
        <v>883</v>
      </c>
      <c r="J6" s="1979"/>
      <c r="K6" s="1979"/>
      <c r="L6" s="1979"/>
      <c r="M6" s="1979"/>
      <c r="N6" s="1979"/>
      <c r="O6" s="1979"/>
      <c r="P6" s="1979"/>
      <c r="Q6" s="1979"/>
      <c r="R6" s="1979"/>
      <c r="S6" s="1979"/>
    </row>
    <row r="7" spans="1:28" ht="12.2" customHeight="1" x14ac:dyDescent="0.2">
      <c r="I7" s="2028">
        <v>43646</v>
      </c>
      <c r="J7" s="2029"/>
      <c r="K7" s="2029"/>
      <c r="L7" s="2029"/>
      <c r="M7" s="2029"/>
      <c r="N7" s="2029"/>
      <c r="O7" s="2029"/>
      <c r="P7" s="2029"/>
      <c r="Q7" s="2029"/>
      <c r="R7" s="2029"/>
      <c r="S7" s="202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0" t="s">
        <v>674</v>
      </c>
      <c r="J9" s="2031"/>
      <c r="K9" s="2031"/>
      <c r="L9" s="2031"/>
      <c r="M9" s="2031"/>
      <c r="N9" s="2031"/>
      <c r="O9" s="2031"/>
      <c r="P9" s="2031"/>
      <c r="Q9" s="2031"/>
      <c r="R9" s="2031"/>
      <c r="S9" s="2032"/>
      <c r="T9" s="1975" t="s">
        <v>533</v>
      </c>
      <c r="U9" s="1976"/>
      <c r="V9" s="1976"/>
      <c r="W9" s="1976"/>
      <c r="X9" s="1976"/>
      <c r="Y9" s="1976"/>
      <c r="Z9" s="1976"/>
      <c r="AA9" s="1977"/>
    </row>
    <row r="10" spans="1:28" ht="13.5" customHeight="1" x14ac:dyDescent="0.2">
      <c r="A10" s="1984" t="s">
        <v>675</v>
      </c>
      <c r="B10" s="1985"/>
      <c r="C10" s="1985"/>
      <c r="D10" s="1985"/>
      <c r="E10" s="1985"/>
      <c r="F10" s="1985"/>
      <c r="G10" s="1985"/>
      <c r="H10" s="1986"/>
      <c r="I10" s="29"/>
      <c r="J10" s="30"/>
      <c r="K10" s="28"/>
      <c r="R10" s="30"/>
      <c r="S10" s="30"/>
      <c r="T10" s="1978"/>
      <c r="U10" s="1979"/>
      <c r="V10" s="1979"/>
      <c r="W10" s="1979"/>
      <c r="X10" s="1979"/>
      <c r="Y10" s="1979"/>
      <c r="Z10" s="1979"/>
      <c r="AA10" s="1980"/>
    </row>
    <row r="11" spans="1:28" ht="14.25" customHeight="1" x14ac:dyDescent="0.2">
      <c r="A11" s="1987" t="s">
        <v>955</v>
      </c>
      <c r="B11" s="1988"/>
      <c r="C11" s="1988"/>
      <c r="D11" s="1988"/>
      <c r="E11" s="1988"/>
      <c r="F11" s="1988"/>
      <c r="G11" s="1988"/>
      <c r="H11" s="1989"/>
      <c r="I11" s="27"/>
      <c r="J11" s="74"/>
      <c r="K11" s="27"/>
      <c r="O11" s="148"/>
      <c r="P11" s="100" t="s">
        <v>201</v>
      </c>
      <c r="Q11" s="30"/>
      <c r="R11" s="28"/>
      <c r="S11" s="27"/>
      <c r="T11" s="1981"/>
      <c r="U11" s="1982"/>
      <c r="V11" s="1982"/>
      <c r="W11" s="1982"/>
      <c r="X11" s="1982"/>
      <c r="Y11" s="1982"/>
      <c r="Z11" s="1982"/>
      <c r="AA11" s="1983"/>
    </row>
    <row r="12" spans="1:28" ht="13.5" customHeight="1" x14ac:dyDescent="0.2">
      <c r="A12" s="85" t="s">
        <v>925</v>
      </c>
      <c r="B12" s="76"/>
      <c r="C12" s="76"/>
      <c r="D12" s="76"/>
      <c r="E12" s="76"/>
      <c r="F12" s="76"/>
      <c r="G12" s="76"/>
      <c r="H12" s="53"/>
      <c r="I12" s="29"/>
      <c r="J12" s="30"/>
      <c r="K12" s="28"/>
      <c r="O12" s="149" t="s">
        <v>2063</v>
      </c>
      <c r="P12" s="100" t="s">
        <v>202</v>
      </c>
      <c r="Q12" s="74"/>
      <c r="R12" s="30"/>
      <c r="S12" s="30"/>
      <c r="T12" s="85" t="s">
        <v>265</v>
      </c>
      <c r="U12" s="51"/>
      <c r="V12" s="51"/>
      <c r="W12" s="51"/>
      <c r="X12" s="51"/>
      <c r="Y12" s="45"/>
      <c r="Z12" s="45"/>
      <c r="AA12" s="46"/>
    </row>
    <row r="13" spans="1:28" ht="13.5" customHeight="1" x14ac:dyDescent="0.2">
      <c r="A13" s="1995">
        <v>34049050004</v>
      </c>
      <c r="B13" s="1996"/>
      <c r="C13" s="1996"/>
      <c r="D13" s="1996"/>
      <c r="E13" s="1996"/>
      <c r="F13" s="1996"/>
      <c r="G13" s="1996"/>
      <c r="H13" s="1997"/>
      <c r="I13" s="31"/>
      <c r="J13" s="30"/>
      <c r="K13" s="28"/>
      <c r="L13" s="30"/>
      <c r="M13" s="30"/>
      <c r="N13" s="30"/>
      <c r="O13" s="30"/>
      <c r="P13" s="30"/>
      <c r="Q13" s="30"/>
      <c r="R13" s="30"/>
      <c r="S13" s="30"/>
      <c r="T13" s="2000" t="s">
        <v>2075</v>
      </c>
      <c r="U13" s="2001"/>
      <c r="V13" s="2001"/>
      <c r="W13" s="2001"/>
      <c r="X13" s="2001"/>
      <c r="Y13" s="2002"/>
      <c r="Z13" s="2002"/>
      <c r="AA13" s="2003"/>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93" t="s">
        <v>2064</v>
      </c>
      <c r="B15" s="1998"/>
      <c r="C15" s="1998"/>
      <c r="D15" s="1998"/>
      <c r="E15" s="1998"/>
      <c r="F15" s="1998"/>
      <c r="G15" s="1998"/>
      <c r="H15" s="1999"/>
      <c r="T15" s="1961" t="s">
        <v>2068</v>
      </c>
      <c r="U15" s="1962"/>
      <c r="V15" s="1962"/>
      <c r="W15" s="1962"/>
      <c r="X15" s="1962"/>
      <c r="Y15" s="2004"/>
      <c r="Z15" s="2004"/>
      <c r="AA15" s="2005"/>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53" t="s">
        <v>2226</v>
      </c>
      <c r="B17" s="2023"/>
      <c r="C17" s="2023"/>
      <c r="D17" s="2023"/>
      <c r="E17" s="2023"/>
      <c r="F17" s="2023"/>
      <c r="G17" s="2023"/>
      <c r="H17" s="2024"/>
      <c r="T17" s="2010" t="s">
        <v>2069</v>
      </c>
      <c r="U17" s="2011"/>
      <c r="V17" s="2011"/>
      <c r="W17" s="2011"/>
      <c r="X17" s="2011"/>
      <c r="Y17" s="2011"/>
      <c r="Z17" s="2011"/>
      <c r="AA17" s="2012"/>
    </row>
    <row r="18" spans="1:27" ht="13.5" customHeight="1" x14ac:dyDescent="0.2">
      <c r="A18" s="85" t="s">
        <v>530</v>
      </c>
      <c r="B18" s="76"/>
      <c r="C18" s="72"/>
      <c r="D18" s="76"/>
      <c r="E18" s="76"/>
      <c r="F18" s="76"/>
      <c r="G18" s="76"/>
      <c r="H18" s="56"/>
      <c r="I18" s="2020" t="s">
        <v>676</v>
      </c>
      <c r="J18" s="2021"/>
      <c r="K18" s="2021"/>
      <c r="L18" s="2021"/>
      <c r="M18" s="2021"/>
      <c r="N18" s="2021"/>
      <c r="O18" s="2021"/>
      <c r="P18" s="2021"/>
      <c r="Q18" s="2021"/>
      <c r="R18" s="2021"/>
      <c r="S18" s="2022"/>
      <c r="T18" s="85" t="s">
        <v>711</v>
      </c>
      <c r="U18" s="51"/>
      <c r="V18" s="72"/>
      <c r="W18" s="50"/>
      <c r="X18" s="85" t="s">
        <v>266</v>
      </c>
      <c r="Y18" s="81"/>
      <c r="Z18" s="159" t="s">
        <v>677</v>
      </c>
      <c r="AA18" s="46"/>
    </row>
    <row r="19" spans="1:27" ht="13.5" customHeight="1" x14ac:dyDescent="0.2">
      <c r="A19" s="1993" t="s">
        <v>2065</v>
      </c>
      <c r="B19" s="1994"/>
      <c r="C19" s="1994"/>
      <c r="D19" s="1994"/>
      <c r="E19" s="1994"/>
      <c r="F19" s="1994"/>
      <c r="G19" s="1994"/>
      <c r="H19" s="1992"/>
      <c r="I19" s="30"/>
      <c r="J19" s="99"/>
      <c r="K19" s="40"/>
      <c r="L19" s="38"/>
      <c r="M19" s="112" t="s">
        <v>315</v>
      </c>
      <c r="P19" s="27"/>
      <c r="Q19" s="27"/>
      <c r="R19" s="27"/>
      <c r="S19" s="31"/>
      <c r="T19" s="1993" t="s">
        <v>2070</v>
      </c>
      <c r="U19" s="1991"/>
      <c r="V19" s="1991"/>
      <c r="W19" s="1992"/>
      <c r="X19" s="2008" t="s">
        <v>2071</v>
      </c>
      <c r="Y19" s="2009"/>
      <c r="Z19" s="2006">
        <v>60008</v>
      </c>
      <c r="AA19" s="2007"/>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90" t="s">
        <v>2066</v>
      </c>
      <c r="B21" s="1991"/>
      <c r="C21" s="1991"/>
      <c r="D21" s="1991"/>
      <c r="E21" s="1991"/>
      <c r="F21" s="1991"/>
      <c r="G21" s="1991"/>
      <c r="H21" s="1992"/>
      <c r="I21" s="2016" t="s">
        <v>678</v>
      </c>
      <c r="J21" s="1979"/>
      <c r="K21" s="1979"/>
      <c r="L21" s="1979"/>
      <c r="M21" s="1979"/>
      <c r="N21" s="1979"/>
      <c r="O21" s="1979"/>
      <c r="P21" s="1979"/>
      <c r="Q21" s="1979"/>
      <c r="R21" s="1979"/>
      <c r="S21" s="1980"/>
      <c r="T21" s="1958" t="s">
        <v>2072</v>
      </c>
      <c r="U21" s="1959"/>
      <c r="V21" s="1959"/>
      <c r="W21" s="1959"/>
      <c r="X21" s="1972" t="s">
        <v>2073</v>
      </c>
      <c r="Y21" s="1973"/>
      <c r="Z21" s="1973"/>
      <c r="AA21" s="1974"/>
    </row>
    <row r="22" spans="1:27" ht="13.5" customHeight="1" x14ac:dyDescent="0.2">
      <c r="A22" s="87" t="s">
        <v>531</v>
      </c>
      <c r="B22" s="59"/>
      <c r="C22" s="59"/>
      <c r="D22" s="59"/>
      <c r="E22" s="59"/>
      <c r="F22" s="59"/>
      <c r="G22" s="59"/>
      <c r="H22" s="60"/>
      <c r="I22" s="2017" t="s">
        <v>1429</v>
      </c>
      <c r="J22" s="2018"/>
      <c r="K22" s="2018"/>
      <c r="L22" s="2018"/>
      <c r="M22" s="2018"/>
      <c r="N22" s="2018"/>
      <c r="O22" s="2018"/>
      <c r="P22" s="2018"/>
      <c r="Q22" s="2018"/>
      <c r="R22" s="2018"/>
      <c r="S22" s="2019"/>
      <c r="T22" s="85" t="s">
        <v>1516</v>
      </c>
      <c r="U22" s="51"/>
      <c r="V22" s="72"/>
      <c r="W22" s="51"/>
      <c r="X22" s="160" t="s">
        <v>1318</v>
      </c>
      <c r="Z22" s="45"/>
      <c r="AA22" s="46"/>
    </row>
    <row r="23" spans="1:27" ht="13.5" customHeight="1" x14ac:dyDescent="0.2">
      <c r="A23" s="2013" t="s">
        <v>2067</v>
      </c>
      <c r="B23" s="2014"/>
      <c r="C23" s="2014"/>
      <c r="D23" s="2014"/>
      <c r="E23" s="2014"/>
      <c r="F23" s="2014"/>
      <c r="G23" s="2014"/>
      <c r="H23" s="2015"/>
      <c r="T23" s="1953">
        <v>66.005340000000004</v>
      </c>
      <c r="U23" s="1954"/>
      <c r="V23" s="1954"/>
      <c r="W23" s="1954"/>
      <c r="X23" s="1969">
        <v>44530</v>
      </c>
      <c r="Y23" s="1970"/>
      <c r="Z23" s="1970"/>
      <c r="AA23" s="1971"/>
    </row>
    <row r="24" spans="1:27" ht="14.1" customHeight="1" x14ac:dyDescent="0.2">
      <c r="A24" s="88" t="s">
        <v>677</v>
      </c>
      <c r="B24" s="49"/>
      <c r="C24" s="49"/>
      <c r="D24" s="49"/>
      <c r="E24" s="49"/>
      <c r="F24" s="49"/>
      <c r="G24" s="49"/>
      <c r="H24" s="61"/>
      <c r="J24" s="2055">
        <f>IF(B5="x",IF(AUDITCHECK!D29="AFR form Incomplete.","",IF(AUDITCHECK!D29="Deficit reduction plan is required.","School District must complete a deficit reduction plan in the 2019-2020 Budget",)),"")</f>
        <v>0</v>
      </c>
      <c r="K24" s="2055"/>
      <c r="L24" s="2055"/>
      <c r="M24" s="2055"/>
      <c r="N24" s="2055"/>
      <c r="O24" s="2055"/>
      <c r="P24" s="2055"/>
      <c r="Q24" s="2055"/>
      <c r="R24" s="2055"/>
      <c r="S24" s="2056"/>
      <c r="T24" s="105" t="s">
        <v>531</v>
      </c>
      <c r="U24" s="106"/>
      <c r="V24" s="106"/>
      <c r="W24" s="106"/>
      <c r="X24" s="107"/>
      <c r="Y24" s="107"/>
      <c r="Z24" s="107"/>
      <c r="AA24" s="108"/>
    </row>
    <row r="25" spans="1:27" ht="14.1" customHeight="1" x14ac:dyDescent="0.2">
      <c r="A25" s="1990">
        <v>600131</v>
      </c>
      <c r="B25" s="1991"/>
      <c r="C25" s="1991"/>
      <c r="D25" s="1991"/>
      <c r="E25" s="1991"/>
      <c r="F25" s="1991"/>
      <c r="G25" s="1991"/>
      <c r="H25" s="1992"/>
      <c r="I25" s="113"/>
      <c r="J25" s="2057"/>
      <c r="K25" s="2057"/>
      <c r="L25" s="2057"/>
      <c r="M25" s="2057"/>
      <c r="N25" s="2057"/>
      <c r="O25" s="2057"/>
      <c r="P25" s="2057"/>
      <c r="Q25" s="2057"/>
      <c r="R25" s="2057"/>
      <c r="S25" s="2058"/>
      <c r="T25" s="1950" t="s">
        <v>2074</v>
      </c>
      <c r="U25" s="1951"/>
      <c r="V25" s="1951"/>
      <c r="W25" s="1951"/>
      <c r="X25" s="1951"/>
      <c r="Y25" s="1951"/>
      <c r="Z25" s="1951"/>
      <c r="AA25" s="195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48" t="s">
        <v>1511</v>
      </c>
      <c r="J27" s="2021"/>
      <c r="K27" s="2021"/>
      <c r="L27" s="2021"/>
      <c r="M27" s="2021"/>
      <c r="N27" s="2021"/>
      <c r="O27" s="2021"/>
      <c r="P27" s="2021"/>
      <c r="Q27" s="2021"/>
      <c r="R27" s="2021"/>
      <c r="S27" s="2022"/>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2063</v>
      </c>
      <c r="F29" s="141" t="s">
        <v>1316</v>
      </c>
      <c r="G29" s="114"/>
      <c r="I29" s="54"/>
      <c r="J29" s="148" t="s">
        <v>2063</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48" t="s">
        <v>2063</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2063</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94"/>
      <c r="Q35" s="1991"/>
      <c r="R35" s="199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53"/>
      <c r="B38" s="2023"/>
      <c r="C38" s="2023"/>
      <c r="D38" s="2023"/>
      <c r="E38" s="2023"/>
      <c r="F38" s="1991"/>
      <c r="G38" s="1991"/>
      <c r="H38" s="1992"/>
      <c r="I38" s="2042"/>
      <c r="J38" s="1962"/>
      <c r="K38" s="1962"/>
      <c r="L38" s="1962"/>
      <c r="M38" s="1962"/>
      <c r="N38" s="1962"/>
      <c r="O38" s="1962"/>
      <c r="P38" s="1963"/>
      <c r="Q38" s="1963"/>
      <c r="R38" s="1963"/>
      <c r="S38" s="1964"/>
      <c r="T38" s="1961"/>
      <c r="U38" s="1962"/>
      <c r="V38" s="1962"/>
      <c r="W38" s="1962"/>
      <c r="X38" s="1963"/>
      <c r="Y38" s="1963"/>
      <c r="Z38" s="1963"/>
      <c r="AA38" s="1964"/>
    </row>
    <row r="39" spans="1:27" ht="12" customHeight="1" x14ac:dyDescent="0.2">
      <c r="A39" s="2046" t="s">
        <v>531</v>
      </c>
      <c r="B39" s="2047"/>
      <c r="C39" s="72"/>
      <c r="D39" s="69"/>
      <c r="E39" s="69"/>
      <c r="F39" s="79"/>
      <c r="G39" s="69"/>
      <c r="H39" s="56"/>
      <c r="I39" s="2046" t="s">
        <v>531</v>
      </c>
      <c r="J39" s="2047"/>
      <c r="K39" s="2047"/>
      <c r="L39" s="2047"/>
      <c r="M39" s="2047"/>
      <c r="N39" s="67"/>
      <c r="O39" s="72"/>
      <c r="P39" s="72"/>
      <c r="Q39" s="78"/>
      <c r="R39" s="72"/>
      <c r="S39" s="56"/>
      <c r="T39" s="72" t="s">
        <v>531</v>
      </c>
      <c r="U39" s="51"/>
      <c r="V39" s="72"/>
      <c r="W39" s="50"/>
      <c r="X39" s="78"/>
      <c r="Y39" s="45"/>
      <c r="Z39" s="45"/>
      <c r="AA39" s="46"/>
    </row>
    <row r="40" spans="1:27" ht="13.5" customHeight="1" x14ac:dyDescent="0.2">
      <c r="A40" s="2049"/>
      <c r="B40" s="2050"/>
      <c r="C40" s="2051"/>
      <c r="D40" s="2051"/>
      <c r="E40" s="2051"/>
      <c r="F40" s="2052"/>
      <c r="G40" s="2052"/>
      <c r="H40" s="2053"/>
      <c r="I40" s="1965"/>
      <c r="J40" s="1967"/>
      <c r="K40" s="1967"/>
      <c r="L40" s="1967"/>
      <c r="M40" s="1967"/>
      <c r="N40" s="1967"/>
      <c r="O40" s="1967"/>
      <c r="P40" s="1967"/>
      <c r="Q40" s="1967"/>
      <c r="R40" s="1967"/>
      <c r="S40" s="1968"/>
      <c r="T40" s="1965"/>
      <c r="U40" s="1966"/>
      <c r="V40" s="1967"/>
      <c r="W40" s="1967"/>
      <c r="X40" s="1967"/>
      <c r="Y40" s="1967"/>
      <c r="Z40" s="1967"/>
      <c r="AA40" s="1968"/>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9"/>
      <c r="B42" s="2040"/>
      <c r="C42" s="2041"/>
      <c r="D42" s="2054"/>
      <c r="E42" s="2040"/>
      <c r="F42" s="2040"/>
      <c r="G42" s="2040"/>
      <c r="H42" s="2041"/>
      <c r="I42" s="1960"/>
      <c r="J42" s="1956"/>
      <c r="K42" s="1956"/>
      <c r="L42" s="1956"/>
      <c r="M42" s="1956"/>
      <c r="N42" s="1956"/>
      <c r="O42" s="1957"/>
      <c r="P42" s="1955"/>
      <c r="Q42" s="1956"/>
      <c r="R42" s="1956"/>
      <c r="S42" s="1957"/>
      <c r="T42" s="1960"/>
      <c r="U42" s="1956"/>
      <c r="V42" s="1956"/>
      <c r="W42" s="1957"/>
      <c r="X42" s="1955"/>
      <c r="Y42" s="1956"/>
      <c r="Z42" s="1956"/>
      <c r="AA42" s="1957"/>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43"/>
      <c r="B44" s="2044"/>
      <c r="C44" s="2044"/>
      <c r="D44" s="2044"/>
      <c r="E44" s="2044"/>
      <c r="F44" s="2044"/>
      <c r="G44" s="2044"/>
      <c r="H44" s="2045"/>
      <c r="I44" s="2035"/>
      <c r="J44" s="2037"/>
      <c r="K44" s="2037"/>
      <c r="L44" s="2037"/>
      <c r="M44" s="2037"/>
      <c r="N44" s="2037"/>
      <c r="O44" s="2037"/>
      <c r="P44" s="2037"/>
      <c r="Q44" s="2037"/>
      <c r="R44" s="2037"/>
      <c r="S44" s="2038"/>
      <c r="T44" s="2035"/>
      <c r="U44" s="2036"/>
      <c r="V44" s="2036"/>
      <c r="W44" s="2036"/>
      <c r="X44" s="2036"/>
      <c r="Y44" s="2036"/>
      <c r="Z44" s="2037"/>
      <c r="AA44" s="2038"/>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1940</v>
      </c>
      <c r="D46" s="41"/>
      <c r="E46" s="41"/>
      <c r="F46" s="41"/>
      <c r="G46" s="41"/>
      <c r="Q46" s="29" t="s">
        <v>1420</v>
      </c>
      <c r="R46" s="41"/>
      <c r="S46" s="41"/>
      <c r="T46" s="41"/>
      <c r="U46" s="41"/>
      <c r="V46" s="41"/>
      <c r="W46" s="41"/>
      <c r="X46" s="41"/>
      <c r="Y46" s="41"/>
      <c r="Z46" s="41"/>
      <c r="AA46" s="41"/>
    </row>
    <row r="47" spans="1:27" x14ac:dyDescent="0.2">
      <c r="A47" s="137"/>
      <c r="Q47" s="41" t="s">
        <v>1923</v>
      </c>
      <c r="R47" s="41"/>
      <c r="S47" s="41"/>
      <c r="T47" s="41"/>
      <c r="U47" s="41"/>
      <c r="V47" s="41"/>
      <c r="W47" s="41"/>
      <c r="X47" s="41"/>
      <c r="Y47" s="41"/>
      <c r="Z47" s="41"/>
      <c r="AA47" s="41"/>
    </row>
    <row r="48" spans="1:27" x14ac:dyDescent="0.2">
      <c r="Q48" s="41" t="s">
        <v>1924</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topLeftCell="A2" colorId="8" zoomScale="110" zoomScaleNormal="110" workbookViewId="0">
      <selection activeCell="C16" sqref="C16"/>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92" t="s">
        <v>1800</v>
      </c>
      <c r="B2" s="1528" t="s">
        <v>1947</v>
      </c>
      <c r="C2" s="714" t="s">
        <v>1948</v>
      </c>
      <c r="D2" s="714" t="s">
        <v>1949</v>
      </c>
      <c r="E2" s="714" t="s">
        <v>1950</v>
      </c>
      <c r="F2" s="714" t="s">
        <v>1951</v>
      </c>
    </row>
    <row r="3" spans="1:6" ht="12" customHeight="1" x14ac:dyDescent="0.2">
      <c r="A3" s="2193"/>
      <c r="B3" s="1525"/>
      <c r="C3" s="1526"/>
      <c r="D3" s="1527" t="s">
        <v>256</v>
      </c>
      <c r="E3" s="1526"/>
      <c r="F3" s="1527" t="s">
        <v>257</v>
      </c>
    </row>
    <row r="4" spans="1:6" ht="13.7" customHeight="1" x14ac:dyDescent="0.2">
      <c r="A4" s="715" t="s">
        <v>1155</v>
      </c>
      <c r="B4" s="1749">
        <f>'Revenues 9-14'!C5</f>
        <v>48770998</v>
      </c>
      <c r="C4" s="1524">
        <v>26137016</v>
      </c>
      <c r="D4" s="1752">
        <f>B4-C4</f>
        <v>22633982</v>
      </c>
      <c r="E4" s="1524">
        <v>52395686</v>
      </c>
      <c r="F4" s="1752">
        <f>E4-C4</f>
        <v>26258670</v>
      </c>
    </row>
    <row r="5" spans="1:6" ht="13.7" customHeight="1" x14ac:dyDescent="0.2">
      <c r="A5" s="715" t="s">
        <v>870</v>
      </c>
      <c r="B5" s="1750">
        <f>'Revenues 9-14'!D5</f>
        <v>5384593</v>
      </c>
      <c r="C5" s="585">
        <v>2918271</v>
      </c>
      <c r="D5" s="1753">
        <f t="shared" ref="D5:D18" si="0">B5-C5</f>
        <v>2466322</v>
      </c>
      <c r="E5" s="585">
        <v>5850124</v>
      </c>
      <c r="F5" s="1753">
        <f>E5-C5</f>
        <v>2931853</v>
      </c>
    </row>
    <row r="6" spans="1:6" ht="13.7" customHeight="1" x14ac:dyDescent="0.2">
      <c r="A6" s="715" t="s">
        <v>411</v>
      </c>
      <c r="B6" s="1750">
        <f>'Revenues 9-14'!E5</f>
        <v>4729642</v>
      </c>
      <c r="C6" s="585">
        <v>2577603</v>
      </c>
      <c r="D6" s="1753">
        <f t="shared" si="0"/>
        <v>2152039</v>
      </c>
      <c r="E6" s="585">
        <v>5167203</v>
      </c>
      <c r="F6" s="1753">
        <f t="shared" ref="F6:F18" si="1">E6-C6</f>
        <v>2589600</v>
      </c>
    </row>
    <row r="7" spans="1:6" ht="13.7" customHeight="1" x14ac:dyDescent="0.2">
      <c r="A7" s="715" t="s">
        <v>155</v>
      </c>
      <c r="B7" s="1750">
        <f>'Revenues 9-14'!F5</f>
        <v>2171018</v>
      </c>
      <c r="C7" s="585">
        <v>1139108</v>
      </c>
      <c r="D7" s="1753">
        <f t="shared" si="0"/>
        <v>1031910</v>
      </c>
      <c r="E7" s="585">
        <v>2283519</v>
      </c>
      <c r="F7" s="1753">
        <f t="shared" si="1"/>
        <v>1144411</v>
      </c>
    </row>
    <row r="8" spans="1:6" ht="13.7" customHeight="1" x14ac:dyDescent="0.2">
      <c r="A8" s="715" t="s">
        <v>1179</v>
      </c>
      <c r="B8" s="1750">
        <f>'Revenues 9-14'!G5</f>
        <v>1297498</v>
      </c>
      <c r="C8" s="585">
        <v>748430</v>
      </c>
      <c r="D8" s="1753">
        <f t="shared" si="0"/>
        <v>549068</v>
      </c>
      <c r="E8" s="585">
        <v>1500343</v>
      </c>
      <c r="F8" s="1753">
        <f t="shared" si="1"/>
        <v>751913</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19500</v>
      </c>
      <c r="C10" s="585">
        <v>10463</v>
      </c>
      <c r="D10" s="1753">
        <f t="shared" si="0"/>
        <v>9037</v>
      </c>
      <c r="E10" s="585">
        <v>20975</v>
      </c>
      <c r="F10" s="1753">
        <f t="shared" si="1"/>
        <v>10512</v>
      </c>
    </row>
    <row r="11" spans="1:6" x14ac:dyDescent="0.2">
      <c r="A11" s="715" t="s">
        <v>409</v>
      </c>
      <c r="B11" s="1750">
        <f>'Revenues 9-14'!J5</f>
        <v>18971</v>
      </c>
      <c r="C11" s="585">
        <v>9964</v>
      </c>
      <c r="D11" s="1753">
        <f t="shared" si="0"/>
        <v>9007</v>
      </c>
      <c r="E11" s="585">
        <v>19974</v>
      </c>
      <c r="F11" s="1753">
        <f t="shared" si="1"/>
        <v>10010</v>
      </c>
    </row>
    <row r="12" spans="1:6" ht="13.7" customHeight="1" x14ac:dyDescent="0.2">
      <c r="A12" s="715" t="s">
        <v>157</v>
      </c>
      <c r="B12" s="1750">
        <f>'Revenues 9-14'!K5</f>
        <v>0</v>
      </c>
      <c r="C12" s="585"/>
      <c r="D12" s="1753">
        <f t="shared" si="0"/>
        <v>0</v>
      </c>
      <c r="E12" s="585"/>
      <c r="F12" s="1753">
        <f t="shared" si="1"/>
        <v>0</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1390048</v>
      </c>
      <c r="C14" s="585">
        <v>745706</v>
      </c>
      <c r="D14" s="1753">
        <f t="shared" si="0"/>
        <v>644342</v>
      </c>
      <c r="E14" s="585">
        <v>1494882</v>
      </c>
      <c r="F14" s="1753">
        <f t="shared" si="1"/>
        <v>749176</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1297498</v>
      </c>
      <c r="C16" s="585">
        <v>748430</v>
      </c>
      <c r="D16" s="1753">
        <f t="shared" si="0"/>
        <v>549068</v>
      </c>
      <c r="E16" s="585">
        <v>1500343</v>
      </c>
      <c r="F16" s="1753">
        <f t="shared" si="1"/>
        <v>751913</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108195</v>
      </c>
      <c r="C18" s="585">
        <v>57526</v>
      </c>
      <c r="D18" s="1753">
        <f t="shared" si="0"/>
        <v>50669</v>
      </c>
      <c r="E18" s="585">
        <v>115319</v>
      </c>
      <c r="F18" s="1753">
        <f t="shared" si="1"/>
        <v>57793</v>
      </c>
    </row>
    <row r="19" spans="1:6" ht="13.7" customHeight="1" thickBot="1" x14ac:dyDescent="0.25">
      <c r="A19" s="1754" t="s">
        <v>1161</v>
      </c>
      <c r="B19" s="1751">
        <f>SUM(B4:B18)</f>
        <v>65187961</v>
      </c>
      <c r="C19" s="1751">
        <f>SUM(C4:C18)</f>
        <v>35092517</v>
      </c>
      <c r="D19" s="1751">
        <f>SUM(D4:D18)</f>
        <v>30095444</v>
      </c>
      <c r="E19" s="1751">
        <f>SUM(E4:E18)</f>
        <v>70348368</v>
      </c>
      <c r="F19" s="1751">
        <f>SUM(F4:F18)</f>
        <v>35255851</v>
      </c>
    </row>
    <row r="20" spans="1:6" ht="13.5" thickTop="1" x14ac:dyDescent="0.2">
      <c r="B20" s="713"/>
      <c r="F20" s="716"/>
    </row>
    <row r="21" spans="1:6" x14ac:dyDescent="0.2">
      <c r="A21" s="717" t="s">
        <v>1806</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B34" colorId="8" zoomScale="110" zoomScaleNormal="110" workbookViewId="0">
      <selection activeCell="J38" sqref="J38"/>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8" t="s">
        <v>629</v>
      </c>
      <c r="B1" s="2199"/>
      <c r="C1" s="721"/>
    </row>
    <row r="2" spans="1:7" ht="33.75" x14ac:dyDescent="0.2">
      <c r="A2" s="2207" t="s">
        <v>1800</v>
      </c>
      <c r="B2" s="2208"/>
      <c r="C2" s="1884" t="s">
        <v>1952</v>
      </c>
      <c r="D2" s="723" t="s">
        <v>1953</v>
      </c>
      <c r="E2" s="723" t="s">
        <v>1954</v>
      </c>
      <c r="F2" s="1884" t="s">
        <v>1955</v>
      </c>
    </row>
    <row r="3" spans="1:7" ht="15.75" customHeight="1" x14ac:dyDescent="0.2">
      <c r="A3" s="2211" t="s">
        <v>1114</v>
      </c>
      <c r="B3" s="2212"/>
      <c r="C3" s="2200"/>
      <c r="D3" s="2201"/>
      <c r="E3" s="2201"/>
      <c r="F3" s="2202"/>
    </row>
    <row r="4" spans="1:7" ht="12.75" customHeight="1" thickBot="1" x14ac:dyDescent="0.25">
      <c r="A4" s="2209" t="s">
        <v>630</v>
      </c>
      <c r="B4" s="2210"/>
      <c r="C4" s="581"/>
      <c r="D4" s="581"/>
      <c r="E4" s="581"/>
      <c r="F4" s="1755">
        <f>SUM(C4+D4)-E4</f>
        <v>0</v>
      </c>
    </row>
    <row r="5" spans="1:7" ht="15.75" customHeight="1" thickTop="1" x14ac:dyDescent="0.2">
      <c r="A5" s="2194" t="s">
        <v>1110</v>
      </c>
      <c r="B5" s="2195"/>
      <c r="C5" s="2203"/>
      <c r="D5" s="2204"/>
      <c r="E5" s="2204"/>
      <c r="F5" s="2205"/>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6" t="s">
        <v>631</v>
      </c>
      <c r="B15" s="2197"/>
      <c r="C15" s="1755">
        <f>SUM(C6:C14)</f>
        <v>0</v>
      </c>
      <c r="D15" s="1755">
        <f>SUM(D6:D14)</f>
        <v>0</v>
      </c>
      <c r="E15" s="1755">
        <f>SUM(E6:E14)</f>
        <v>0</v>
      </c>
      <c r="F15" s="1755">
        <f>SUM(F6:F14)</f>
        <v>0</v>
      </c>
      <c r="G15" s="552"/>
    </row>
    <row r="16" spans="1:7" s="202" customFormat="1" ht="15.75" customHeight="1" thickTop="1" x14ac:dyDescent="0.2">
      <c r="A16" s="2206" t="s">
        <v>1111</v>
      </c>
      <c r="B16" s="2195"/>
      <c r="C16" s="2203"/>
      <c r="D16" s="2204"/>
      <c r="E16" s="2204"/>
      <c r="F16" s="2205"/>
    </row>
    <row r="17" spans="1:11" ht="12.75" customHeight="1" thickBot="1" x14ac:dyDescent="0.25">
      <c r="A17" s="2219" t="s">
        <v>64</v>
      </c>
      <c r="B17" s="2220"/>
      <c r="C17" s="726"/>
      <c r="D17" s="585"/>
      <c r="E17" s="726"/>
      <c r="F17" s="1755">
        <f>SUM(C17+D17)-E17</f>
        <v>0</v>
      </c>
    </row>
    <row r="18" spans="1:11" ht="12.75" customHeight="1" thickTop="1" thickBot="1" x14ac:dyDescent="0.25">
      <c r="A18" s="2219" t="s">
        <v>6</v>
      </c>
      <c r="B18" s="2220"/>
      <c r="C18" s="726"/>
      <c r="D18" s="585"/>
      <c r="E18" s="726"/>
      <c r="F18" s="1755">
        <f>SUM(C18+D18)-E18</f>
        <v>0</v>
      </c>
    </row>
    <row r="19" spans="1:11" ht="12.75" customHeight="1" thickTop="1" thickBot="1" x14ac:dyDescent="0.25">
      <c r="A19" s="2219" t="s">
        <v>388</v>
      </c>
      <c r="B19" s="2220"/>
      <c r="C19" s="726"/>
      <c r="D19" s="585"/>
      <c r="E19" s="726"/>
      <c r="F19" s="1755">
        <f>SUM(C19+D19)-E19</f>
        <v>0</v>
      </c>
    </row>
    <row r="20" spans="1:11" ht="12.75" customHeight="1" thickTop="1" thickBot="1" x14ac:dyDescent="0.25">
      <c r="A20" s="2219" t="s">
        <v>448</v>
      </c>
      <c r="B20" s="2220"/>
      <c r="C20" s="726"/>
      <c r="D20" s="585"/>
      <c r="E20" s="726"/>
      <c r="F20" s="1755">
        <f>SUM(C20+D20)-E20</f>
        <v>0</v>
      </c>
    </row>
    <row r="21" spans="1:11" ht="14.25" thickTop="1" thickBot="1" x14ac:dyDescent="0.25">
      <c r="A21" s="2196" t="s">
        <v>632</v>
      </c>
      <c r="B21" s="2197"/>
      <c r="C21" s="1755">
        <f>SUM(C17:C20)</f>
        <v>0</v>
      </c>
      <c r="D21" s="1755">
        <f>SUM(D17:D20)</f>
        <v>0</v>
      </c>
      <c r="E21" s="1755">
        <f>SUM(E17:E20)</f>
        <v>0</v>
      </c>
      <c r="F21" s="1755">
        <f>SUM(F17:F20)</f>
        <v>0</v>
      </c>
      <c r="G21" s="552"/>
    </row>
    <row r="22" spans="1:11" ht="15.75" customHeight="1" thickTop="1" x14ac:dyDescent="0.2">
      <c r="A22" s="2221" t="s">
        <v>1112</v>
      </c>
      <c r="B22" s="2195"/>
      <c r="C22" s="2203"/>
      <c r="D22" s="2204"/>
      <c r="E22" s="2204"/>
      <c r="F22" s="2205"/>
    </row>
    <row r="23" spans="1:11" ht="13.5" thickBot="1" x14ac:dyDescent="0.25">
      <c r="A23" s="2209" t="s">
        <v>633</v>
      </c>
      <c r="B23" s="2210"/>
      <c r="C23" s="581"/>
      <c r="D23" s="581"/>
      <c r="E23" s="581"/>
      <c r="F23" s="1755">
        <f>SUM(C23+D23)-E23</f>
        <v>0</v>
      </c>
      <c r="G23" s="552"/>
    </row>
    <row r="24" spans="1:11" ht="15.75" customHeight="1" thickTop="1" x14ac:dyDescent="0.2">
      <c r="A24" s="2221" t="s">
        <v>1113</v>
      </c>
      <c r="B24" s="2195"/>
      <c r="C24" s="2203"/>
      <c r="D24" s="2204"/>
      <c r="E24" s="2204"/>
      <c r="F24" s="2205"/>
    </row>
    <row r="25" spans="1:11" ht="13.5" thickBot="1" x14ac:dyDescent="0.25">
      <c r="A25" s="2209" t="s">
        <v>634</v>
      </c>
      <c r="B25" s="2210"/>
      <c r="C25" s="581"/>
      <c r="D25" s="581"/>
      <c r="E25" s="581"/>
      <c r="F25" s="1755">
        <f>SUM(C25+D25)-E25</f>
        <v>0</v>
      </c>
      <c r="G25" s="552"/>
    </row>
    <row r="26" spans="1:11" ht="15.75" customHeight="1" thickTop="1" x14ac:dyDescent="0.2">
      <c r="A26" s="2194" t="s">
        <v>657</v>
      </c>
      <c r="B26" s="2195"/>
      <c r="C26" s="727"/>
      <c r="D26" s="727"/>
      <c r="E26" s="727"/>
      <c r="F26" s="728"/>
    </row>
    <row r="27" spans="1:11" ht="13.5" thickBot="1" x14ac:dyDescent="0.25">
      <c r="A27" s="2196" t="s">
        <v>1070</v>
      </c>
      <c r="B27" s="2197"/>
      <c r="C27" s="585"/>
      <c r="D27" s="585"/>
      <c r="E27" s="585"/>
      <c r="F27" s="1755">
        <f>SUM(C27+D27)-E27</f>
        <v>0</v>
      </c>
      <c r="G27" s="552"/>
    </row>
    <row r="28" spans="1:11" ht="7.5" customHeight="1" thickTop="1" x14ac:dyDescent="0.2">
      <c r="A28" s="593"/>
    </row>
    <row r="29" spans="1:11" ht="23.25" customHeight="1" x14ac:dyDescent="0.2">
      <c r="A29" s="2222" t="s">
        <v>582</v>
      </c>
      <c r="B29" s="2199"/>
      <c r="C29" s="729"/>
      <c r="D29" s="729"/>
      <c r="E29" s="729"/>
      <c r="F29" s="729"/>
      <c r="G29" s="729"/>
      <c r="H29" s="729"/>
      <c r="I29" s="729"/>
      <c r="J29" s="729"/>
    </row>
    <row r="30" spans="1:11" ht="33.75" x14ac:dyDescent="0.2">
      <c r="A30" s="1529" t="s">
        <v>1071</v>
      </c>
      <c r="B30" s="730" t="s">
        <v>1124</v>
      </c>
      <c r="C30" s="1885" t="s">
        <v>583</v>
      </c>
      <c r="D30" s="1885" t="s">
        <v>1673</v>
      </c>
      <c r="E30" s="1885" t="s">
        <v>1956</v>
      </c>
      <c r="F30" s="1885" t="s">
        <v>1957</v>
      </c>
      <c r="G30" s="1885" t="s">
        <v>1908</v>
      </c>
      <c r="H30" s="1885" t="s">
        <v>1958</v>
      </c>
      <c r="I30" s="1885" t="s">
        <v>1959</v>
      </c>
      <c r="J30" s="1886" t="s">
        <v>2</v>
      </c>
      <c r="K30" s="731"/>
    </row>
    <row r="31" spans="1:11" ht="12" customHeight="1" x14ac:dyDescent="0.2">
      <c r="A31" s="732" t="s">
        <v>2076</v>
      </c>
      <c r="B31" s="733">
        <v>40590</v>
      </c>
      <c r="C31" s="734">
        <v>12370000</v>
      </c>
      <c r="D31" s="735">
        <v>3</v>
      </c>
      <c r="E31" s="734">
        <v>4065000</v>
      </c>
      <c r="F31" s="734"/>
      <c r="G31" s="734"/>
      <c r="H31" s="734"/>
      <c r="I31" s="1756">
        <f>((E31+F31)-H31)+G31</f>
        <v>4065000</v>
      </c>
      <c r="J31" s="734">
        <v>3894198</v>
      </c>
      <c r="K31" s="736"/>
    </row>
    <row r="32" spans="1:11" ht="12" customHeight="1" x14ac:dyDescent="0.2">
      <c r="A32" s="732" t="s">
        <v>2077</v>
      </c>
      <c r="B32" s="733">
        <v>40590</v>
      </c>
      <c r="C32" s="734">
        <v>7775000</v>
      </c>
      <c r="D32" s="735">
        <v>3</v>
      </c>
      <c r="E32" s="734">
        <v>2345000</v>
      </c>
      <c r="F32" s="734"/>
      <c r="G32" s="734"/>
      <c r="H32" s="734">
        <v>25000</v>
      </c>
      <c r="I32" s="1756">
        <f>((E32+F32)-H32)+G32</f>
        <v>2320000</v>
      </c>
      <c r="J32" s="734">
        <v>2222519</v>
      </c>
      <c r="K32" s="736"/>
    </row>
    <row r="33" spans="1:11" ht="12" customHeight="1" x14ac:dyDescent="0.2">
      <c r="A33" s="732" t="s">
        <v>2078</v>
      </c>
      <c r="B33" s="733">
        <v>42368</v>
      </c>
      <c r="C33" s="734">
        <v>21595000</v>
      </c>
      <c r="D33" s="735">
        <v>3</v>
      </c>
      <c r="E33" s="734">
        <v>4680000</v>
      </c>
      <c r="F33" s="734"/>
      <c r="G33" s="734"/>
      <c r="H33" s="734">
        <v>1585000</v>
      </c>
      <c r="I33" s="1756">
        <f t="shared" ref="I33:I48" si="1">((E33+F33)-H33)+G33</f>
        <v>3095000</v>
      </c>
      <c r="J33" s="734">
        <v>2964955</v>
      </c>
      <c r="K33" s="736"/>
    </row>
    <row r="34" spans="1:11" ht="12" customHeight="1" x14ac:dyDescent="0.2">
      <c r="A34" s="732" t="s">
        <v>2079</v>
      </c>
      <c r="B34" s="733">
        <v>43084</v>
      </c>
      <c r="C34" s="734">
        <v>22590000</v>
      </c>
      <c r="D34" s="735">
        <v>2</v>
      </c>
      <c r="E34" s="734">
        <v>22590000</v>
      </c>
      <c r="F34" s="734"/>
      <c r="G34" s="734"/>
      <c r="H34" s="734">
        <v>1615000</v>
      </c>
      <c r="I34" s="1756">
        <f t="shared" si="1"/>
        <v>20975000</v>
      </c>
      <c r="J34" s="734">
        <v>20093677</v>
      </c>
      <c r="K34" s="737"/>
    </row>
    <row r="35" spans="1:11" ht="12" customHeight="1" x14ac:dyDescent="0.2">
      <c r="A35" s="732" t="s">
        <v>2080</v>
      </c>
      <c r="B35" s="733">
        <v>43084</v>
      </c>
      <c r="C35" s="738">
        <v>38955000</v>
      </c>
      <c r="D35" s="735">
        <v>3</v>
      </c>
      <c r="E35" s="738">
        <v>35955000</v>
      </c>
      <c r="F35" s="738"/>
      <c r="G35" s="738"/>
      <c r="H35" s="738"/>
      <c r="I35" s="1756">
        <f t="shared" si="1"/>
        <v>35955000</v>
      </c>
      <c r="J35" s="738">
        <v>34444252</v>
      </c>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t="s">
        <v>2081</v>
      </c>
      <c r="B37" s="733" t="s">
        <v>2082</v>
      </c>
      <c r="C37" s="467"/>
      <c r="D37" s="740">
        <v>7</v>
      </c>
      <c r="E37" s="467">
        <v>802520</v>
      </c>
      <c r="F37" s="467">
        <v>518996</v>
      </c>
      <c r="G37" s="467"/>
      <c r="H37" s="467">
        <v>680138</v>
      </c>
      <c r="I37" s="1756">
        <f t="shared" si="1"/>
        <v>641378</v>
      </c>
      <c r="J37" s="467">
        <v>614429</v>
      </c>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103285000</v>
      </c>
      <c r="D49" s="745"/>
      <c r="E49" s="1756">
        <f t="shared" ref="E49:J49" si="2">SUM(E31:E48)</f>
        <v>70437520</v>
      </c>
      <c r="F49" s="1756">
        <f t="shared" si="2"/>
        <v>518996</v>
      </c>
      <c r="G49" s="1756">
        <f t="shared" si="2"/>
        <v>0</v>
      </c>
      <c r="H49" s="1756">
        <f t="shared" si="2"/>
        <v>3905138</v>
      </c>
      <c r="I49" s="1756">
        <f t="shared" si="2"/>
        <v>67051378</v>
      </c>
      <c r="J49" s="1756">
        <f t="shared" si="2"/>
        <v>64234030</v>
      </c>
      <c r="K49" s="737"/>
    </row>
    <row r="50" spans="1:11" ht="6" customHeight="1" x14ac:dyDescent="0.2">
      <c r="A50" s="746"/>
      <c r="B50" s="736"/>
      <c r="C50" s="736"/>
      <c r="D50" s="736"/>
      <c r="E50" s="736"/>
      <c r="F50" s="736"/>
      <c r="G50" s="736"/>
      <c r="H50" s="736"/>
      <c r="I50" s="736"/>
      <c r="J50" s="746"/>
    </row>
    <row r="51" spans="1:11" x14ac:dyDescent="0.2">
      <c r="A51" s="747" t="s">
        <v>1805</v>
      </c>
      <c r="B51" s="746"/>
      <c r="C51" s="737"/>
      <c r="D51" s="737"/>
      <c r="E51" s="737"/>
      <c r="F51" s="737"/>
      <c r="G51" s="737"/>
      <c r="H51" s="736"/>
      <c r="I51" s="736"/>
      <c r="J51" s="746"/>
    </row>
    <row r="52" spans="1:11" ht="11.25" customHeight="1" x14ac:dyDescent="0.2">
      <c r="A52" s="748" t="s">
        <v>912</v>
      </c>
      <c r="B52" s="2213" t="s">
        <v>584</v>
      </c>
      <c r="C52" s="2214"/>
      <c r="D52" s="2214"/>
      <c r="E52" s="749" t="s">
        <v>845</v>
      </c>
      <c r="F52" s="2215" t="s">
        <v>2081</v>
      </c>
      <c r="G52" s="2216"/>
      <c r="H52" s="736"/>
      <c r="I52" s="736"/>
      <c r="J52" s="746"/>
    </row>
    <row r="53" spans="1:11" ht="11.25" customHeight="1" x14ac:dyDescent="0.2">
      <c r="A53" s="750" t="s">
        <v>913</v>
      </c>
      <c r="B53" s="751" t="s">
        <v>951</v>
      </c>
      <c r="C53" s="746"/>
      <c r="D53" s="737"/>
      <c r="E53" s="749" t="s">
        <v>497</v>
      </c>
      <c r="F53" s="2217"/>
      <c r="G53" s="2218"/>
      <c r="H53" s="736"/>
      <c r="I53" s="736"/>
      <c r="J53" s="746"/>
    </row>
    <row r="54" spans="1:11" ht="11.25" customHeight="1" x14ac:dyDescent="0.2">
      <c r="A54" s="752" t="s">
        <v>914</v>
      </c>
      <c r="B54" s="747" t="s">
        <v>952</v>
      </c>
      <c r="C54" s="746"/>
      <c r="D54" s="737"/>
      <c r="E54" s="749" t="s">
        <v>498</v>
      </c>
      <c r="F54" s="2217"/>
      <c r="G54" s="2218"/>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A10" colorId="8" zoomScale="110" zoomScaleNormal="11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7" t="s">
        <v>856</v>
      </c>
      <c r="B1" s="2248"/>
      <c r="C1" s="2248"/>
      <c r="D1" s="2248"/>
      <c r="E1" s="2248"/>
      <c r="F1" s="2248"/>
      <c r="G1" s="2249"/>
      <c r="H1" s="1530"/>
      <c r="I1" s="760"/>
      <c r="J1" s="433"/>
    </row>
    <row r="2" spans="1:11" ht="26.25" x14ac:dyDescent="0.2">
      <c r="A2" s="2226" t="s">
        <v>1677</v>
      </c>
      <c r="B2" s="2227"/>
      <c r="C2" s="2227"/>
      <c r="D2" s="2227"/>
      <c r="E2" s="2228"/>
      <c r="F2" s="761" t="s">
        <v>904</v>
      </c>
      <c r="G2" s="762" t="s">
        <v>1674</v>
      </c>
      <c r="H2" s="762" t="s">
        <v>410</v>
      </c>
      <c r="I2" s="762" t="s">
        <v>1158</v>
      </c>
      <c r="J2" s="762" t="s">
        <v>1810</v>
      </c>
      <c r="K2" s="762" t="s">
        <v>138</v>
      </c>
    </row>
    <row r="3" spans="1:11" x14ac:dyDescent="0.2">
      <c r="A3" s="2229" t="s">
        <v>1960</v>
      </c>
      <c r="B3" s="2230"/>
      <c r="C3" s="2230"/>
      <c r="D3" s="2230"/>
      <c r="E3" s="2231"/>
      <c r="F3" s="763"/>
      <c r="G3" s="764"/>
      <c r="H3" s="764"/>
      <c r="I3" s="764"/>
      <c r="J3" s="765"/>
      <c r="K3" s="765"/>
    </row>
    <row r="4" spans="1:11" x14ac:dyDescent="0.2">
      <c r="A4" s="2232" t="s">
        <v>369</v>
      </c>
      <c r="B4" s="2233"/>
      <c r="C4" s="2233"/>
      <c r="D4" s="2233"/>
      <c r="E4" s="2214"/>
      <c r="F4" s="766"/>
      <c r="G4" s="767"/>
      <c r="H4" s="768"/>
      <c r="I4" s="767"/>
      <c r="J4" s="769"/>
      <c r="K4" s="769"/>
    </row>
    <row r="5" spans="1:11" x14ac:dyDescent="0.2">
      <c r="A5" s="2250" t="s">
        <v>1069</v>
      </c>
      <c r="B5" s="2223"/>
      <c r="C5" s="2223"/>
      <c r="D5" s="2223"/>
      <c r="E5" s="2251"/>
      <c r="F5" s="770" t="s">
        <v>848</v>
      </c>
      <c r="G5" s="771"/>
      <c r="H5" s="764">
        <v>1390048</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50" t="s">
        <v>1811</v>
      </c>
      <c r="B10" s="2223"/>
      <c r="C10" s="2223"/>
      <c r="D10" s="2223"/>
      <c r="E10" s="2252"/>
      <c r="F10" s="783" t="s">
        <v>862</v>
      </c>
      <c r="G10" s="782"/>
      <c r="H10" s="784"/>
      <c r="I10" s="764"/>
      <c r="J10" s="765"/>
      <c r="K10" s="765"/>
    </row>
    <row r="11" spans="1:11" x14ac:dyDescent="0.2">
      <c r="A11" s="2250" t="s">
        <v>160</v>
      </c>
      <c r="B11" s="2223"/>
      <c r="C11" s="2223"/>
      <c r="D11" s="2223"/>
      <c r="E11" s="2251"/>
      <c r="F11" s="770" t="s">
        <v>852</v>
      </c>
      <c r="G11" s="771"/>
      <c r="H11" s="764"/>
      <c r="I11" s="764"/>
      <c r="J11" s="765"/>
      <c r="K11" s="773"/>
    </row>
    <row r="12" spans="1:11" ht="13.5" thickBot="1" x14ac:dyDescent="0.25">
      <c r="A12" s="2240" t="s">
        <v>905</v>
      </c>
      <c r="B12" s="2241"/>
      <c r="C12" s="2241"/>
      <c r="D12" s="2241"/>
      <c r="E12" s="2242"/>
      <c r="F12" s="1757"/>
      <c r="G12" s="1758">
        <f>SUM(G5:G11)</f>
        <v>0</v>
      </c>
      <c r="H12" s="1758">
        <f>SUM(H5:H11)</f>
        <v>1390048</v>
      </c>
      <c r="I12" s="1758">
        <f>SUM(I5:I11)</f>
        <v>0</v>
      </c>
      <c r="J12" s="1758">
        <f>SUM(J5:J11)</f>
        <v>0</v>
      </c>
      <c r="K12" s="1758">
        <f>SUM(K5:K11)</f>
        <v>0</v>
      </c>
    </row>
    <row r="13" spans="1:11" ht="13.5" thickTop="1" x14ac:dyDescent="0.2">
      <c r="A13" s="2234" t="s">
        <v>370</v>
      </c>
      <c r="B13" s="2235"/>
      <c r="C13" s="2235"/>
      <c r="D13" s="2235"/>
      <c r="E13" s="2236"/>
      <c r="F13" s="785"/>
      <c r="G13" s="786"/>
      <c r="H13" s="787"/>
      <c r="I13" s="788"/>
      <c r="J13" s="788"/>
      <c r="K13" s="788"/>
    </row>
    <row r="14" spans="1:11" x14ac:dyDescent="0.2">
      <c r="A14" s="2256" t="s">
        <v>456</v>
      </c>
      <c r="B14" s="2256"/>
      <c r="C14" s="2256"/>
      <c r="D14" s="2256"/>
      <c r="E14" s="2257"/>
      <c r="F14" s="789" t="s">
        <v>854</v>
      </c>
      <c r="G14" s="782"/>
      <c r="H14" s="764">
        <v>1390048</v>
      </c>
      <c r="I14" s="771"/>
      <c r="J14" s="773"/>
      <c r="K14" s="765"/>
    </row>
    <row r="15" spans="1:11" x14ac:dyDescent="0.2">
      <c r="A15" s="2223" t="s">
        <v>4</v>
      </c>
      <c r="B15" s="2223"/>
      <c r="C15" s="2223"/>
      <c r="D15" s="2223"/>
      <c r="E15" s="2251"/>
      <c r="F15" s="789" t="s">
        <v>855</v>
      </c>
      <c r="G15" s="771"/>
      <c r="H15" s="764"/>
      <c r="I15" s="764"/>
      <c r="J15" s="765"/>
      <c r="K15" s="765"/>
    </row>
    <row r="16" spans="1:11" x14ac:dyDescent="0.2">
      <c r="A16" s="2223" t="s">
        <v>298</v>
      </c>
      <c r="B16" s="2223"/>
      <c r="C16" s="2223"/>
      <c r="D16" s="2223"/>
      <c r="E16" s="2251"/>
      <c r="F16" s="789" t="s">
        <v>923</v>
      </c>
      <c r="G16" s="772"/>
      <c r="H16" s="767"/>
      <c r="I16" s="767"/>
      <c r="J16" s="769"/>
      <c r="K16" s="769"/>
    </row>
    <row r="17" spans="1:11" x14ac:dyDescent="0.2">
      <c r="A17" s="2245" t="s">
        <v>935</v>
      </c>
      <c r="B17" s="2245"/>
      <c r="C17" s="2245"/>
      <c r="D17" s="2245"/>
      <c r="E17" s="2246"/>
      <c r="F17" s="790"/>
      <c r="G17" s="791"/>
      <c r="H17" s="792"/>
      <c r="I17" s="792"/>
      <c r="J17" s="793"/>
      <c r="K17" s="794"/>
    </row>
    <row r="18" spans="1:11" x14ac:dyDescent="0.2">
      <c r="A18" s="2237" t="s">
        <v>368</v>
      </c>
      <c r="B18" s="2238"/>
      <c r="C18" s="2238"/>
      <c r="D18" s="2238"/>
      <c r="E18" s="2239"/>
      <c r="F18" s="789" t="s">
        <v>932</v>
      </c>
      <c r="G18" s="782"/>
      <c r="H18" s="782"/>
      <c r="I18" s="782"/>
      <c r="J18" s="765"/>
      <c r="K18" s="795"/>
    </row>
    <row r="19" spans="1:11" ht="21.75" customHeight="1" x14ac:dyDescent="0.2">
      <c r="A19" s="2258" t="s">
        <v>1807</v>
      </c>
      <c r="B19" s="2258"/>
      <c r="C19" s="2258"/>
      <c r="D19" s="2258"/>
      <c r="E19" s="2259"/>
      <c r="F19" s="789" t="s">
        <v>933</v>
      </c>
      <c r="G19" s="782"/>
      <c r="H19" s="782"/>
      <c r="I19" s="782"/>
      <c r="J19" s="765"/>
      <c r="K19" s="795"/>
    </row>
    <row r="20" spans="1:11" x14ac:dyDescent="0.2">
      <c r="A20" s="2237" t="s">
        <v>1812</v>
      </c>
      <c r="B20" s="2238"/>
      <c r="C20" s="2238"/>
      <c r="D20" s="2238"/>
      <c r="E20" s="2239"/>
      <c r="F20" s="789" t="s">
        <v>934</v>
      </c>
      <c r="G20" s="782"/>
      <c r="H20" s="782"/>
      <c r="I20" s="782"/>
      <c r="J20" s="765"/>
      <c r="K20" s="795"/>
    </row>
    <row r="21" spans="1:11" ht="13.5" thickBot="1" x14ac:dyDescent="0.25">
      <c r="A21" s="2243" t="s">
        <v>638</v>
      </c>
      <c r="B21" s="2243"/>
      <c r="C21" s="2243"/>
      <c r="D21" s="2243"/>
      <c r="E21" s="2243"/>
      <c r="F21" s="1759"/>
      <c r="G21" s="792"/>
      <c r="H21" s="796"/>
      <c r="I21" s="796"/>
      <c r="J21" s="1760">
        <f>SUM(J18:J20)</f>
        <v>0</v>
      </c>
      <c r="K21" s="793"/>
    </row>
    <row r="22" spans="1:11" ht="13.5" thickTop="1" x14ac:dyDescent="0.2">
      <c r="A22" s="2223" t="s">
        <v>1813</v>
      </c>
      <c r="B22" s="2223"/>
      <c r="C22" s="2223"/>
      <c r="D22" s="2223"/>
      <c r="E22" s="2251"/>
      <c r="F22" s="789" t="s">
        <v>862</v>
      </c>
      <c r="G22" s="782"/>
      <c r="H22" s="764"/>
      <c r="I22" s="764"/>
      <c r="J22" s="797"/>
      <c r="K22" s="765"/>
    </row>
    <row r="23" spans="1:11" ht="13.5" thickBot="1" x14ac:dyDescent="0.25">
      <c r="A23" s="2244" t="s">
        <v>906</v>
      </c>
      <c r="B23" s="2243"/>
      <c r="C23" s="2243"/>
      <c r="D23" s="2243"/>
      <c r="E23" s="2243"/>
      <c r="F23" s="1761"/>
      <c r="G23" s="1758">
        <f>SUM(G14:G16,G21,G22)</f>
        <v>0</v>
      </c>
      <c r="H23" s="1758">
        <f>SUM(H14:H16,H21,H22)</f>
        <v>1390048</v>
      </c>
      <c r="I23" s="1758">
        <f>SUM(I14:I16,I21,I22)</f>
        <v>0</v>
      </c>
      <c r="J23" s="1758">
        <f>SUM(J14:J16,J21,J22)</f>
        <v>0</v>
      </c>
      <c r="K23" s="1758">
        <f>SUM(K14:K16,K21,K22)</f>
        <v>0</v>
      </c>
    </row>
    <row r="24" spans="1:11" ht="14.25" thickTop="1" thickBot="1" x14ac:dyDescent="0.25">
      <c r="A24" s="2244" t="s">
        <v>1961</v>
      </c>
      <c r="B24" s="2243"/>
      <c r="C24" s="2243"/>
      <c r="D24" s="2243"/>
      <c r="E24" s="2243"/>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1907</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53"/>
      <c r="I31" s="2254"/>
      <c r="J31" s="2254"/>
      <c r="K31" s="2254"/>
    </row>
    <row r="32" spans="1:11" x14ac:dyDescent="0.2">
      <c r="A32" s="809"/>
      <c r="B32" s="237"/>
      <c r="C32" s="237"/>
      <c r="D32" s="237"/>
      <c r="E32" s="805"/>
      <c r="F32" s="811" t="s">
        <v>540</v>
      </c>
      <c r="G32" s="764"/>
      <c r="H32" s="2255"/>
      <c r="I32" s="2254"/>
      <c r="J32" s="2254"/>
      <c r="K32" s="2254"/>
    </row>
    <row r="33" spans="1:11" ht="1.5" customHeight="1" x14ac:dyDescent="0.2">
      <c r="A33" s="812" t="s">
        <v>1169</v>
      </c>
      <c r="B33" s="364"/>
      <c r="C33" s="364"/>
      <c r="D33" s="364"/>
      <c r="E33" s="364"/>
      <c r="F33" s="364"/>
      <c r="G33" s="813"/>
      <c r="H33" s="2255"/>
      <c r="I33" s="2254"/>
      <c r="J33" s="2254"/>
      <c r="K33" s="2254"/>
    </row>
    <row r="34" spans="1:11" x14ac:dyDescent="0.2">
      <c r="A34" s="814" t="s">
        <v>1814</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3" t="s">
        <v>541</v>
      </c>
      <c r="B41" s="2224"/>
      <c r="C41" s="2224"/>
      <c r="D41" s="2224"/>
      <c r="E41" s="2224"/>
      <c r="F41" s="2225"/>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1808</v>
      </c>
      <c r="B46" s="408" t="s">
        <v>1675</v>
      </c>
    </row>
    <row r="47" spans="1:11" s="823" customFormat="1" ht="12.75" customHeight="1" x14ac:dyDescent="0.2">
      <c r="A47" s="821"/>
      <c r="B47" s="822" t="s">
        <v>1676</v>
      </c>
      <c r="E47" s="822"/>
      <c r="K47" s="824"/>
    </row>
    <row r="48" spans="1:11" ht="12.75" customHeight="1" x14ac:dyDescent="0.2">
      <c r="A48" s="1532" t="s">
        <v>1809</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C7" colorId="8" zoomScale="110" zoomScaleNormal="110" workbookViewId="0">
      <selection activeCell="I14" sqref="I14"/>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2" t="s">
        <v>1906</v>
      </c>
      <c r="B1" s="2263"/>
      <c r="C1" s="2264"/>
      <c r="D1" s="826"/>
      <c r="E1" s="827"/>
      <c r="F1" s="827"/>
      <c r="G1" s="828"/>
      <c r="H1" s="829"/>
      <c r="I1" s="830"/>
      <c r="J1" s="2260"/>
      <c r="K1" s="2261"/>
      <c r="L1" s="2261"/>
    </row>
    <row r="2" spans="1:14" ht="69.75" customHeight="1" x14ac:dyDescent="0.2">
      <c r="A2" s="831" t="s">
        <v>1678</v>
      </c>
      <c r="B2" s="832" t="s">
        <v>378</v>
      </c>
      <c r="C2" s="833" t="s">
        <v>1962</v>
      </c>
      <c r="D2" s="833" t="s">
        <v>1963</v>
      </c>
      <c r="E2" s="833" t="s">
        <v>1964</v>
      </c>
      <c r="F2" s="833" t="s">
        <v>1965</v>
      </c>
      <c r="G2" s="833" t="s">
        <v>605</v>
      </c>
      <c r="H2" s="833" t="s">
        <v>1966</v>
      </c>
      <c r="I2" s="833" t="s">
        <v>1967</v>
      </c>
      <c r="J2" s="833" t="s">
        <v>1968</v>
      </c>
      <c r="K2" s="833" t="s">
        <v>1969</v>
      </c>
      <c r="L2" s="833" t="s">
        <v>1970</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4072993</v>
      </c>
      <c r="D5" s="841"/>
      <c r="E5" s="841"/>
      <c r="F5" s="1760">
        <f>(C5+D5)-E5</f>
        <v>4072993</v>
      </c>
      <c r="G5" s="837"/>
      <c r="H5" s="842"/>
      <c r="I5" s="842"/>
      <c r="J5" s="842"/>
      <c r="K5" s="793"/>
      <c r="L5" s="1769">
        <f>F5-K5</f>
        <v>4072993</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134556308</v>
      </c>
      <c r="D8" s="844">
        <v>253636</v>
      </c>
      <c r="E8" s="844">
        <v>894483</v>
      </c>
      <c r="F8" s="1760">
        <f>(C8+D8)-E8</f>
        <v>133915461</v>
      </c>
      <c r="G8" s="843">
        <v>50</v>
      </c>
      <c r="H8" s="765">
        <v>54374466</v>
      </c>
      <c r="I8" s="765">
        <v>3570246</v>
      </c>
      <c r="J8" s="765">
        <v>26580</v>
      </c>
      <c r="K8" s="1769">
        <f>(H8+I8)-J8</f>
        <v>57918132</v>
      </c>
      <c r="L8" s="1769">
        <f>F8-K8</f>
        <v>75997329</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c r="D10" s="846"/>
      <c r="E10" s="846"/>
      <c r="F10" s="1764">
        <f>(C10+D10)-E10</f>
        <v>0</v>
      </c>
      <c r="G10" s="843">
        <v>20</v>
      </c>
      <c r="H10" s="847"/>
      <c r="I10" s="847"/>
      <c r="J10" s="847"/>
      <c r="K10" s="1769">
        <f>(H10+I10)-J10</f>
        <v>0</v>
      </c>
      <c r="L10" s="1769">
        <f>F10-K10</f>
        <v>0</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8748336</v>
      </c>
      <c r="D12" s="844">
        <v>1291718</v>
      </c>
      <c r="E12" s="844">
        <v>4679103</v>
      </c>
      <c r="F12" s="1760">
        <f>(C12+D12)-E12</f>
        <v>5360951</v>
      </c>
      <c r="G12" s="843">
        <v>10</v>
      </c>
      <c r="H12" s="765">
        <v>6096898</v>
      </c>
      <c r="I12" s="765">
        <v>734098</v>
      </c>
      <c r="J12" s="765">
        <v>4401147</v>
      </c>
      <c r="K12" s="1769">
        <f>(H12+I12)-J12</f>
        <v>2429849</v>
      </c>
      <c r="L12" s="1769">
        <f>F12-K12</f>
        <v>2931102</v>
      </c>
    </row>
    <row r="13" spans="1:14" ht="14.25" thickTop="1" thickBot="1" x14ac:dyDescent="0.25">
      <c r="A13" s="848" t="s">
        <v>1122</v>
      </c>
      <c r="B13" s="840">
        <v>252</v>
      </c>
      <c r="C13" s="844">
        <v>485887</v>
      </c>
      <c r="D13" s="844">
        <v>41665</v>
      </c>
      <c r="E13" s="844">
        <v>168371</v>
      </c>
      <c r="F13" s="1760">
        <f>(C13+D13)-E13</f>
        <v>359181</v>
      </c>
      <c r="G13" s="843">
        <v>5</v>
      </c>
      <c r="H13" s="765">
        <v>175512</v>
      </c>
      <c r="I13" s="765">
        <v>25541</v>
      </c>
      <c r="J13" s="765">
        <v>37695</v>
      </c>
      <c r="K13" s="1769">
        <f>(H13+I13)-J13</f>
        <v>163358</v>
      </c>
      <c r="L13" s="1769">
        <f>F13-K13</f>
        <v>195823</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v>3828733</v>
      </c>
      <c r="E15" s="844"/>
      <c r="F15" s="1760">
        <f>(C15+D15)-E15</f>
        <v>3828733</v>
      </c>
      <c r="G15" s="849" t="s">
        <v>862</v>
      </c>
      <c r="H15" s="781"/>
      <c r="I15" s="781"/>
      <c r="J15" s="781"/>
      <c r="K15" s="781"/>
      <c r="L15" s="1769">
        <f>F15-K15</f>
        <v>3828733</v>
      </c>
    </row>
    <row r="16" spans="1:14" ht="15" customHeight="1" thickTop="1" thickBot="1" x14ac:dyDescent="0.25">
      <c r="A16" s="1765" t="s">
        <v>643</v>
      </c>
      <c r="B16" s="1766">
        <v>200</v>
      </c>
      <c r="C16" s="1760">
        <f>SUM(C3,C5:C6,C8:C10,C12:C15)</f>
        <v>147863524</v>
      </c>
      <c r="D16" s="1760">
        <f>SUM(D3,D5:D6,D8:D10,D12:D15)</f>
        <v>5415752</v>
      </c>
      <c r="E16" s="1760">
        <f>SUM(E3,E5:E6,E8:E10,E12:E15)</f>
        <v>5741957</v>
      </c>
      <c r="F16" s="1760">
        <f>SUM(F3,F5:F6,F8:F10,F12:F15)</f>
        <v>147537319</v>
      </c>
      <c r="G16" s="843"/>
      <c r="H16" s="1760">
        <f>SUM(H3,H6,H8:H10,H12:H14,)</f>
        <v>60646876</v>
      </c>
      <c r="I16" s="1760">
        <f>SUM(I3,I6,I8:I10,I12:I14,)</f>
        <v>4329885</v>
      </c>
      <c r="J16" s="1760">
        <f>SUM(J3,J6,J8:J10,J12:J14,)</f>
        <v>4465422</v>
      </c>
      <c r="K16" s="1760">
        <f>(H16+I16)-J16</f>
        <v>60511339</v>
      </c>
      <c r="L16" s="1760">
        <f>F16-K16</f>
        <v>87025980</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167048</v>
      </c>
      <c r="G17" s="837">
        <v>10</v>
      </c>
      <c r="H17" s="769"/>
      <c r="I17" s="1769">
        <f>F17/G17</f>
        <v>16704.8</v>
      </c>
      <c r="J17" s="769"/>
      <c r="K17" s="795"/>
      <c r="L17" s="795"/>
    </row>
    <row r="18" spans="1:12" ht="14.25" thickTop="1" thickBot="1" x14ac:dyDescent="0.25">
      <c r="A18" s="1767" t="s">
        <v>685</v>
      </c>
      <c r="B18" s="1768"/>
      <c r="C18" s="771"/>
      <c r="D18" s="771"/>
      <c r="E18" s="771"/>
      <c r="F18" s="850"/>
      <c r="G18" s="851"/>
      <c r="H18" s="773"/>
      <c r="I18" s="1760">
        <f>SUM(I16,I17)</f>
        <v>4346589.8</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08" activePane="bottomLeft" state="frozen"/>
      <selection activeCell="A47" sqref="A47"/>
      <selection pane="bottomLeft" activeCell="F79" sqref="F7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8" t="s">
        <v>1971</v>
      </c>
      <c r="B1" s="2269"/>
      <c r="C1" s="2269"/>
      <c r="D1" s="2269"/>
      <c r="E1" s="2269"/>
      <c r="F1" s="2270"/>
      <c r="G1" s="855"/>
    </row>
    <row r="2" spans="1:7" ht="15" customHeight="1" thickBot="1" x14ac:dyDescent="0.25">
      <c r="A2" s="2271" t="s">
        <v>477</v>
      </c>
      <c r="B2" s="2272"/>
      <c r="C2" s="2272"/>
      <c r="D2" s="2272"/>
      <c r="E2" s="2272"/>
      <c r="F2" s="2273"/>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74"/>
      <c r="B5" s="2275"/>
      <c r="C5" s="2275"/>
      <c r="D5" s="2275"/>
      <c r="E5" s="2275"/>
      <c r="F5" s="2275"/>
    </row>
    <row r="6" spans="1:7" ht="13.5" customHeight="1" thickBot="1" x14ac:dyDescent="0.25">
      <c r="A6" s="2265" t="s">
        <v>1104</v>
      </c>
      <c r="B6" s="2266"/>
      <c r="C6" s="2266"/>
      <c r="D6" s="2266"/>
      <c r="E6" s="2266"/>
      <c r="F6" s="2267"/>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65627216</v>
      </c>
      <c r="G8" s="865"/>
    </row>
    <row r="9" spans="1:7" x14ac:dyDescent="0.2">
      <c r="A9" s="869" t="s">
        <v>460</v>
      </c>
      <c r="B9" s="870" t="s">
        <v>1874</v>
      </c>
      <c r="C9" s="871"/>
      <c r="D9" s="869" t="s">
        <v>501</v>
      </c>
      <c r="E9" s="868"/>
      <c r="F9" s="1909">
        <f>'Expenditures 15-22'!K151</f>
        <v>5681042</v>
      </c>
      <c r="G9" s="872"/>
    </row>
    <row r="10" spans="1:7" x14ac:dyDescent="0.2">
      <c r="A10" s="869" t="s">
        <v>499</v>
      </c>
      <c r="B10" s="870" t="s">
        <v>1875</v>
      </c>
      <c r="C10" s="871"/>
      <c r="D10" s="869" t="s">
        <v>501</v>
      </c>
      <c r="E10" s="868"/>
      <c r="F10" s="1909">
        <f>'Expenditures 15-22'!K174</f>
        <v>6703009</v>
      </c>
      <c r="G10" s="872"/>
    </row>
    <row r="11" spans="1:7" x14ac:dyDescent="0.2">
      <c r="A11" s="869" t="s">
        <v>461</v>
      </c>
      <c r="B11" s="870" t="s">
        <v>1876</v>
      </c>
      <c r="C11" s="871"/>
      <c r="D11" s="869" t="s">
        <v>501</v>
      </c>
      <c r="E11" s="868"/>
      <c r="F11" s="1909">
        <f>'Expenditures 15-22'!K210</f>
        <v>5041543</v>
      </c>
      <c r="G11" s="872"/>
    </row>
    <row r="12" spans="1:7" x14ac:dyDescent="0.2">
      <c r="A12" s="869" t="s">
        <v>462</v>
      </c>
      <c r="B12" s="870" t="s">
        <v>1877</v>
      </c>
      <c r="C12" s="871"/>
      <c r="D12" s="869" t="s">
        <v>501</v>
      </c>
      <c r="E12" s="868"/>
      <c r="F12" s="1909">
        <f>'Expenditures 15-22'!K295</f>
        <v>2770562</v>
      </c>
      <c r="G12" s="872"/>
    </row>
    <row r="13" spans="1:7" x14ac:dyDescent="0.2">
      <c r="A13" s="869" t="s">
        <v>106</v>
      </c>
      <c r="B13" s="870" t="s">
        <v>1878</v>
      </c>
      <c r="C13" s="871"/>
      <c r="D13" s="869" t="s">
        <v>501</v>
      </c>
      <c r="E13" s="868"/>
      <c r="F13" s="1909">
        <f>'Expenditures 15-22'!K342</f>
        <v>20486</v>
      </c>
      <c r="G13" s="873"/>
    </row>
    <row r="14" spans="1:7" ht="12" customHeight="1" thickBot="1" x14ac:dyDescent="0.25">
      <c r="A14" s="1770"/>
      <c r="B14" s="1771"/>
      <c r="C14" s="1772"/>
      <c r="D14" s="1773" t="s">
        <v>501</v>
      </c>
      <c r="E14" s="1774" t="s">
        <v>958</v>
      </c>
      <c r="F14" s="1775">
        <f>SUM(F8:F13)</f>
        <v>85843858</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1995</v>
      </c>
      <c r="C30" s="880">
        <f>'Revenues 9-14'!B150</f>
        <v>3499</v>
      </c>
      <c r="D30" s="881" t="str">
        <f>'Revenues 9-14'!A150</f>
        <v>Adult Ed - Other (Describe &amp; Itemize)</v>
      </c>
      <c r="E30" s="868"/>
      <c r="F30" s="1914">
        <f>('Revenues 9-14'!D150+'Revenues 9-14'!F150)</f>
        <v>0</v>
      </c>
      <c r="G30" s="865"/>
    </row>
    <row r="31" spans="1:7" x14ac:dyDescent="0.2">
      <c r="A31" s="869" t="s">
        <v>1097</v>
      </c>
      <c r="B31" s="870" t="s">
        <v>1996</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1997</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1998</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421461</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566849</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225535</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1101326</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78869</v>
      </c>
      <c r="G52" s="865"/>
    </row>
    <row r="53" spans="1:7" x14ac:dyDescent="0.2">
      <c r="A53" s="869" t="s">
        <v>459</v>
      </c>
      <c r="B53" s="869" t="s">
        <v>1475</v>
      </c>
      <c r="C53" s="889">
        <f>'Expenditures 15-22'!B102</f>
        <v>4000</v>
      </c>
      <c r="D53" s="888" t="str">
        <f>'Expenditures 15-22'!A102</f>
        <v>Total Payments to Other Govt Units</v>
      </c>
      <c r="E53" s="868"/>
      <c r="F53" s="1913">
        <f>'Expenditures 15-22'!K102</f>
        <v>1750277</v>
      </c>
      <c r="G53" s="865"/>
    </row>
    <row r="54" spans="1:7" x14ac:dyDescent="0.2">
      <c r="A54" s="869" t="s">
        <v>459</v>
      </c>
      <c r="B54" s="869" t="s">
        <v>1476</v>
      </c>
      <c r="C54" s="889" t="s">
        <v>982</v>
      </c>
      <c r="D54" s="885" t="s">
        <v>1095</v>
      </c>
      <c r="E54" s="868"/>
      <c r="F54" s="1913">
        <f>'Expenditures 15-22'!G114</f>
        <v>595525</v>
      </c>
      <c r="G54" s="865"/>
    </row>
    <row r="55" spans="1:7" x14ac:dyDescent="0.2">
      <c r="A55" s="869" t="s">
        <v>459</v>
      </c>
      <c r="B55" s="869" t="s">
        <v>1477</v>
      </c>
      <c r="C55" s="889" t="s">
        <v>982</v>
      </c>
      <c r="D55" s="885" t="s">
        <v>291</v>
      </c>
      <c r="E55" s="868"/>
      <c r="F55" s="1913">
        <f>'Expenditures 15-22'!I114</f>
        <v>156131</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1879</v>
      </c>
      <c r="C57" s="889">
        <f>'Expenditures 15-22'!B139</f>
        <v>4000</v>
      </c>
      <c r="D57" s="887" t="str">
        <f>'Expenditures 15-22'!A139</f>
        <v>Total Payments to Other Govt Units</v>
      </c>
      <c r="E57" s="868"/>
      <c r="F57" s="1913">
        <f>'Expenditures 15-22'!K139</f>
        <v>0</v>
      </c>
      <c r="G57" s="865"/>
    </row>
    <row r="58" spans="1:7" x14ac:dyDescent="0.2">
      <c r="A58" s="869" t="s">
        <v>460</v>
      </c>
      <c r="B58" s="869" t="s">
        <v>1880</v>
      </c>
      <c r="C58" s="886" t="s">
        <v>982</v>
      </c>
      <c r="D58" s="885" t="s">
        <v>1095</v>
      </c>
      <c r="E58" s="868"/>
      <c r="F58" s="1915">
        <f>'Expenditures 15-22'!G151</f>
        <v>73242</v>
      </c>
      <c r="G58" s="865"/>
    </row>
    <row r="59" spans="1:7" x14ac:dyDescent="0.2">
      <c r="A59" s="893" t="s">
        <v>460</v>
      </c>
      <c r="B59" s="856" t="s">
        <v>1881</v>
      </c>
      <c r="C59" s="894" t="s">
        <v>982</v>
      </c>
      <c r="D59" s="856" t="s">
        <v>291</v>
      </c>
      <c r="F59" s="1916">
        <f>'Expenditures 15-22'!I151</f>
        <v>10638</v>
      </c>
      <c r="G59" s="865"/>
    </row>
    <row r="60" spans="1:7" x14ac:dyDescent="0.2">
      <c r="A60" s="893" t="s">
        <v>499</v>
      </c>
      <c r="B60" s="856" t="s">
        <v>1882</v>
      </c>
      <c r="C60" s="894">
        <v>4000</v>
      </c>
      <c r="D60" s="856" t="s">
        <v>312</v>
      </c>
      <c r="F60" s="1914">
        <f>'Expenditures 15-22'!K160</f>
        <v>0</v>
      </c>
      <c r="G60" s="865"/>
    </row>
    <row r="61" spans="1:7" x14ac:dyDescent="0.2">
      <c r="A61" s="895" t="s">
        <v>499</v>
      </c>
      <c r="B61" s="895" t="s">
        <v>1883</v>
      </c>
      <c r="C61" s="896" t="str">
        <f>'Expenditures 15-22'!B170</f>
        <v>5300</v>
      </c>
      <c r="D61" s="897" t="s">
        <v>311</v>
      </c>
      <c r="E61" s="879"/>
      <c r="F61" s="1913">
        <f>'Expenditures 15-22'!K170</f>
        <v>3905138</v>
      </c>
      <c r="G61" s="865"/>
    </row>
    <row r="62" spans="1:7" x14ac:dyDescent="0.2">
      <c r="A62" s="869" t="s">
        <v>461</v>
      </c>
      <c r="B62" s="869" t="s">
        <v>1884</v>
      </c>
      <c r="C62" s="886">
        <f>'Expenditures 15-22'!B185</f>
        <v>3000</v>
      </c>
      <c r="D62" s="876" t="s">
        <v>449</v>
      </c>
      <c r="E62" s="868"/>
      <c r="F62" s="1913">
        <f>'Expenditures 15-22'!K185-SUM('Expenditures 15-22'!G185,'Expenditures 15-22'!I185)</f>
        <v>0</v>
      </c>
      <c r="G62" s="865"/>
    </row>
    <row r="63" spans="1:7" x14ac:dyDescent="0.2">
      <c r="A63" s="869" t="s">
        <v>461</v>
      </c>
      <c r="B63" s="869" t="s">
        <v>1885</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1886</v>
      </c>
      <c r="C64" s="896" t="str">
        <f>'Expenditures 15-22'!B206</f>
        <v>5300</v>
      </c>
      <c r="D64" s="892" t="s">
        <v>311</v>
      </c>
      <c r="E64" s="868"/>
      <c r="F64" s="1913">
        <f>'Expenditures 15-22'!K206</f>
        <v>0</v>
      </c>
      <c r="G64" s="865"/>
    </row>
    <row r="65" spans="1:8" x14ac:dyDescent="0.2">
      <c r="A65" s="869" t="s">
        <v>461</v>
      </c>
      <c r="B65" s="869" t="s">
        <v>1887</v>
      </c>
      <c r="C65" s="886" t="s">
        <v>982</v>
      </c>
      <c r="D65" s="885" t="s">
        <v>1095</v>
      </c>
      <c r="E65" s="868"/>
      <c r="F65" s="1913">
        <f>'Expenditures 15-22'!G210</f>
        <v>0</v>
      </c>
      <c r="G65" s="865"/>
    </row>
    <row r="66" spans="1:8" x14ac:dyDescent="0.2">
      <c r="A66" s="869" t="s">
        <v>461</v>
      </c>
      <c r="B66" s="869" t="s">
        <v>1888</v>
      </c>
      <c r="C66" s="886" t="s">
        <v>982</v>
      </c>
      <c r="D66" s="885" t="s">
        <v>291</v>
      </c>
      <c r="E66" s="868"/>
      <c r="F66" s="1913">
        <f>'Expenditures 15-22'!I210</f>
        <v>279</v>
      </c>
      <c r="G66" s="865"/>
    </row>
    <row r="67" spans="1:8" x14ac:dyDescent="0.2">
      <c r="A67" s="869" t="s">
        <v>462</v>
      </c>
      <c r="B67" s="869" t="s">
        <v>1889</v>
      </c>
      <c r="C67" s="886" t="str">
        <f>'Expenditures 15-22'!B216</f>
        <v>1125</v>
      </c>
      <c r="D67" s="892" t="str">
        <f>'Expenditures 15-22'!A216</f>
        <v>Pre-K Programs</v>
      </c>
      <c r="E67" s="868"/>
      <c r="F67" s="1913">
        <f>'Expenditures 15-22'!K216</f>
        <v>20588</v>
      </c>
      <c r="G67" s="865"/>
    </row>
    <row r="68" spans="1:8" x14ac:dyDescent="0.2">
      <c r="A68" s="869" t="s">
        <v>462</v>
      </c>
      <c r="B68" s="869" t="s">
        <v>1479</v>
      </c>
      <c r="C68" s="886" t="str">
        <f>'Expenditures 15-22'!B218</f>
        <v>1225</v>
      </c>
      <c r="D68" s="892" t="str">
        <f>'Expenditures 15-22'!A218</f>
        <v>Special Education Programs - Pre-K</v>
      </c>
      <c r="E68" s="868"/>
      <c r="F68" s="1913">
        <f>'Expenditures 15-22'!K218</f>
        <v>38478</v>
      </c>
      <c r="G68" s="865"/>
    </row>
    <row r="69" spans="1:8" x14ac:dyDescent="0.2">
      <c r="A69" s="869" t="s">
        <v>462</v>
      </c>
      <c r="B69" s="869" t="s">
        <v>1890</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1891</v>
      </c>
      <c r="C70" s="886">
        <f>'Expenditures 15-22'!B221</f>
        <v>1300</v>
      </c>
      <c r="D70" s="887" t="str">
        <f>'Expenditures 15-22'!A221</f>
        <v>Adult/Continuing Education Programs</v>
      </c>
      <c r="E70" s="868"/>
      <c r="F70" s="1913">
        <f>'Expenditures 15-22'!K221</f>
        <v>0</v>
      </c>
      <c r="G70" s="865"/>
    </row>
    <row r="71" spans="1:8" x14ac:dyDescent="0.2">
      <c r="A71" s="869" t="s">
        <v>462</v>
      </c>
      <c r="B71" s="869" t="s">
        <v>1892</v>
      </c>
      <c r="C71" s="886">
        <f>'Expenditures 15-22'!B224</f>
        <v>1600</v>
      </c>
      <c r="D71" s="887" t="str">
        <f>'Expenditures 15-22'!A224</f>
        <v>Summer School Programs</v>
      </c>
      <c r="E71" s="868"/>
      <c r="F71" s="1913">
        <f>'Expenditures 15-22'!K224</f>
        <v>12137</v>
      </c>
      <c r="G71" s="865"/>
    </row>
    <row r="72" spans="1:8" x14ac:dyDescent="0.2">
      <c r="A72" s="869" t="s">
        <v>462</v>
      </c>
      <c r="B72" s="869" t="s">
        <v>1893</v>
      </c>
      <c r="C72" s="886">
        <f>'Expenditures 15-22'!B280</f>
        <v>3000</v>
      </c>
      <c r="D72" s="876" t="s">
        <v>449</v>
      </c>
      <c r="E72" s="868"/>
      <c r="F72" s="1913">
        <f>'Expenditures 15-22'!K280</f>
        <v>6801</v>
      </c>
      <c r="G72" s="865"/>
    </row>
    <row r="73" spans="1:8" x14ac:dyDescent="0.2">
      <c r="A73" s="869" t="s">
        <v>462</v>
      </c>
      <c r="B73" s="869" t="s">
        <v>1894</v>
      </c>
      <c r="C73" s="886" t="str">
        <f>'Expenditures 15-22'!B285</f>
        <v>4000</v>
      </c>
      <c r="D73" s="887" t="str">
        <f>'Expenditures 15-22'!A285</f>
        <v>Total Payments to Other Govt Units</v>
      </c>
      <c r="E73" s="868"/>
      <c r="F73" s="1913">
        <f>'Expenditures 15-22'!K285</f>
        <v>115293</v>
      </c>
      <c r="G73" s="865"/>
    </row>
    <row r="74" spans="1:8" x14ac:dyDescent="0.2">
      <c r="A74" s="869" t="s">
        <v>436</v>
      </c>
      <c r="B74" s="869" t="s">
        <v>1895</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1896</v>
      </c>
      <c r="E76" s="1774" t="s">
        <v>958</v>
      </c>
      <c r="F76" s="1778">
        <f>SUM(F18:F74)</f>
        <v>9078567</v>
      </c>
      <c r="G76" s="865"/>
    </row>
    <row r="77" spans="1:8" s="893" customFormat="1" ht="12" customHeight="1" thickTop="1" thickBot="1" x14ac:dyDescent="0.25">
      <c r="A77" s="1779"/>
      <c r="B77" s="1776"/>
      <c r="C77" s="1772"/>
      <c r="D77" s="1777" t="s">
        <v>1897</v>
      </c>
      <c r="E77" s="1774"/>
      <c r="F77" s="1780">
        <f>(F14-F76)</f>
        <v>76765291</v>
      </c>
      <c r="G77" s="869"/>
    </row>
    <row r="78" spans="1:8" s="893" customFormat="1" ht="12" customHeight="1" thickTop="1" x14ac:dyDescent="0.2">
      <c r="A78" s="1781"/>
      <c r="B78" s="1776"/>
      <c r="C78" s="1772"/>
      <c r="D78" s="1777" t="s">
        <v>2058</v>
      </c>
      <c r="E78" s="1774"/>
      <c r="F78" s="898">
        <v>5372.7</v>
      </c>
      <c r="G78" s="899"/>
      <c r="H78" s="869"/>
    </row>
    <row r="79" spans="1:8" s="893" customFormat="1" ht="12" customHeight="1" thickBot="1" x14ac:dyDescent="0.25">
      <c r="A79" s="1782"/>
      <c r="B79" s="1776"/>
      <c r="C79" s="1772"/>
      <c r="D79" s="1777" t="s">
        <v>1898</v>
      </c>
      <c r="E79" s="1774" t="s">
        <v>958</v>
      </c>
      <c r="F79" s="1783">
        <f>IF(F78&gt;0,F77/F78," Complete Line 78")</f>
        <v>14288.028551752379</v>
      </c>
      <c r="G79" s="869"/>
    </row>
    <row r="80" spans="1:8" s="893" customFormat="1" ht="8.25" customHeight="1" thickTop="1" x14ac:dyDescent="0.2">
      <c r="A80" s="900"/>
      <c r="B80" s="869"/>
      <c r="C80" s="871"/>
      <c r="D80" s="901"/>
      <c r="E80" s="868"/>
      <c r="F80" s="902"/>
      <c r="G80" s="869"/>
    </row>
    <row r="81" spans="1:7" s="893" customFormat="1" ht="12" thickBot="1" x14ac:dyDescent="0.25">
      <c r="A81" s="2265" t="s">
        <v>1105</v>
      </c>
      <c r="B81" s="2266"/>
      <c r="C81" s="2266"/>
      <c r="D81" s="2266"/>
      <c r="E81" s="2266"/>
      <c r="F81" s="2267"/>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17086</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697983</v>
      </c>
      <c r="G94" s="912"/>
    </row>
    <row r="95" spans="1:7" x14ac:dyDescent="0.2">
      <c r="A95" s="908" t="s">
        <v>140</v>
      </c>
      <c r="B95" s="908" t="s">
        <v>175</v>
      </c>
      <c r="C95" s="910">
        <v>1700</v>
      </c>
      <c r="D95" s="918" t="str">
        <f>'Revenues 9-14'!A82</f>
        <v>Total District/School Activity Income</v>
      </c>
      <c r="E95" s="906"/>
      <c r="F95" s="1789">
        <f>SUM('Revenues 9-14'!C82,'Revenues 9-14'!D82)</f>
        <v>20940</v>
      </c>
      <c r="G95" s="912"/>
    </row>
    <row r="96" spans="1:7" x14ac:dyDescent="0.2">
      <c r="A96" s="908" t="s">
        <v>459</v>
      </c>
      <c r="B96" s="908" t="s">
        <v>176</v>
      </c>
      <c r="C96" s="910">
        <f>'Revenues 9-14'!B84</f>
        <v>1811</v>
      </c>
      <c r="D96" s="911" t="str">
        <f>'Revenues 9-14'!A84</f>
        <v>Rentals - Regular Textbooks</v>
      </c>
      <c r="E96" s="906"/>
      <c r="F96" s="1789">
        <f>'Revenues 9-14'!C84</f>
        <v>589992</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155345</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1999</v>
      </c>
      <c r="C105" s="913">
        <v>3100</v>
      </c>
      <c r="D105" s="919" t="str">
        <f>'Revenues 9-14'!A132</f>
        <v>Total Special Education</v>
      </c>
      <c r="E105" s="906"/>
      <c r="F105" s="1789">
        <f>SUM('Revenues 9-14'!C132:D132,'Revenues 9-14'!F132)</f>
        <v>577510</v>
      </c>
      <c r="G105" s="912"/>
    </row>
    <row r="106" spans="1:7" x14ac:dyDescent="0.2">
      <c r="A106" s="908" t="s">
        <v>673</v>
      </c>
      <c r="B106" s="908" t="s">
        <v>2000</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2001</v>
      </c>
      <c r="C107" s="920">
        <v>3300</v>
      </c>
      <c r="D107" s="911" t="str">
        <f>'Revenues 9-14'!A145</f>
        <v>Total Bilingual Ed</v>
      </c>
      <c r="E107" s="906"/>
      <c r="F107" s="1789">
        <f>SUM('Revenues 9-14'!C145,'Revenues 9-14'!G145)</f>
        <v>0</v>
      </c>
      <c r="G107" s="912"/>
    </row>
    <row r="108" spans="1:7" x14ac:dyDescent="0.2">
      <c r="A108" s="908" t="s">
        <v>459</v>
      </c>
      <c r="B108" s="908" t="s">
        <v>2002</v>
      </c>
      <c r="C108" s="920">
        <f>'Revenues 9-14'!B146</f>
        <v>3360</v>
      </c>
      <c r="D108" s="911" t="str">
        <f>'Revenues 9-14'!A146</f>
        <v>State Free Lunch &amp; Breakfast</v>
      </c>
      <c r="E108" s="906"/>
      <c r="F108" s="1789">
        <f>'Revenues 9-14'!C146</f>
        <v>15031</v>
      </c>
      <c r="G108" s="912"/>
    </row>
    <row r="109" spans="1:7" x14ac:dyDescent="0.2">
      <c r="A109" s="908" t="s">
        <v>673</v>
      </c>
      <c r="B109" s="908" t="s">
        <v>2003</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2004</v>
      </c>
      <c r="C110" s="920">
        <f>'Revenues 9-14'!B148</f>
        <v>3370</v>
      </c>
      <c r="D110" s="911" t="str">
        <f>'Revenues 9-14'!A148</f>
        <v>Driver Education</v>
      </c>
      <c r="E110" s="906"/>
      <c r="F110" s="1789">
        <f>SUM('Revenues 9-14'!C148,'Revenues 9-14'!D148)</f>
        <v>0</v>
      </c>
      <c r="G110" s="912"/>
    </row>
    <row r="111" spans="1:7" x14ac:dyDescent="0.2">
      <c r="A111" s="908" t="s">
        <v>668</v>
      </c>
      <c r="B111" s="908" t="s">
        <v>2005</v>
      </c>
      <c r="C111" s="922">
        <v>3500</v>
      </c>
      <c r="D111" s="911" t="str">
        <f>'Revenues 9-14'!A155</f>
        <v>Total Transportation</v>
      </c>
      <c r="E111" s="906"/>
      <c r="F111" s="1789">
        <f>SUM('Revenues 9-14'!C155,'Revenues 9-14'!D155,'Revenues 9-14'!F155,'Revenues 9-14'!G155)</f>
        <v>2724472</v>
      </c>
      <c r="G111" s="912"/>
    </row>
    <row r="112" spans="1:7" x14ac:dyDescent="0.2">
      <c r="A112" s="908" t="s">
        <v>459</v>
      </c>
      <c r="B112" s="908" t="s">
        <v>2006</v>
      </c>
      <c r="C112" s="920">
        <f>'Revenues 9-14'!B156</f>
        <v>3610</v>
      </c>
      <c r="D112" s="911" t="str">
        <f>'Revenues 9-14'!A156</f>
        <v>Learning Improvement - Change Grants</v>
      </c>
      <c r="E112" s="906"/>
      <c r="F112" s="1789">
        <f>'Revenues 9-14'!C156</f>
        <v>0</v>
      </c>
      <c r="G112" s="912"/>
    </row>
    <row r="113" spans="1:7" x14ac:dyDescent="0.2">
      <c r="A113" s="908" t="s">
        <v>668</v>
      </c>
      <c r="B113" s="908" t="s">
        <v>2007</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2008</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2009</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2010</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2011</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2012</v>
      </c>
      <c r="C118" s="924">
        <f>'Revenues 9-14'!B163</f>
        <v>3780</v>
      </c>
      <c r="D118" s="925" t="str">
        <f>'Revenues 9-14'!A163</f>
        <v>Technology - Technology for Success</v>
      </c>
      <c r="E118" s="906"/>
      <c r="F118" s="1907">
        <f>SUM('Revenues 9-14'!C163:G163)</f>
        <v>0</v>
      </c>
      <c r="G118" s="912"/>
    </row>
    <row r="119" spans="1:7" x14ac:dyDescent="0.2">
      <c r="A119" s="923" t="s">
        <v>504</v>
      </c>
      <c r="B119" s="923" t="s">
        <v>2013</v>
      </c>
      <c r="C119" s="924">
        <f>'Revenues 9-14'!B164</f>
        <v>3815</v>
      </c>
      <c r="D119" s="925" t="str">
        <f>'Revenues 9-14'!A164</f>
        <v>State Charter Schools</v>
      </c>
      <c r="E119" s="906"/>
      <c r="F119" s="1907">
        <f>SUM('Revenues 9-14'!C164,'Revenues 9-14'!F164)</f>
        <v>0</v>
      </c>
      <c r="G119" s="912"/>
    </row>
    <row r="120" spans="1:7" x14ac:dyDescent="0.2">
      <c r="A120" s="927" t="s">
        <v>460</v>
      </c>
      <c r="B120" s="927" t="s">
        <v>2014</v>
      </c>
      <c r="C120" s="928">
        <f>'Revenues 9-14'!B167</f>
        <v>3925</v>
      </c>
      <c r="D120" s="929" t="str">
        <f>'Revenues 9-14'!A167</f>
        <v>School Infrastructure - Maintenance Projects</v>
      </c>
      <c r="E120" s="906"/>
      <c r="F120" s="1789">
        <f>'Revenues 9-14'!D167</f>
        <v>0</v>
      </c>
      <c r="G120" s="930"/>
    </row>
    <row r="121" spans="1:7" x14ac:dyDescent="0.2">
      <c r="A121" s="927" t="s">
        <v>500</v>
      </c>
      <c r="B121" s="927" t="s">
        <v>2015</v>
      </c>
      <c r="C121" s="928">
        <f>'Revenues 9-14'!B168</f>
        <v>3999</v>
      </c>
      <c r="D121" s="929" t="s">
        <v>543</v>
      </c>
      <c r="E121" s="931"/>
      <c r="F121" s="1789">
        <f>SUM('Revenues 9-14'!C168:G168,'Revenues 9-14'!J168)</f>
        <v>4067</v>
      </c>
      <c r="G121" s="930"/>
    </row>
    <row r="122" spans="1:7" x14ac:dyDescent="0.2">
      <c r="A122" s="927" t="s">
        <v>459</v>
      </c>
      <c r="B122" s="927" t="s">
        <v>2016</v>
      </c>
      <c r="C122" s="932">
        <f>'Revenues 9-14'!B177</f>
        <v>4045</v>
      </c>
      <c r="D122" s="929" t="str">
        <f>'Revenues 9-14'!A177 &amp; " (Subtract)"</f>
        <v>Head Start (Subtract)</v>
      </c>
      <c r="E122" s="906"/>
      <c r="F122" s="1789">
        <f>SUM(-'Revenues 9-14'!C177)</f>
        <v>0</v>
      </c>
      <c r="G122" s="930"/>
    </row>
    <row r="123" spans="1:7" x14ac:dyDescent="0.2">
      <c r="A123" s="927" t="s">
        <v>668</v>
      </c>
      <c r="B123" s="927" t="s">
        <v>2017</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2018</v>
      </c>
      <c r="C124" s="932">
        <v>4100</v>
      </c>
      <c r="D124" s="933" t="str">
        <f>'Revenues 9-14'!A188</f>
        <v>Total Title V</v>
      </c>
      <c r="E124" s="906"/>
      <c r="F124" s="1789">
        <f>SUM('Revenues 9-14'!C188,'Revenues 9-14'!D188,'Revenues 9-14'!F188,'Revenues 9-14'!G188)</f>
        <v>0</v>
      </c>
      <c r="G124" s="930"/>
    </row>
    <row r="125" spans="1:7" x14ac:dyDescent="0.2">
      <c r="A125" s="927" t="s">
        <v>664</v>
      </c>
      <c r="B125" s="927" t="s">
        <v>2019</v>
      </c>
      <c r="C125" s="932">
        <v>4200</v>
      </c>
      <c r="D125" s="929" t="str">
        <f>'Revenues 9-14'!A198</f>
        <v>Total Food Service</v>
      </c>
      <c r="E125" s="906"/>
      <c r="F125" s="1789">
        <f>SUM('Revenues 9-14'!C198,'Revenues 9-14'!G198)</f>
        <v>936843</v>
      </c>
      <c r="G125" s="930"/>
    </row>
    <row r="126" spans="1:7" x14ac:dyDescent="0.2">
      <c r="A126" s="927" t="s">
        <v>668</v>
      </c>
      <c r="B126" s="927" t="s">
        <v>2020</v>
      </c>
      <c r="C126" s="932">
        <v>4300</v>
      </c>
      <c r="D126" s="933" t="str">
        <f>'Revenues 9-14'!A204</f>
        <v>Total Title I</v>
      </c>
      <c r="E126" s="906"/>
      <c r="F126" s="1789">
        <f>SUM('Revenues 9-14'!C204,'Revenues 9-14'!D204,'Revenues 9-14'!F204,'Revenues 9-14'!G204)</f>
        <v>501891</v>
      </c>
      <c r="G126" s="930"/>
    </row>
    <row r="127" spans="1:7" x14ac:dyDescent="0.2">
      <c r="A127" s="927" t="s">
        <v>668</v>
      </c>
      <c r="B127" s="927" t="s">
        <v>2021</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2022</v>
      </c>
      <c r="C128" s="932">
        <f>'Revenues 9-14'!B213</f>
        <v>4620</v>
      </c>
      <c r="D128" s="933" t="str">
        <f>'Revenues 9-14'!A213</f>
        <v>Fed - Spec Education - IDEA - Flow Through</v>
      </c>
      <c r="E128" s="906"/>
      <c r="F128" s="1789">
        <f>SUM('Revenues 9-14'!C213:D213,'Revenues 9-14'!F213:G213)</f>
        <v>827401</v>
      </c>
      <c r="G128" s="930"/>
    </row>
    <row r="129" spans="1:7" x14ac:dyDescent="0.2">
      <c r="A129" s="927" t="s">
        <v>668</v>
      </c>
      <c r="B129" s="927" t="s">
        <v>2023</v>
      </c>
      <c r="C129" s="932">
        <f>'Revenues 9-14'!B214</f>
        <v>4625</v>
      </c>
      <c r="D129" s="933" t="str">
        <f>'Revenues 9-14'!A214</f>
        <v>Fed - Spec Education - IDEA - Room &amp; Board</v>
      </c>
      <c r="E129" s="906"/>
      <c r="F129" s="1789">
        <f>SUM('Revenues 9-14'!C214,'Revenues 9-14'!D214,'Revenues 9-14'!F214,'Revenues 9-14'!G214)</f>
        <v>44942</v>
      </c>
      <c r="G129" s="930"/>
    </row>
    <row r="130" spans="1:7" x14ac:dyDescent="0.2">
      <c r="A130" s="927" t="s">
        <v>668</v>
      </c>
      <c r="B130" s="927" t="s">
        <v>2024</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2025</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2026</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2027</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2028</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2029</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2030</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2031</v>
      </c>
      <c r="C138" s="935" t="s">
        <v>212</v>
      </c>
      <c r="D138" s="936" t="str">
        <f>'Revenues 9-14'!A229</f>
        <v>ARRA - IDEA - Part B - Preschool</v>
      </c>
      <c r="E138" s="937"/>
      <c r="F138" s="1789">
        <v>0</v>
      </c>
      <c r="G138" s="905"/>
    </row>
    <row r="139" spans="1:7" s="867" customFormat="1" hidden="1" x14ac:dyDescent="0.2">
      <c r="A139" s="934" t="s">
        <v>206</v>
      </c>
      <c r="B139" s="934" t="s">
        <v>2032</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2033</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2034</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2035</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2036</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2037</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2038</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2039</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2040</v>
      </c>
      <c r="C157" s="940" t="s">
        <v>841</v>
      </c>
      <c r="D157" s="941" t="s">
        <v>777</v>
      </c>
      <c r="E157" s="942"/>
      <c r="F157" s="1789">
        <f>SUM(F133:F156)</f>
        <v>0</v>
      </c>
      <c r="G157" s="905"/>
    </row>
    <row r="158" spans="1:7" s="867" customFormat="1" x14ac:dyDescent="0.2">
      <c r="A158" s="938" t="s">
        <v>459</v>
      </c>
      <c r="B158" s="939" t="s">
        <v>2041</v>
      </c>
      <c r="C158" s="940" t="s">
        <v>1427</v>
      </c>
      <c r="D158" s="941" t="s">
        <v>1428</v>
      </c>
      <c r="E158" s="942"/>
      <c r="F158" s="1789">
        <f>SUM('Revenues 9-14'!C253)</f>
        <v>0</v>
      </c>
      <c r="G158" s="905"/>
    </row>
    <row r="159" spans="1:7" s="867" customFormat="1" x14ac:dyDescent="0.2">
      <c r="A159" s="938" t="s">
        <v>500</v>
      </c>
      <c r="B159" s="939" t="s">
        <v>2042</v>
      </c>
      <c r="C159" s="940" t="s">
        <v>1466</v>
      </c>
      <c r="D159" s="941" t="s">
        <v>1467</v>
      </c>
      <c r="E159" s="942"/>
      <c r="F159" s="1789">
        <f>SUM('Revenues 9-14'!C254:H254,'Revenues 9-14'!J254:K254)</f>
        <v>0</v>
      </c>
      <c r="G159" s="905"/>
    </row>
    <row r="160" spans="1:7" x14ac:dyDescent="0.2">
      <c r="A160" s="927" t="s">
        <v>5</v>
      </c>
      <c r="B160" s="927" t="s">
        <v>2043</v>
      </c>
      <c r="C160" s="932">
        <f>'Revenues 9-14'!B255</f>
        <v>4905</v>
      </c>
      <c r="D160" s="929" t="str">
        <f>'Revenues 9-14'!A255</f>
        <v>Title III - Immigrant Education Program (IEP)</v>
      </c>
      <c r="E160" s="906"/>
      <c r="F160" s="1789">
        <f>SUM('Revenues 9-14'!C255,'Revenues 9-14'!F255,'Revenues 9-14'!G255)</f>
        <v>639</v>
      </c>
      <c r="G160" s="943">
        <v>6306</v>
      </c>
    </row>
    <row r="161" spans="1:7" x14ac:dyDescent="0.2">
      <c r="A161" s="927" t="s">
        <v>5</v>
      </c>
      <c r="B161" s="927" t="s">
        <v>2044</v>
      </c>
      <c r="C161" s="932">
        <f>'Revenues 9-14'!B256</f>
        <v>4909</v>
      </c>
      <c r="D161" s="929" t="str">
        <f>'Revenues 9-14'!A256</f>
        <v>Title III - Language Inst Program - Limited Eng (LIPLEP)</v>
      </c>
      <c r="E161" s="906"/>
      <c r="F161" s="1789">
        <f>SUM('Revenues 9-14'!C256,'Revenues 9-14'!F256,'Revenues 9-14'!G256)</f>
        <v>113180</v>
      </c>
      <c r="G161" s="943"/>
    </row>
    <row r="162" spans="1:7" x14ac:dyDescent="0.2">
      <c r="A162" s="927" t="s">
        <v>668</v>
      </c>
      <c r="B162" s="927" t="s">
        <v>2045</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2046</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2047</v>
      </c>
      <c r="C164" s="932">
        <f>'Revenues 9-14'!B259</f>
        <v>4932</v>
      </c>
      <c r="D164" s="933" t="str">
        <f>'Revenues 9-14'!A259</f>
        <v>Title II - Teacher Quality</v>
      </c>
      <c r="E164" s="906"/>
      <c r="F164" s="1907">
        <f>SUM('Revenues 9-14'!C259,'Revenues 9-14'!D259,'Revenues 9-14'!F259,'Revenues 9-14'!G259)</f>
        <v>139272</v>
      </c>
      <c r="G164" s="930"/>
    </row>
    <row r="165" spans="1:7" x14ac:dyDescent="0.2">
      <c r="A165" s="927" t="s">
        <v>668</v>
      </c>
      <c r="B165" s="927" t="s">
        <v>2048</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1993</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1994</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2049</v>
      </c>
      <c r="C168" s="932">
        <f>'Revenues 9-14'!B263</f>
        <v>4991</v>
      </c>
      <c r="D168" s="933" t="str">
        <f>'Revenues 9-14'!A263</f>
        <v>Medicaid Matching Funds - Administrative Outreach</v>
      </c>
      <c r="E168" s="906"/>
      <c r="F168" s="1789">
        <f>SUM('Revenues 9-14'!C263:D263,'Revenues 9-14'!F263:G263)</f>
        <v>81038</v>
      </c>
      <c r="G168" s="947">
        <v>6320</v>
      </c>
    </row>
    <row r="169" spans="1:7" x14ac:dyDescent="0.2">
      <c r="A169" s="927" t="s">
        <v>668</v>
      </c>
      <c r="B169" s="927" t="s">
        <v>2050</v>
      </c>
      <c r="C169" s="932">
        <f>'Revenues 9-14'!B264</f>
        <v>4992</v>
      </c>
      <c r="D169" s="933" t="str">
        <f>'Revenues 9-14'!A264</f>
        <v>Medicaid Matching Funds - Fee-for-Service Program</v>
      </c>
      <c r="E169" s="906"/>
      <c r="F169" s="1789">
        <f>SUM('Revenues 9-14'!C264:D264,'Revenues 9-14'!F264:G264)</f>
        <v>566843</v>
      </c>
      <c r="G169" s="947"/>
    </row>
    <row r="170" spans="1:7" x14ac:dyDescent="0.2">
      <c r="A170" s="948" t="s">
        <v>668</v>
      </c>
      <c r="B170" s="944" t="s">
        <v>2051</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1917</v>
      </c>
      <c r="C171" s="1920">
        <v>3100</v>
      </c>
      <c r="D171" s="1921" t="s">
        <v>1919</v>
      </c>
      <c r="E171" s="906"/>
      <c r="F171" s="1906"/>
      <c r="G171" s="927"/>
    </row>
    <row r="172" spans="1:7" x14ac:dyDescent="0.2">
      <c r="A172" s="1918" t="s">
        <v>664</v>
      </c>
      <c r="B172" s="1919" t="s">
        <v>1917</v>
      </c>
      <c r="C172" s="1920">
        <v>3300</v>
      </c>
      <c r="D172" s="1921" t="s">
        <v>1920</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2052</v>
      </c>
      <c r="E174" s="1787" t="s">
        <v>958</v>
      </c>
      <c r="F174" s="1788">
        <f>SUM(F84:F132,F157:F172)</f>
        <v>8014475</v>
      </c>
    </row>
    <row r="175" spans="1:7" ht="12" customHeight="1" x14ac:dyDescent="0.2">
      <c r="A175" s="1770"/>
      <c r="B175" s="1784"/>
      <c r="C175" s="1785"/>
      <c r="D175" s="1786" t="s">
        <v>2053</v>
      </c>
      <c r="E175" s="1787"/>
      <c r="F175" s="1789">
        <f>'PCTC-OEPP 27-28'!F77-F174</f>
        <v>68750816</v>
      </c>
    </row>
    <row r="176" spans="1:7" ht="12" customHeight="1" x14ac:dyDescent="0.2">
      <c r="A176" s="1770"/>
      <c r="B176" s="1784"/>
      <c r="C176" s="1785"/>
      <c r="D176" s="1786" t="s">
        <v>1815</v>
      </c>
      <c r="E176" s="1787"/>
      <c r="F176" s="1789">
        <f>'Cap Outlay Deprec 26'!I18</f>
        <v>4346589.8</v>
      </c>
    </row>
    <row r="177" spans="1:7" ht="12" customHeight="1" x14ac:dyDescent="0.2">
      <c r="A177" s="1770"/>
      <c r="B177" s="1784"/>
      <c r="C177" s="1785"/>
      <c r="D177" s="1786" t="s">
        <v>2054</v>
      </c>
      <c r="E177" s="1787"/>
      <c r="F177" s="1789">
        <f>F175+F176</f>
        <v>73097405.799999997</v>
      </c>
    </row>
    <row r="178" spans="1:7" ht="12" customHeight="1" x14ac:dyDescent="0.2">
      <c r="A178" s="1770"/>
      <c r="B178" s="1790"/>
      <c r="C178" s="1785"/>
      <c r="D178" s="1786" t="str">
        <f>D78</f>
        <v>9 Month ADA from District Average Daily Attendance/Prior General State Aid Inquiry 2018-2019</v>
      </c>
      <c r="E178" s="1787"/>
      <c r="F178" s="1791">
        <f>'PCTC-OEPP 27-28'!F78</f>
        <v>5372.7</v>
      </c>
      <c r="G178" s="930"/>
    </row>
    <row r="179" spans="1:7" ht="12" customHeight="1" thickBot="1" x14ac:dyDescent="0.25">
      <c r="A179" s="1770"/>
      <c r="B179" s="1790"/>
      <c r="C179" s="1785"/>
      <c r="D179" s="1786" t="s">
        <v>2055</v>
      </c>
      <c r="E179" s="1787" t="s">
        <v>1545</v>
      </c>
      <c r="F179" s="1792">
        <f>F177/F178</f>
        <v>13605.339177694641</v>
      </c>
      <c r="G179" s="856">
        <v>6323</v>
      </c>
    </row>
    <row r="180" spans="1:7" ht="12" thickTop="1" x14ac:dyDescent="0.2">
      <c r="B180" s="930"/>
      <c r="C180" s="949"/>
      <c r="D180" s="930"/>
      <c r="E180" s="949"/>
      <c r="F180" s="930"/>
      <c r="G180" s="951">
        <v>6326</v>
      </c>
    </row>
    <row r="181" spans="1:7" ht="12.2" customHeight="1" x14ac:dyDescent="0.2">
      <c r="A181" s="930" t="s">
        <v>1918</v>
      </c>
      <c r="B181" s="930"/>
      <c r="C181" s="949"/>
      <c r="D181" s="930"/>
      <c r="E181" s="949"/>
      <c r="F181" s="930"/>
      <c r="G181" s="930"/>
    </row>
    <row r="182" spans="1:7" s="1922" customFormat="1" ht="12.2" customHeight="1" x14ac:dyDescent="0.2">
      <c r="A182" s="1922" t="s">
        <v>1990</v>
      </c>
      <c r="B182" s="1923"/>
      <c r="C182" s="1924"/>
      <c r="D182" s="1923"/>
      <c r="E182" s="1924"/>
      <c r="F182" s="1923"/>
      <c r="G182" s="1923"/>
    </row>
    <row r="183" spans="1:7" s="1922" customFormat="1" ht="12.2" customHeight="1" x14ac:dyDescent="0.2">
      <c r="A183" s="1925" t="s">
        <v>1992</v>
      </c>
      <c r="C183" s="1924"/>
      <c r="D183" s="1923"/>
      <c r="E183" s="1924"/>
      <c r="F183" s="1923"/>
      <c r="G183" s="1923"/>
    </row>
    <row r="184" spans="1:7" ht="12" customHeight="1" x14ac:dyDescent="0.2">
      <c r="C184" s="949"/>
      <c r="D184" s="930"/>
      <c r="E184" s="949"/>
      <c r="F184" s="930"/>
      <c r="G184" s="930"/>
    </row>
    <row r="185" spans="1:7" x14ac:dyDescent="0.2">
      <c r="A185" s="1926" t="s">
        <v>1922</v>
      </c>
      <c r="B185" s="1927" t="s">
        <v>1921</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3"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2"/>
  <sheetViews>
    <sheetView showGridLines="0" zoomScaleNormal="100" workbookViewId="0">
      <selection activeCell="D38" sqref="D38"/>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16.42578125" style="1544" hidden="1" customWidth="1"/>
    <col min="6" max="6" width="23.5703125" style="1544" customWidth="1"/>
    <col min="7" max="7" width="23.28515625" style="1543" customWidth="1"/>
    <col min="8" max="16384" width="9.140625" style="1533"/>
  </cols>
  <sheetData>
    <row r="1" spans="1:7" ht="15" customHeight="1" x14ac:dyDescent="0.25">
      <c r="A1" s="1659" t="s">
        <v>1830</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9" t="s">
        <v>1816</v>
      </c>
      <c r="B4" s="2280"/>
      <c r="C4" s="2280"/>
      <c r="D4" s="2280"/>
      <c r="E4" s="2280"/>
      <c r="F4" s="2280"/>
      <c r="G4" s="2281"/>
    </row>
    <row r="5" spans="1:7" x14ac:dyDescent="0.25">
      <c r="A5" s="2282"/>
      <c r="B5" s="2283"/>
      <c r="C5" s="2283"/>
      <c r="D5" s="2283"/>
      <c r="E5" s="2283"/>
      <c r="F5" s="2283"/>
      <c r="G5" s="2284"/>
    </row>
    <row r="6" spans="1:7" ht="18.75" x14ac:dyDescent="0.25">
      <c r="A6" s="1935" t="s">
        <v>2062</v>
      </c>
      <c r="B6" s="1936"/>
      <c r="C6" s="1936"/>
      <c r="D6" s="1936"/>
      <c r="E6" s="1936"/>
      <c r="F6" s="1936"/>
      <c r="G6" s="1937"/>
    </row>
    <row r="7" spans="1:7" ht="18.75" x14ac:dyDescent="0.25">
      <c r="A7" s="1534" t="s">
        <v>1817</v>
      </c>
      <c r="B7" s="1535"/>
      <c r="C7" s="1535"/>
      <c r="D7" s="1535"/>
      <c r="E7" s="1535"/>
      <c r="F7" s="1535"/>
      <c r="G7" s="1536"/>
    </row>
    <row r="8" spans="1:7" ht="30.75" customHeight="1" x14ac:dyDescent="0.25">
      <c r="A8" s="2285" t="s">
        <v>1929</v>
      </c>
      <c r="B8" s="2286"/>
      <c r="C8" s="2286"/>
      <c r="D8" s="2286"/>
      <c r="E8" s="2286"/>
      <c r="F8" s="2286"/>
      <c r="G8" s="2287"/>
    </row>
    <row r="9" spans="1:7" ht="15.75" customHeight="1" x14ac:dyDescent="0.25">
      <c r="A9" s="2288" t="s">
        <v>1904</v>
      </c>
      <c r="B9" s="2289"/>
      <c r="C9" s="2289"/>
      <c r="D9" s="2289"/>
      <c r="E9" s="2289"/>
      <c r="F9" s="2289"/>
      <c r="G9" s="2290"/>
    </row>
    <row r="10" spans="1:7" ht="35.25" customHeight="1" x14ac:dyDescent="0.25">
      <c r="A10" s="2285" t="s">
        <v>2061</v>
      </c>
      <c r="B10" s="2286"/>
      <c r="C10" s="2286"/>
      <c r="D10" s="2286"/>
      <c r="E10" s="2286"/>
      <c r="F10" s="2286"/>
      <c r="G10" s="2287"/>
    </row>
    <row r="11" spans="1:7" ht="15" customHeight="1" x14ac:dyDescent="0.25">
      <c r="A11" s="1537" t="s">
        <v>1818</v>
      </c>
      <c r="B11" s="1538"/>
      <c r="C11" s="1538"/>
      <c r="D11" s="1538"/>
      <c r="E11" s="1538"/>
      <c r="F11" s="1538"/>
      <c r="G11" s="1539"/>
    </row>
    <row r="12" spans="1:7" ht="17.25" customHeight="1" x14ac:dyDescent="0.25">
      <c r="A12" s="2285" t="s">
        <v>1931</v>
      </c>
      <c r="B12" s="2286"/>
      <c r="C12" s="2286"/>
      <c r="D12" s="2286"/>
      <c r="E12" s="2286"/>
      <c r="F12" s="2286"/>
      <c r="G12" s="2287"/>
    </row>
    <row r="13" spans="1:7" ht="15" customHeight="1" x14ac:dyDescent="0.25">
      <c r="A13" s="1537" t="s">
        <v>1823</v>
      </c>
      <c r="B13" s="1538"/>
      <c r="C13" s="1538"/>
      <c r="D13" s="1538"/>
      <c r="E13" s="1538"/>
      <c r="F13" s="1538"/>
      <c r="G13" s="1539"/>
    </row>
    <row r="14" spans="1:7" ht="32.25" customHeight="1" x14ac:dyDescent="0.25">
      <c r="A14" s="2276" t="s">
        <v>1972</v>
      </c>
      <c r="B14" s="2277"/>
      <c r="C14" s="2277"/>
      <c r="D14" s="2277"/>
      <c r="E14" s="2277"/>
      <c r="F14" s="2277"/>
      <c r="G14" s="2278"/>
    </row>
    <row r="15" spans="1:7" x14ac:dyDescent="0.25">
      <c r="A15" s="1661" t="s">
        <v>1831</v>
      </c>
      <c r="B15" s="1662"/>
      <c r="C15" s="1662"/>
      <c r="D15" s="1662"/>
      <c r="E15" s="1662"/>
      <c r="F15" s="1662"/>
      <c r="G15" s="1663"/>
    </row>
    <row r="16" spans="1:7" ht="61.5" customHeight="1" x14ac:dyDescent="0.25">
      <c r="A16" s="1546" t="s">
        <v>1824</v>
      </c>
      <c r="B16" s="1546" t="s">
        <v>1825</v>
      </c>
      <c r="C16" s="1546" t="s">
        <v>1826</v>
      </c>
      <c r="D16" s="1547" t="s">
        <v>1827</v>
      </c>
      <c r="E16" s="1547" t="s">
        <v>1819</v>
      </c>
      <c r="F16" s="1547" t="s">
        <v>1828</v>
      </c>
      <c r="G16" s="1547" t="s">
        <v>1829</v>
      </c>
    </row>
    <row r="17" spans="1:8" x14ac:dyDescent="0.25">
      <c r="A17" s="1648" t="s">
        <v>1832</v>
      </c>
      <c r="B17" s="1649" t="s">
        <v>1822</v>
      </c>
      <c r="C17" s="1650" t="s">
        <v>1820</v>
      </c>
      <c r="D17" s="1651">
        <v>500000</v>
      </c>
      <c r="E17" s="1651">
        <f>IF(D17&lt;=25000,D17,IF(D17&gt;25000,25000,0))</f>
        <v>25000</v>
      </c>
      <c r="F17" s="1651">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2">
        <f>IF(F17=0,"0",D17-F17)</f>
        <v>475000</v>
      </c>
    </row>
    <row r="18" spans="1:8" x14ac:dyDescent="0.25">
      <c r="A18" s="1938" t="s">
        <v>2083</v>
      </c>
      <c r="B18" s="1939" t="s">
        <v>2084</v>
      </c>
      <c r="C18" s="1940" t="s">
        <v>2085</v>
      </c>
      <c r="D18" s="1941">
        <v>1138165.46</v>
      </c>
      <c r="E18" s="1540">
        <f t="shared" ref="E18:E142" si="0">IF(D18&lt;=25000,D18,IF(D18&gt;25000,25000,0))</f>
        <v>25000</v>
      </c>
      <c r="F18" s="1934">
        <f t="shared" ref="F18:F81"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25000</v>
      </c>
      <c r="G18" s="1793">
        <f>IF(F18=0,0,D18-F18)</f>
        <v>1113165.46</v>
      </c>
      <c r="H18" s="1647"/>
    </row>
    <row r="19" spans="1:8" x14ac:dyDescent="0.25">
      <c r="A19" s="1938" t="s">
        <v>2086</v>
      </c>
      <c r="B19" s="1939" t="s">
        <v>2087</v>
      </c>
      <c r="C19" s="1940" t="s">
        <v>2088</v>
      </c>
      <c r="D19" s="1941">
        <v>803572</v>
      </c>
      <c r="E19" s="1540">
        <f t="shared" ref="E19:E141" si="2">IF(D19&lt;=25000,D19,IF(D19&gt;25000,25000,0))</f>
        <v>25000</v>
      </c>
      <c r="F19" s="1934">
        <f t="shared" si="1"/>
        <v>25000</v>
      </c>
      <c r="G19" s="1793">
        <f t="shared" ref="G19:G141" si="3">IF(F19=0,0,D19-F19)</f>
        <v>778572</v>
      </c>
    </row>
    <row r="20" spans="1:8" x14ac:dyDescent="0.25">
      <c r="A20" s="1938" t="s">
        <v>2089</v>
      </c>
      <c r="B20" s="1939" t="s">
        <v>2090</v>
      </c>
      <c r="C20" s="1654" t="s">
        <v>2091</v>
      </c>
      <c r="D20" s="1941">
        <v>908770</v>
      </c>
      <c r="E20" s="1540">
        <f t="shared" si="2"/>
        <v>25000</v>
      </c>
      <c r="F20" s="1934">
        <f t="shared" si="1"/>
        <v>25000</v>
      </c>
      <c r="G20" s="1793">
        <f t="shared" si="3"/>
        <v>883770</v>
      </c>
    </row>
    <row r="21" spans="1:8" x14ac:dyDescent="0.25">
      <c r="A21" s="1942" t="s">
        <v>2092</v>
      </c>
      <c r="B21" s="1939" t="s">
        <v>2093</v>
      </c>
      <c r="C21" s="1942" t="s">
        <v>2094</v>
      </c>
      <c r="D21" s="1941">
        <v>4799.2299999999996</v>
      </c>
      <c r="E21" s="1540">
        <f t="shared" si="2"/>
        <v>4799.2299999999996</v>
      </c>
      <c r="F21" s="1934">
        <f t="shared" si="1"/>
        <v>4799.2299999999996</v>
      </c>
      <c r="G21" s="1793">
        <f t="shared" si="3"/>
        <v>0</v>
      </c>
    </row>
    <row r="22" spans="1:8" x14ac:dyDescent="0.25">
      <c r="A22" s="1938" t="s">
        <v>2095</v>
      </c>
      <c r="B22" s="1939" t="s">
        <v>2096</v>
      </c>
      <c r="C22" s="1940" t="s">
        <v>2097</v>
      </c>
      <c r="D22" s="1941">
        <v>34083</v>
      </c>
      <c r="E22" s="1540">
        <f t="shared" si="2"/>
        <v>25000</v>
      </c>
      <c r="F22" s="1934">
        <f t="shared" si="1"/>
        <v>25000</v>
      </c>
      <c r="G22" s="1793">
        <f t="shared" si="3"/>
        <v>9083</v>
      </c>
    </row>
    <row r="23" spans="1:8" x14ac:dyDescent="0.25">
      <c r="A23" s="1938" t="s">
        <v>2098</v>
      </c>
      <c r="B23" s="1939" t="s">
        <v>2087</v>
      </c>
      <c r="C23" s="1940" t="s">
        <v>2099</v>
      </c>
      <c r="D23" s="1941">
        <v>5606.83</v>
      </c>
      <c r="E23" s="1540">
        <f t="shared" si="2"/>
        <v>5606.83</v>
      </c>
      <c r="F23" s="1934">
        <f t="shared" si="1"/>
        <v>5606.83</v>
      </c>
      <c r="G23" s="1793">
        <f t="shared" si="3"/>
        <v>0</v>
      </c>
    </row>
    <row r="24" spans="1:8" x14ac:dyDescent="0.25">
      <c r="A24" s="1938" t="s">
        <v>2100</v>
      </c>
      <c r="B24" s="1939" t="s">
        <v>2087</v>
      </c>
      <c r="C24" s="1940" t="s">
        <v>2101</v>
      </c>
      <c r="D24" s="1941">
        <v>39814.550000000003</v>
      </c>
      <c r="E24" s="1540">
        <f t="shared" si="2"/>
        <v>25000</v>
      </c>
      <c r="F24" s="1934">
        <f t="shared" si="1"/>
        <v>25000</v>
      </c>
      <c r="G24" s="1793">
        <f t="shared" si="3"/>
        <v>14814.550000000003</v>
      </c>
    </row>
    <row r="25" spans="1:8" x14ac:dyDescent="0.25">
      <c r="A25" s="1938" t="s">
        <v>2102</v>
      </c>
      <c r="B25" s="1939" t="s">
        <v>2090</v>
      </c>
      <c r="C25" s="1940" t="s">
        <v>2103</v>
      </c>
      <c r="D25" s="1941">
        <v>27150</v>
      </c>
      <c r="E25" s="1540">
        <f t="shared" si="2"/>
        <v>25000</v>
      </c>
      <c r="F25" s="1934">
        <f t="shared" si="1"/>
        <v>25000</v>
      </c>
      <c r="G25" s="1793">
        <f t="shared" si="3"/>
        <v>2150</v>
      </c>
    </row>
    <row r="26" spans="1:8" x14ac:dyDescent="0.25">
      <c r="A26" s="1938" t="s">
        <v>2104</v>
      </c>
      <c r="B26" s="1939" t="s">
        <v>2090</v>
      </c>
      <c r="C26" s="1940" t="s">
        <v>2105</v>
      </c>
      <c r="D26" s="1941">
        <v>78136.5</v>
      </c>
      <c r="E26" s="1540">
        <f t="shared" si="2"/>
        <v>25000</v>
      </c>
      <c r="F26" s="1934">
        <f t="shared" si="1"/>
        <v>25000</v>
      </c>
      <c r="G26" s="1793">
        <f t="shared" si="3"/>
        <v>53136.5</v>
      </c>
    </row>
    <row r="27" spans="1:8" x14ac:dyDescent="0.25">
      <c r="A27" s="1938" t="s">
        <v>2104</v>
      </c>
      <c r="B27" s="1939" t="s">
        <v>2090</v>
      </c>
      <c r="C27" s="1940" t="s">
        <v>2106</v>
      </c>
      <c r="D27" s="1941">
        <v>208780</v>
      </c>
      <c r="E27" s="1540">
        <f t="shared" si="2"/>
        <v>25000</v>
      </c>
      <c r="F27" s="1934">
        <f t="shared" si="1"/>
        <v>25000</v>
      </c>
      <c r="G27" s="1793">
        <f t="shared" si="3"/>
        <v>183780</v>
      </c>
    </row>
    <row r="28" spans="1:8" x14ac:dyDescent="0.25">
      <c r="A28" s="1938" t="s">
        <v>2104</v>
      </c>
      <c r="B28" s="1939" t="s">
        <v>2090</v>
      </c>
      <c r="C28" s="1940" t="s">
        <v>2107</v>
      </c>
      <c r="D28" s="1941">
        <v>10693.28</v>
      </c>
      <c r="E28" s="1540">
        <f t="shared" si="2"/>
        <v>10693.28</v>
      </c>
      <c r="F28" s="1934">
        <f t="shared" si="1"/>
        <v>10693.28</v>
      </c>
      <c r="G28" s="1793">
        <f t="shared" si="3"/>
        <v>0</v>
      </c>
    </row>
    <row r="29" spans="1:8" x14ac:dyDescent="0.25">
      <c r="A29" s="1938" t="s">
        <v>2108</v>
      </c>
      <c r="B29" s="1939" t="s">
        <v>2109</v>
      </c>
      <c r="C29" s="1940" t="s">
        <v>2110</v>
      </c>
      <c r="D29" s="1941">
        <v>4000</v>
      </c>
      <c r="E29" s="1540">
        <f t="shared" si="2"/>
        <v>4000</v>
      </c>
      <c r="F29" s="1934">
        <f t="shared" si="1"/>
        <v>4000</v>
      </c>
      <c r="G29" s="1793">
        <f t="shared" si="3"/>
        <v>0</v>
      </c>
    </row>
    <row r="30" spans="1:8" x14ac:dyDescent="0.25">
      <c r="A30" s="1938" t="s">
        <v>2111</v>
      </c>
      <c r="B30" s="1939" t="s">
        <v>2112</v>
      </c>
      <c r="C30" s="1940" t="s">
        <v>2113</v>
      </c>
      <c r="D30" s="1941">
        <v>8100</v>
      </c>
      <c r="E30" s="1540">
        <f t="shared" si="2"/>
        <v>8100</v>
      </c>
      <c r="F30" s="1934">
        <f t="shared" si="1"/>
        <v>8100</v>
      </c>
      <c r="G30" s="1793">
        <f t="shared" si="3"/>
        <v>0</v>
      </c>
    </row>
    <row r="31" spans="1:8" x14ac:dyDescent="0.25">
      <c r="A31" s="1938" t="s">
        <v>2108</v>
      </c>
      <c r="B31" s="1939" t="s">
        <v>2109</v>
      </c>
      <c r="C31" s="1940" t="s">
        <v>2114</v>
      </c>
      <c r="D31" s="1941">
        <v>16150</v>
      </c>
      <c r="E31" s="1540">
        <f t="shared" si="2"/>
        <v>16150</v>
      </c>
      <c r="F31" s="1934">
        <f t="shared" si="1"/>
        <v>16150</v>
      </c>
      <c r="G31" s="1793">
        <f t="shared" si="3"/>
        <v>0</v>
      </c>
    </row>
    <row r="32" spans="1:8" x14ac:dyDescent="0.25">
      <c r="A32" s="1938" t="s">
        <v>2115</v>
      </c>
      <c r="B32" s="1939" t="s">
        <v>2090</v>
      </c>
      <c r="C32" s="1940" t="s">
        <v>2116</v>
      </c>
      <c r="D32" s="1941">
        <v>6490</v>
      </c>
      <c r="E32" s="1540">
        <f t="shared" si="2"/>
        <v>6490</v>
      </c>
      <c r="F32" s="1934">
        <f t="shared" si="1"/>
        <v>6490</v>
      </c>
      <c r="G32" s="1793">
        <f t="shared" si="3"/>
        <v>0</v>
      </c>
    </row>
    <row r="33" spans="1:7" x14ac:dyDescent="0.25">
      <c r="A33" s="1938" t="s">
        <v>2117</v>
      </c>
      <c r="B33" s="1939" t="s">
        <v>2090</v>
      </c>
      <c r="C33" s="1940" t="s">
        <v>2118</v>
      </c>
      <c r="D33" s="1941">
        <v>5439.5</v>
      </c>
      <c r="E33" s="1540">
        <f t="shared" si="2"/>
        <v>5439.5</v>
      </c>
      <c r="F33" s="1934">
        <f t="shared" si="1"/>
        <v>5439.5</v>
      </c>
      <c r="G33" s="1793">
        <f t="shared" si="3"/>
        <v>0</v>
      </c>
    </row>
    <row r="34" spans="1:7" x14ac:dyDescent="0.25">
      <c r="A34" s="1938" t="s">
        <v>2119</v>
      </c>
      <c r="B34" s="1939" t="s">
        <v>2120</v>
      </c>
      <c r="C34" s="1940" t="s">
        <v>2121</v>
      </c>
      <c r="D34" s="1941">
        <v>4488.4799999999996</v>
      </c>
      <c r="E34" s="1540">
        <f t="shared" si="2"/>
        <v>4488.4799999999996</v>
      </c>
      <c r="F34" s="1934">
        <f t="shared" si="1"/>
        <v>4488.4799999999996</v>
      </c>
      <c r="G34" s="1793">
        <f t="shared" si="3"/>
        <v>0</v>
      </c>
    </row>
    <row r="35" spans="1:7" x14ac:dyDescent="0.25">
      <c r="A35" s="1938" t="s">
        <v>2122</v>
      </c>
      <c r="B35" s="1939" t="s">
        <v>2112</v>
      </c>
      <c r="C35" s="1940" t="s">
        <v>2123</v>
      </c>
      <c r="D35" s="1941">
        <v>23320.14</v>
      </c>
      <c r="E35" s="1540">
        <f t="shared" si="2"/>
        <v>23320.14</v>
      </c>
      <c r="F35" s="1934">
        <f t="shared" si="1"/>
        <v>23320.14</v>
      </c>
      <c r="G35" s="1793">
        <f t="shared" si="3"/>
        <v>0</v>
      </c>
    </row>
    <row r="36" spans="1:7" x14ac:dyDescent="0.25">
      <c r="A36" s="1938" t="s">
        <v>2124</v>
      </c>
      <c r="B36" s="1939" t="s">
        <v>2120</v>
      </c>
      <c r="C36" s="1940" t="s">
        <v>2125</v>
      </c>
      <c r="D36" s="1941">
        <v>11740</v>
      </c>
      <c r="E36" s="1540">
        <f t="shared" si="2"/>
        <v>11740</v>
      </c>
      <c r="F36" s="1934">
        <f t="shared" si="1"/>
        <v>11740</v>
      </c>
      <c r="G36" s="1793">
        <f t="shared" si="3"/>
        <v>0</v>
      </c>
    </row>
    <row r="37" spans="1:7" x14ac:dyDescent="0.25">
      <c r="A37" s="1938" t="s">
        <v>2126</v>
      </c>
      <c r="B37" s="1939" t="s">
        <v>2127</v>
      </c>
      <c r="C37" s="1940" t="s">
        <v>2128</v>
      </c>
      <c r="D37" s="1941">
        <v>25753.5</v>
      </c>
      <c r="E37" s="1540">
        <f t="shared" si="2"/>
        <v>25000</v>
      </c>
      <c r="F37" s="1934">
        <f t="shared" si="1"/>
        <v>25000</v>
      </c>
      <c r="G37" s="1793">
        <f t="shared" si="3"/>
        <v>753.5</v>
      </c>
    </row>
    <row r="38" spans="1:7" x14ac:dyDescent="0.25">
      <c r="A38" s="1938" t="s">
        <v>2092</v>
      </c>
      <c r="B38" s="1943" t="s">
        <v>2109</v>
      </c>
      <c r="C38" s="1940" t="s">
        <v>2129</v>
      </c>
      <c r="D38" s="1941">
        <v>1650</v>
      </c>
      <c r="E38" s="1540">
        <f t="shared" si="2"/>
        <v>1650</v>
      </c>
      <c r="F38" s="1934">
        <f t="shared" si="1"/>
        <v>1650</v>
      </c>
      <c r="G38" s="1793">
        <f t="shared" si="3"/>
        <v>0</v>
      </c>
    </row>
    <row r="39" spans="1:7" x14ac:dyDescent="0.25">
      <c r="A39" s="1938" t="s">
        <v>2130</v>
      </c>
      <c r="B39" s="1939" t="s">
        <v>2127</v>
      </c>
      <c r="C39" s="1940" t="s">
        <v>2131</v>
      </c>
      <c r="D39" s="1941">
        <v>71125</v>
      </c>
      <c r="E39" s="1540">
        <f t="shared" si="2"/>
        <v>25000</v>
      </c>
      <c r="F39" s="1934">
        <f t="shared" si="1"/>
        <v>25000</v>
      </c>
      <c r="G39" s="1793">
        <f t="shared" si="3"/>
        <v>46125</v>
      </c>
    </row>
    <row r="40" spans="1:7" x14ac:dyDescent="0.25">
      <c r="A40" s="1938" t="s">
        <v>2132</v>
      </c>
      <c r="B40" s="1939" t="s">
        <v>2127</v>
      </c>
      <c r="C40" s="1940" t="s">
        <v>2133</v>
      </c>
      <c r="D40" s="1941">
        <v>430</v>
      </c>
      <c r="E40" s="1540">
        <f t="shared" si="2"/>
        <v>430</v>
      </c>
      <c r="F40" s="1934">
        <f t="shared" si="1"/>
        <v>430</v>
      </c>
      <c r="G40" s="1793">
        <f t="shared" si="3"/>
        <v>0</v>
      </c>
    </row>
    <row r="41" spans="1:7" x14ac:dyDescent="0.25">
      <c r="A41" s="1938" t="s">
        <v>2132</v>
      </c>
      <c r="B41" s="1939" t="s">
        <v>2127</v>
      </c>
      <c r="C41" s="1940" t="s">
        <v>2134</v>
      </c>
      <c r="D41" s="1941">
        <v>9000</v>
      </c>
      <c r="E41" s="1540">
        <f t="shared" si="2"/>
        <v>9000</v>
      </c>
      <c r="F41" s="1934">
        <f t="shared" si="1"/>
        <v>9000</v>
      </c>
      <c r="G41" s="1793">
        <f t="shared" si="3"/>
        <v>0</v>
      </c>
    </row>
    <row r="42" spans="1:7" x14ac:dyDescent="0.25">
      <c r="A42" s="1938" t="s">
        <v>2130</v>
      </c>
      <c r="B42" s="1939" t="s">
        <v>2127</v>
      </c>
      <c r="C42" s="1940" t="s">
        <v>2135</v>
      </c>
      <c r="D42" s="1941">
        <v>25753.5</v>
      </c>
      <c r="E42" s="1540">
        <f t="shared" si="2"/>
        <v>25000</v>
      </c>
      <c r="F42" s="1934">
        <f t="shared" si="1"/>
        <v>25000</v>
      </c>
      <c r="G42" s="1793">
        <f t="shared" si="3"/>
        <v>753.5</v>
      </c>
    </row>
    <row r="43" spans="1:7" x14ac:dyDescent="0.25">
      <c r="A43" s="1938" t="s">
        <v>2130</v>
      </c>
      <c r="B43" s="1939" t="s">
        <v>2127</v>
      </c>
      <c r="C43" s="1940" t="s">
        <v>2136</v>
      </c>
      <c r="D43" s="1941">
        <v>11110</v>
      </c>
      <c r="E43" s="1540">
        <f t="shared" si="2"/>
        <v>11110</v>
      </c>
      <c r="F43" s="1934">
        <f t="shared" si="1"/>
        <v>11110</v>
      </c>
      <c r="G43" s="1793">
        <f t="shared" si="3"/>
        <v>0</v>
      </c>
    </row>
    <row r="44" spans="1:7" x14ac:dyDescent="0.25">
      <c r="A44" s="1938" t="s">
        <v>2132</v>
      </c>
      <c r="B44" s="1939" t="s">
        <v>2127</v>
      </c>
      <c r="C44" s="1940" t="s">
        <v>2137</v>
      </c>
      <c r="D44" s="1941">
        <v>24</v>
      </c>
      <c r="E44" s="1540">
        <f t="shared" si="2"/>
        <v>24</v>
      </c>
      <c r="F44" s="1934">
        <f t="shared" si="1"/>
        <v>24</v>
      </c>
      <c r="G44" s="1793">
        <f t="shared" si="3"/>
        <v>0</v>
      </c>
    </row>
    <row r="45" spans="1:7" x14ac:dyDescent="0.25">
      <c r="A45" s="1938" t="s">
        <v>2132</v>
      </c>
      <c r="B45" s="1939" t="s">
        <v>2127</v>
      </c>
      <c r="C45" s="1940" t="s">
        <v>2138</v>
      </c>
      <c r="D45" s="1941">
        <v>430</v>
      </c>
      <c r="E45" s="1540">
        <f t="shared" si="2"/>
        <v>430</v>
      </c>
      <c r="F45" s="1934">
        <f t="shared" si="1"/>
        <v>430</v>
      </c>
      <c r="G45" s="1793">
        <f t="shared" si="3"/>
        <v>0</v>
      </c>
    </row>
    <row r="46" spans="1:7" x14ac:dyDescent="0.25">
      <c r="A46" s="1938" t="s">
        <v>2132</v>
      </c>
      <c r="B46" s="1939" t="s">
        <v>2127</v>
      </c>
      <c r="C46" s="1940" t="s">
        <v>2139</v>
      </c>
      <c r="D46" s="1941">
        <v>1200</v>
      </c>
      <c r="E46" s="1540">
        <f t="shared" si="2"/>
        <v>1200</v>
      </c>
      <c r="F46" s="1934">
        <f t="shared" si="1"/>
        <v>1200</v>
      </c>
      <c r="G46" s="1793">
        <f t="shared" si="3"/>
        <v>0</v>
      </c>
    </row>
    <row r="47" spans="1:7" x14ac:dyDescent="0.25">
      <c r="A47" s="1938" t="s">
        <v>2132</v>
      </c>
      <c r="B47" s="1939" t="s">
        <v>2127</v>
      </c>
      <c r="C47" s="1940" t="s">
        <v>2140</v>
      </c>
      <c r="D47" s="1941">
        <v>2925</v>
      </c>
      <c r="E47" s="1540">
        <f t="shared" si="2"/>
        <v>2925</v>
      </c>
      <c r="F47" s="1934">
        <f t="shared" si="1"/>
        <v>2925</v>
      </c>
      <c r="G47" s="1793">
        <f t="shared" si="3"/>
        <v>0</v>
      </c>
    </row>
    <row r="48" spans="1:7" x14ac:dyDescent="0.25">
      <c r="A48" s="1938" t="s">
        <v>2132</v>
      </c>
      <c r="B48" s="1939" t="s">
        <v>2127</v>
      </c>
      <c r="C48" s="1940" t="s">
        <v>2133</v>
      </c>
      <c r="D48" s="1941">
        <v>4500</v>
      </c>
      <c r="E48" s="1540">
        <f t="shared" si="2"/>
        <v>4500</v>
      </c>
      <c r="F48" s="1934">
        <f t="shared" si="1"/>
        <v>4500</v>
      </c>
      <c r="G48" s="1793">
        <f t="shared" si="3"/>
        <v>0</v>
      </c>
    </row>
    <row r="49" spans="1:7" x14ac:dyDescent="0.25">
      <c r="A49" s="1938" t="s">
        <v>2141</v>
      </c>
      <c r="B49" s="1943" t="s">
        <v>2093</v>
      </c>
      <c r="C49" s="1940" t="s">
        <v>2142</v>
      </c>
      <c r="D49" s="1941">
        <v>84840.21</v>
      </c>
      <c r="E49" s="1540">
        <f t="shared" si="2"/>
        <v>25000</v>
      </c>
      <c r="F49" s="1934">
        <f t="shared" si="1"/>
        <v>25000</v>
      </c>
      <c r="G49" s="1793">
        <f t="shared" si="3"/>
        <v>59840.210000000006</v>
      </c>
    </row>
    <row r="50" spans="1:7" x14ac:dyDescent="0.25">
      <c r="A50" s="1938" t="s">
        <v>2143</v>
      </c>
      <c r="B50" s="1943" t="s">
        <v>2093</v>
      </c>
      <c r="C50" s="1940" t="s">
        <v>2144</v>
      </c>
      <c r="D50" s="1941">
        <v>19040</v>
      </c>
      <c r="E50" s="1540">
        <f t="shared" si="2"/>
        <v>19040</v>
      </c>
      <c r="F50" s="1934">
        <f t="shared" si="1"/>
        <v>19040</v>
      </c>
      <c r="G50" s="1793">
        <f t="shared" si="3"/>
        <v>0</v>
      </c>
    </row>
    <row r="51" spans="1:7" x14ac:dyDescent="0.25">
      <c r="A51" s="1938" t="s">
        <v>2145</v>
      </c>
      <c r="B51" s="1943" t="s">
        <v>2093</v>
      </c>
      <c r="C51" s="1940" t="s">
        <v>2146</v>
      </c>
      <c r="D51" s="1941">
        <v>208140.68</v>
      </c>
      <c r="E51" s="1540">
        <f t="shared" si="2"/>
        <v>25000</v>
      </c>
      <c r="F51" s="1934">
        <f t="shared" si="1"/>
        <v>25000</v>
      </c>
      <c r="G51" s="1793">
        <f t="shared" si="3"/>
        <v>183140.68</v>
      </c>
    </row>
    <row r="52" spans="1:7" x14ac:dyDescent="0.25">
      <c r="A52" s="1938" t="s">
        <v>2147</v>
      </c>
      <c r="B52" s="1943" t="s">
        <v>2087</v>
      </c>
      <c r="C52" s="1940" t="s">
        <v>2148</v>
      </c>
      <c r="D52" s="1941">
        <v>5049</v>
      </c>
      <c r="E52" s="1540">
        <f t="shared" si="2"/>
        <v>5049</v>
      </c>
      <c r="F52" s="1934">
        <f t="shared" si="1"/>
        <v>5049</v>
      </c>
      <c r="G52" s="1793">
        <f t="shared" si="3"/>
        <v>0</v>
      </c>
    </row>
    <row r="53" spans="1:7" x14ac:dyDescent="0.25">
      <c r="A53" s="1938" t="s">
        <v>2149</v>
      </c>
      <c r="B53" s="1943" t="s">
        <v>2150</v>
      </c>
      <c r="C53" s="1940" t="s">
        <v>2151</v>
      </c>
      <c r="D53" s="1941">
        <v>223622.95</v>
      </c>
      <c r="E53" s="1540">
        <f t="shared" si="2"/>
        <v>25000</v>
      </c>
      <c r="F53" s="1934">
        <f t="shared" si="1"/>
        <v>25000</v>
      </c>
      <c r="G53" s="1793">
        <f t="shared" si="3"/>
        <v>198622.95</v>
      </c>
    </row>
    <row r="54" spans="1:7" x14ac:dyDescent="0.25">
      <c r="A54" s="1938" t="s">
        <v>2149</v>
      </c>
      <c r="B54" s="1943" t="s">
        <v>2150</v>
      </c>
      <c r="C54" s="1940" t="s">
        <v>2152</v>
      </c>
      <c r="D54" s="1941">
        <v>42000</v>
      </c>
      <c r="E54" s="1540">
        <f t="shared" si="2"/>
        <v>25000</v>
      </c>
      <c r="F54" s="1934">
        <f t="shared" si="1"/>
        <v>25000</v>
      </c>
      <c r="G54" s="1793">
        <f t="shared" si="3"/>
        <v>17000</v>
      </c>
    </row>
    <row r="55" spans="1:7" x14ac:dyDescent="0.25">
      <c r="A55" s="1938" t="s">
        <v>2149</v>
      </c>
      <c r="B55" s="1943" t="s">
        <v>2150</v>
      </c>
      <c r="C55" s="1940" t="s">
        <v>2153</v>
      </c>
      <c r="D55" s="1941">
        <v>46512</v>
      </c>
      <c r="E55" s="1540">
        <f t="shared" si="2"/>
        <v>25000</v>
      </c>
      <c r="F55" s="1934">
        <f t="shared" si="1"/>
        <v>25000</v>
      </c>
      <c r="G55" s="1793">
        <f t="shared" si="3"/>
        <v>21512</v>
      </c>
    </row>
    <row r="56" spans="1:7" x14ac:dyDescent="0.25">
      <c r="A56" s="1938" t="s">
        <v>2147</v>
      </c>
      <c r="B56" s="1943" t="s">
        <v>2087</v>
      </c>
      <c r="C56" s="1940" t="s">
        <v>2154</v>
      </c>
      <c r="D56" s="1941">
        <v>247621</v>
      </c>
      <c r="E56" s="1540">
        <f t="shared" si="2"/>
        <v>25000</v>
      </c>
      <c r="F56" s="1934">
        <f t="shared" si="1"/>
        <v>25000</v>
      </c>
      <c r="G56" s="1793">
        <f t="shared" si="3"/>
        <v>222621</v>
      </c>
    </row>
    <row r="57" spans="1:7" x14ac:dyDescent="0.25">
      <c r="A57" s="1938" t="s">
        <v>2147</v>
      </c>
      <c r="B57" s="1943" t="s">
        <v>2087</v>
      </c>
      <c r="C57" s="1940" t="s">
        <v>2155</v>
      </c>
      <c r="D57" s="1941">
        <v>8426.27</v>
      </c>
      <c r="E57" s="1540">
        <f t="shared" si="2"/>
        <v>8426.27</v>
      </c>
      <c r="F57" s="1934">
        <f t="shared" si="1"/>
        <v>8426.27</v>
      </c>
      <c r="G57" s="1793">
        <f t="shared" si="3"/>
        <v>0</v>
      </c>
    </row>
    <row r="58" spans="1:7" x14ac:dyDescent="0.25">
      <c r="A58" s="1938" t="s">
        <v>2147</v>
      </c>
      <c r="B58" s="1943" t="s">
        <v>2087</v>
      </c>
      <c r="C58" s="1940" t="s">
        <v>2156</v>
      </c>
      <c r="D58" s="1941">
        <v>11520</v>
      </c>
      <c r="E58" s="1540">
        <f t="shared" si="2"/>
        <v>11520</v>
      </c>
      <c r="F58" s="1934">
        <f t="shared" si="1"/>
        <v>11520</v>
      </c>
      <c r="G58" s="1793">
        <f t="shared" si="3"/>
        <v>0</v>
      </c>
    </row>
    <row r="59" spans="1:7" x14ac:dyDescent="0.25">
      <c r="A59" s="1938" t="s">
        <v>2147</v>
      </c>
      <c r="B59" s="1943" t="s">
        <v>2087</v>
      </c>
      <c r="C59" s="1940" t="s">
        <v>2157</v>
      </c>
      <c r="D59" s="1941">
        <v>35296.76</v>
      </c>
      <c r="E59" s="1540">
        <f t="shared" si="2"/>
        <v>25000</v>
      </c>
      <c r="F59" s="1934">
        <f t="shared" si="1"/>
        <v>25000</v>
      </c>
      <c r="G59" s="1793">
        <f t="shared" si="3"/>
        <v>10296.760000000002</v>
      </c>
    </row>
    <row r="60" spans="1:7" x14ac:dyDescent="0.25">
      <c r="A60" s="1938" t="s">
        <v>2158</v>
      </c>
      <c r="B60" s="1943" t="s">
        <v>2087</v>
      </c>
      <c r="C60" s="1940" t="s">
        <v>2159</v>
      </c>
      <c r="D60" s="1941">
        <v>3799.54</v>
      </c>
      <c r="E60" s="1540">
        <f t="shared" si="2"/>
        <v>3799.54</v>
      </c>
      <c r="F60" s="1934">
        <f t="shared" si="1"/>
        <v>3799.54</v>
      </c>
      <c r="G60" s="1793">
        <f t="shared" si="3"/>
        <v>0</v>
      </c>
    </row>
    <row r="61" spans="1:7" x14ac:dyDescent="0.25">
      <c r="A61" s="1938" t="s">
        <v>2160</v>
      </c>
      <c r="B61" s="1943" t="s">
        <v>2112</v>
      </c>
      <c r="C61" s="1940" t="s">
        <v>2161</v>
      </c>
      <c r="D61" s="1941">
        <v>2194.5</v>
      </c>
      <c r="E61" s="1540">
        <f t="shared" si="2"/>
        <v>2194.5</v>
      </c>
      <c r="F61" s="1934">
        <f t="shared" si="1"/>
        <v>2194.5</v>
      </c>
      <c r="G61" s="1793">
        <f t="shared" si="3"/>
        <v>0</v>
      </c>
    </row>
    <row r="62" spans="1:7" x14ac:dyDescent="0.25">
      <c r="A62" s="1938" t="s">
        <v>2162</v>
      </c>
      <c r="B62" s="1943" t="s">
        <v>2112</v>
      </c>
      <c r="C62" s="1940" t="s">
        <v>2163</v>
      </c>
      <c r="D62" s="1941">
        <v>38115</v>
      </c>
      <c r="E62" s="1540">
        <f t="shared" si="2"/>
        <v>25000</v>
      </c>
      <c r="F62" s="1934">
        <f t="shared" si="1"/>
        <v>25000</v>
      </c>
      <c r="G62" s="1793">
        <f t="shared" si="3"/>
        <v>13115</v>
      </c>
    </row>
    <row r="63" spans="1:7" x14ac:dyDescent="0.25">
      <c r="A63" s="1653"/>
      <c r="B63" s="1667"/>
      <c r="C63" s="1654"/>
      <c r="D63" s="1844"/>
      <c r="E63" s="1540">
        <f t="shared" si="2"/>
        <v>0</v>
      </c>
      <c r="F63" s="1934">
        <f t="shared" si="1"/>
        <v>0</v>
      </c>
      <c r="G63" s="1793">
        <f t="shared" si="3"/>
        <v>0</v>
      </c>
    </row>
    <row r="64" spans="1:7" x14ac:dyDescent="0.25">
      <c r="A64" s="1653"/>
      <c r="B64" s="1667"/>
      <c r="C64" s="1654"/>
      <c r="D64" s="1844"/>
      <c r="E64" s="1540">
        <f t="shared" si="2"/>
        <v>0</v>
      </c>
      <c r="F64" s="1934">
        <f t="shared" si="1"/>
        <v>0</v>
      </c>
      <c r="G64" s="1793">
        <f t="shared" si="3"/>
        <v>0</v>
      </c>
    </row>
    <row r="65" spans="1:7" x14ac:dyDescent="0.25">
      <c r="A65" s="1655"/>
      <c r="B65" s="1667"/>
      <c r="C65" s="1656"/>
      <c r="D65" s="1844"/>
      <c r="E65" s="1540">
        <f t="shared" si="2"/>
        <v>0</v>
      </c>
      <c r="F65" s="1934">
        <f t="shared" si="1"/>
        <v>0</v>
      </c>
      <c r="G65" s="1793">
        <f t="shared" si="3"/>
        <v>0</v>
      </c>
    </row>
    <row r="66" spans="1:7" x14ac:dyDescent="0.25">
      <c r="A66" s="1653"/>
      <c r="B66" s="1667"/>
      <c r="C66" s="1654"/>
      <c r="D66" s="1844"/>
      <c r="E66" s="1540">
        <f t="shared" si="2"/>
        <v>0</v>
      </c>
      <c r="F66" s="1934">
        <f t="shared" si="1"/>
        <v>0</v>
      </c>
      <c r="G66" s="1793">
        <f t="shared" si="3"/>
        <v>0</v>
      </c>
    </row>
    <row r="67" spans="1:7" x14ac:dyDescent="0.25">
      <c r="A67" s="1653"/>
      <c r="B67" s="1667"/>
      <c r="C67" s="1654"/>
      <c r="D67" s="1844"/>
      <c r="E67" s="1540">
        <f t="shared" si="2"/>
        <v>0</v>
      </c>
      <c r="F67" s="1934">
        <f t="shared" si="1"/>
        <v>0</v>
      </c>
      <c r="G67" s="1793">
        <f t="shared" si="3"/>
        <v>0</v>
      </c>
    </row>
    <row r="68" spans="1:7" x14ac:dyDescent="0.25">
      <c r="A68" s="1653"/>
      <c r="B68" s="1667"/>
      <c r="C68" s="1654"/>
      <c r="D68" s="1844"/>
      <c r="E68" s="1540">
        <f t="shared" si="2"/>
        <v>0</v>
      </c>
      <c r="F68" s="1934">
        <f t="shared" si="1"/>
        <v>0</v>
      </c>
      <c r="G68" s="1793">
        <f t="shared" si="3"/>
        <v>0</v>
      </c>
    </row>
    <row r="69" spans="1:7" x14ac:dyDescent="0.25">
      <c r="A69" s="1653"/>
      <c r="B69" s="1667"/>
      <c r="C69" s="1654"/>
      <c r="D69" s="1844"/>
      <c r="E69" s="1540">
        <f t="shared" si="2"/>
        <v>0</v>
      </c>
      <c r="F69" s="1934">
        <f t="shared" si="1"/>
        <v>0</v>
      </c>
      <c r="G69" s="1793">
        <f t="shared" si="3"/>
        <v>0</v>
      </c>
    </row>
    <row r="70" spans="1:7" x14ac:dyDescent="0.25">
      <c r="A70" s="1653"/>
      <c r="B70" s="1667"/>
      <c r="C70" s="1654"/>
      <c r="D70" s="1844"/>
      <c r="E70" s="1540">
        <f t="shared" si="2"/>
        <v>0</v>
      </c>
      <c r="F70" s="1934">
        <f t="shared" si="1"/>
        <v>0</v>
      </c>
      <c r="G70" s="1793">
        <f t="shared" si="3"/>
        <v>0</v>
      </c>
    </row>
    <row r="71" spans="1:7" x14ac:dyDescent="0.25">
      <c r="A71" s="1653"/>
      <c r="B71" s="1667"/>
      <c r="C71" s="1654"/>
      <c r="D71" s="1844"/>
      <c r="E71" s="1540">
        <f t="shared" si="2"/>
        <v>0</v>
      </c>
      <c r="F71" s="1934">
        <f t="shared" si="1"/>
        <v>0</v>
      </c>
      <c r="G71" s="1793">
        <f t="shared" si="3"/>
        <v>0</v>
      </c>
    </row>
    <row r="72" spans="1:7" x14ac:dyDescent="0.25">
      <c r="A72" s="1653"/>
      <c r="B72" s="1667"/>
      <c r="C72" s="1654"/>
      <c r="D72" s="1844"/>
      <c r="E72" s="1540">
        <f t="shared" si="2"/>
        <v>0</v>
      </c>
      <c r="F72" s="1934">
        <f t="shared" si="1"/>
        <v>0</v>
      </c>
      <c r="G72" s="1793">
        <f t="shared" si="3"/>
        <v>0</v>
      </c>
    </row>
    <row r="73" spans="1:7" x14ac:dyDescent="0.25">
      <c r="A73" s="1653"/>
      <c r="B73" s="1667"/>
      <c r="C73" s="1654"/>
      <c r="D73" s="1844"/>
      <c r="E73" s="1540">
        <f t="shared" si="2"/>
        <v>0</v>
      </c>
      <c r="F73" s="1934">
        <f t="shared" si="1"/>
        <v>0</v>
      </c>
      <c r="G73" s="1793">
        <f t="shared" si="3"/>
        <v>0</v>
      </c>
    </row>
    <row r="74" spans="1:7" x14ac:dyDescent="0.25">
      <c r="A74" s="1653"/>
      <c r="B74" s="1667"/>
      <c r="C74" s="1654"/>
      <c r="D74" s="1844"/>
      <c r="E74" s="1540">
        <f t="shared" ref="E74:E85" si="4">IF(D74&lt;=25000,D74,IF(D74&gt;25000,25000,0))</f>
        <v>0</v>
      </c>
      <c r="F74" s="1934">
        <f t="shared" si="1"/>
        <v>0</v>
      </c>
      <c r="G74" s="1793">
        <f t="shared" ref="G74:G85" si="5">IF(F74=0,0,D74-F74)</f>
        <v>0</v>
      </c>
    </row>
    <row r="75" spans="1:7" x14ac:dyDescent="0.25">
      <c r="A75" s="1653"/>
      <c r="B75" s="1667"/>
      <c r="C75" s="1654"/>
      <c r="D75" s="1844"/>
      <c r="E75" s="1540">
        <f t="shared" si="4"/>
        <v>0</v>
      </c>
      <c r="F75" s="1934">
        <f t="shared" si="1"/>
        <v>0</v>
      </c>
      <c r="G75" s="1793">
        <f t="shared" si="5"/>
        <v>0</v>
      </c>
    </row>
    <row r="76" spans="1:7" x14ac:dyDescent="0.25">
      <c r="A76" s="1653"/>
      <c r="B76" s="1667"/>
      <c r="C76" s="1654"/>
      <c r="D76" s="1844"/>
      <c r="E76" s="1540">
        <f t="shared" si="4"/>
        <v>0</v>
      </c>
      <c r="F76" s="1934">
        <f t="shared" si="1"/>
        <v>0</v>
      </c>
      <c r="G76" s="1793">
        <f t="shared" si="5"/>
        <v>0</v>
      </c>
    </row>
    <row r="77" spans="1:7" x14ac:dyDescent="0.25">
      <c r="A77" s="1653"/>
      <c r="B77" s="1667"/>
      <c r="C77" s="1654"/>
      <c r="D77" s="1844"/>
      <c r="E77" s="1540">
        <f t="shared" si="4"/>
        <v>0</v>
      </c>
      <c r="F77" s="1934">
        <f t="shared" si="1"/>
        <v>0</v>
      </c>
      <c r="G77" s="1793">
        <f t="shared" si="5"/>
        <v>0</v>
      </c>
    </row>
    <row r="78" spans="1:7" x14ac:dyDescent="0.25">
      <c r="A78" s="1653"/>
      <c r="B78" s="1667"/>
      <c r="C78" s="1654"/>
      <c r="D78" s="1844"/>
      <c r="E78" s="1540">
        <f t="shared" si="4"/>
        <v>0</v>
      </c>
      <c r="F78" s="1934">
        <f t="shared" si="1"/>
        <v>0</v>
      </c>
      <c r="G78" s="1793">
        <f t="shared" si="5"/>
        <v>0</v>
      </c>
    </row>
    <row r="79" spans="1:7" x14ac:dyDescent="0.25">
      <c r="A79" s="1653"/>
      <c r="B79" s="1667"/>
      <c r="C79" s="1654"/>
      <c r="D79" s="1844"/>
      <c r="E79" s="1540">
        <f t="shared" si="4"/>
        <v>0</v>
      </c>
      <c r="F79" s="1934">
        <f t="shared" si="1"/>
        <v>0</v>
      </c>
      <c r="G79" s="1793">
        <f t="shared" si="5"/>
        <v>0</v>
      </c>
    </row>
    <row r="80" spans="1:7" x14ac:dyDescent="0.25">
      <c r="A80" s="1653"/>
      <c r="B80" s="1667"/>
      <c r="C80" s="1654"/>
      <c r="D80" s="1844"/>
      <c r="E80" s="1540">
        <f t="shared" si="4"/>
        <v>0</v>
      </c>
      <c r="F80" s="1934">
        <f t="shared" si="1"/>
        <v>0</v>
      </c>
      <c r="G80" s="1793">
        <f t="shared" si="5"/>
        <v>0</v>
      </c>
    </row>
    <row r="81" spans="1:7" x14ac:dyDescent="0.25">
      <c r="A81" s="1653"/>
      <c r="B81" s="1667"/>
      <c r="C81" s="1654"/>
      <c r="D81" s="1844"/>
      <c r="E81" s="1540">
        <f t="shared" si="4"/>
        <v>0</v>
      </c>
      <c r="F81" s="1934">
        <f t="shared" si="1"/>
        <v>0</v>
      </c>
      <c r="G81" s="1793">
        <f t="shared" si="5"/>
        <v>0</v>
      </c>
    </row>
    <row r="82" spans="1:7" x14ac:dyDescent="0.25">
      <c r="A82" s="1653"/>
      <c r="B82" s="1667"/>
      <c r="C82" s="1654"/>
      <c r="D82" s="1844"/>
      <c r="E82" s="1540">
        <f t="shared" si="4"/>
        <v>0</v>
      </c>
      <c r="F82" s="1934">
        <f t="shared" ref="F82:F141" si="6">(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93">
        <f t="shared" si="5"/>
        <v>0</v>
      </c>
    </row>
    <row r="83" spans="1:7" x14ac:dyDescent="0.25">
      <c r="A83" s="1653"/>
      <c r="B83" s="1667"/>
      <c r="C83" s="1654"/>
      <c r="D83" s="1844"/>
      <c r="E83" s="1540">
        <f t="shared" si="4"/>
        <v>0</v>
      </c>
      <c r="F83" s="1934">
        <f t="shared" si="6"/>
        <v>0</v>
      </c>
      <c r="G83" s="1793">
        <f t="shared" si="5"/>
        <v>0</v>
      </c>
    </row>
    <row r="84" spans="1:7" x14ac:dyDescent="0.25">
      <c r="A84" s="1653"/>
      <c r="B84" s="1667"/>
      <c r="C84" s="1654"/>
      <c r="D84" s="1844"/>
      <c r="E84" s="1540">
        <f t="shared" si="4"/>
        <v>0</v>
      </c>
      <c r="F84" s="1934">
        <f t="shared" si="6"/>
        <v>0</v>
      </c>
      <c r="G84" s="1793">
        <f t="shared" si="5"/>
        <v>0</v>
      </c>
    </row>
    <row r="85" spans="1:7" x14ac:dyDescent="0.25">
      <c r="A85" s="1653"/>
      <c r="B85" s="1667"/>
      <c r="C85" s="1654"/>
      <c r="D85" s="1844"/>
      <c r="E85" s="1540">
        <f t="shared" si="4"/>
        <v>0</v>
      </c>
      <c r="F85" s="1934">
        <f t="shared" si="6"/>
        <v>0</v>
      </c>
      <c r="G85" s="1793">
        <f t="shared" si="5"/>
        <v>0</v>
      </c>
    </row>
    <row r="86" spans="1:7" x14ac:dyDescent="0.25">
      <c r="A86" s="1653"/>
      <c r="B86" s="1667"/>
      <c r="C86" s="1654"/>
      <c r="D86" s="1844"/>
      <c r="E86" s="1540">
        <f t="shared" si="2"/>
        <v>0</v>
      </c>
      <c r="F86" s="1934">
        <f t="shared" si="6"/>
        <v>0</v>
      </c>
      <c r="G86" s="1793">
        <f t="shared" si="3"/>
        <v>0</v>
      </c>
    </row>
    <row r="87" spans="1:7" x14ac:dyDescent="0.25">
      <c r="A87" s="1653"/>
      <c r="B87" s="1667"/>
      <c r="C87" s="1654"/>
      <c r="D87" s="1844"/>
      <c r="E87" s="1540">
        <f t="shared" si="2"/>
        <v>0</v>
      </c>
      <c r="F87" s="1934">
        <f t="shared" si="6"/>
        <v>0</v>
      </c>
      <c r="G87" s="1793">
        <f t="shared" si="3"/>
        <v>0</v>
      </c>
    </row>
    <row r="88" spans="1:7" x14ac:dyDescent="0.25">
      <c r="A88" s="1653"/>
      <c r="B88" s="1667"/>
      <c r="C88" s="1654"/>
      <c r="D88" s="1844"/>
      <c r="E88" s="1540">
        <f t="shared" si="2"/>
        <v>0</v>
      </c>
      <c r="F88" s="1934">
        <f t="shared" si="6"/>
        <v>0</v>
      </c>
      <c r="G88" s="1793">
        <f t="shared" si="3"/>
        <v>0</v>
      </c>
    </row>
    <row r="89" spans="1:7" x14ac:dyDescent="0.25">
      <c r="A89" s="1653"/>
      <c r="B89" s="1667"/>
      <c r="C89" s="1654"/>
      <c r="D89" s="1844"/>
      <c r="E89" s="1540">
        <f t="shared" si="2"/>
        <v>0</v>
      </c>
      <c r="F89" s="1934">
        <f t="shared" si="6"/>
        <v>0</v>
      </c>
      <c r="G89" s="1793">
        <f t="shared" si="3"/>
        <v>0</v>
      </c>
    </row>
    <row r="90" spans="1:7" x14ac:dyDescent="0.25">
      <c r="A90" s="1653"/>
      <c r="B90" s="1667"/>
      <c r="C90" s="1654"/>
      <c r="D90" s="1844"/>
      <c r="E90" s="1540">
        <f t="shared" si="2"/>
        <v>0</v>
      </c>
      <c r="F90" s="1934">
        <f t="shared" si="6"/>
        <v>0</v>
      </c>
      <c r="G90" s="1793">
        <f t="shared" si="3"/>
        <v>0</v>
      </c>
    </row>
    <row r="91" spans="1:7" x14ac:dyDescent="0.25">
      <c r="A91" s="1653"/>
      <c r="B91" s="1667"/>
      <c r="C91" s="1654"/>
      <c r="D91" s="1844"/>
      <c r="E91" s="1540">
        <f t="shared" si="2"/>
        <v>0</v>
      </c>
      <c r="F91" s="1934">
        <f t="shared" si="6"/>
        <v>0</v>
      </c>
      <c r="G91" s="1793">
        <f t="shared" si="3"/>
        <v>0</v>
      </c>
    </row>
    <row r="92" spans="1:7" x14ac:dyDescent="0.25">
      <c r="A92" s="1653"/>
      <c r="B92" s="1667"/>
      <c r="C92" s="1654"/>
      <c r="D92" s="1844"/>
      <c r="E92" s="1540">
        <f t="shared" si="2"/>
        <v>0</v>
      </c>
      <c r="F92" s="1934">
        <f t="shared" si="6"/>
        <v>0</v>
      </c>
      <c r="G92" s="1793">
        <f t="shared" si="3"/>
        <v>0</v>
      </c>
    </row>
    <row r="93" spans="1:7" x14ac:dyDescent="0.25">
      <c r="A93" s="1653"/>
      <c r="B93" s="1667"/>
      <c r="C93" s="1654"/>
      <c r="D93" s="1844"/>
      <c r="E93" s="1540">
        <f t="shared" si="2"/>
        <v>0</v>
      </c>
      <c r="F93" s="1934">
        <f t="shared" si="6"/>
        <v>0</v>
      </c>
      <c r="G93" s="1793">
        <f t="shared" si="3"/>
        <v>0</v>
      </c>
    </row>
    <row r="94" spans="1:7" x14ac:dyDescent="0.25">
      <c r="A94" s="1653"/>
      <c r="B94" s="1667"/>
      <c r="C94" s="1654"/>
      <c r="D94" s="1844"/>
      <c r="E94" s="1540">
        <f t="shared" ref="E94" si="7">IF(D94&lt;=25000,D94,IF(D94&gt;25000,25000,0))</f>
        <v>0</v>
      </c>
      <c r="F94" s="1934">
        <f t="shared" si="6"/>
        <v>0</v>
      </c>
      <c r="G94" s="1793">
        <f t="shared" ref="G94" si="8">IF(F94=0,0,D94-F94)</f>
        <v>0</v>
      </c>
    </row>
    <row r="95" spans="1:7" x14ac:dyDescent="0.25">
      <c r="A95" s="1653"/>
      <c r="B95" s="1667"/>
      <c r="C95" s="1654"/>
      <c r="D95" s="1844"/>
      <c r="E95" s="1540">
        <f t="shared" si="2"/>
        <v>0</v>
      </c>
      <c r="F95" s="1934">
        <f t="shared" si="6"/>
        <v>0</v>
      </c>
      <c r="G95" s="1793">
        <f t="shared" si="3"/>
        <v>0</v>
      </c>
    </row>
    <row r="96" spans="1:7" x14ac:dyDescent="0.25">
      <c r="A96" s="1653"/>
      <c r="B96" s="1667"/>
      <c r="C96" s="1654"/>
      <c r="D96" s="1844"/>
      <c r="E96" s="1540">
        <f t="shared" ref="E96:E99" si="9">IF(D96&lt;=25000,D96,IF(D96&gt;25000,25000,0))</f>
        <v>0</v>
      </c>
      <c r="F96" s="1934">
        <f t="shared" si="6"/>
        <v>0</v>
      </c>
      <c r="G96" s="1793">
        <f t="shared" ref="G96:G99" si="10">IF(F96=0,0,D96-F96)</f>
        <v>0</v>
      </c>
    </row>
    <row r="97" spans="1:7" x14ac:dyDescent="0.25">
      <c r="A97" s="1653"/>
      <c r="B97" s="1667"/>
      <c r="C97" s="1654"/>
      <c r="D97" s="1844"/>
      <c r="E97" s="1540">
        <f t="shared" si="9"/>
        <v>0</v>
      </c>
      <c r="F97" s="1934">
        <f t="shared" si="6"/>
        <v>0</v>
      </c>
      <c r="G97" s="1793">
        <f t="shared" si="10"/>
        <v>0</v>
      </c>
    </row>
    <row r="98" spans="1:7" x14ac:dyDescent="0.25">
      <c r="A98" s="1653"/>
      <c r="B98" s="1667"/>
      <c r="C98" s="1654"/>
      <c r="D98" s="1844"/>
      <c r="E98" s="1540">
        <f t="shared" si="9"/>
        <v>0</v>
      </c>
      <c r="F98" s="1934">
        <f t="shared" si="6"/>
        <v>0</v>
      </c>
      <c r="G98" s="1793">
        <f t="shared" si="10"/>
        <v>0</v>
      </c>
    </row>
    <row r="99" spans="1:7" x14ac:dyDescent="0.25">
      <c r="A99" s="1653"/>
      <c r="B99" s="1667"/>
      <c r="C99" s="1654"/>
      <c r="D99" s="1844"/>
      <c r="E99" s="1540">
        <f t="shared" si="9"/>
        <v>0</v>
      </c>
      <c r="F99" s="1934">
        <f t="shared" si="6"/>
        <v>0</v>
      </c>
      <c r="G99" s="1793">
        <f t="shared" si="10"/>
        <v>0</v>
      </c>
    </row>
    <row r="100" spans="1:7" x14ac:dyDescent="0.25">
      <c r="A100" s="1653"/>
      <c r="B100" s="1667"/>
      <c r="C100" s="1654"/>
      <c r="D100" s="1844"/>
      <c r="E100" s="1540">
        <f t="shared" ref="E100" si="11">IF(D100&lt;=25000,D100,IF(D100&gt;25000,25000,0))</f>
        <v>0</v>
      </c>
      <c r="F100" s="1934">
        <f t="shared" si="6"/>
        <v>0</v>
      </c>
      <c r="G100" s="1793">
        <f t="shared" ref="G100" si="12">IF(F100=0,0,D100-F100)</f>
        <v>0</v>
      </c>
    </row>
    <row r="101" spans="1:7" x14ac:dyDescent="0.25">
      <c r="A101" s="1653"/>
      <c r="B101" s="1667"/>
      <c r="C101" s="1654"/>
      <c r="D101" s="1844"/>
      <c r="E101" s="1540">
        <f t="shared" ref="E101:E113" si="13">IF(D101&lt;=25000,D101,IF(D101&gt;25000,25000,0))</f>
        <v>0</v>
      </c>
      <c r="F101" s="1934">
        <f t="shared" si="6"/>
        <v>0</v>
      </c>
      <c r="G101" s="1793">
        <f t="shared" ref="G101:G113" si="14">IF(F101=0,0,D101-F101)</f>
        <v>0</v>
      </c>
    </row>
    <row r="102" spans="1:7" x14ac:dyDescent="0.25">
      <c r="A102" s="1653"/>
      <c r="B102" s="1667"/>
      <c r="C102" s="1654"/>
      <c r="D102" s="1844"/>
      <c r="E102" s="1540">
        <f t="shared" si="13"/>
        <v>0</v>
      </c>
      <c r="F102" s="1934">
        <f t="shared" si="6"/>
        <v>0</v>
      </c>
      <c r="G102" s="1793">
        <f t="shared" si="14"/>
        <v>0</v>
      </c>
    </row>
    <row r="103" spans="1:7" x14ac:dyDescent="0.25">
      <c r="A103" s="1653"/>
      <c r="B103" s="1667"/>
      <c r="C103" s="1654"/>
      <c r="D103" s="1844"/>
      <c r="E103" s="1540">
        <f t="shared" si="13"/>
        <v>0</v>
      </c>
      <c r="F103" s="1934">
        <f t="shared" si="6"/>
        <v>0</v>
      </c>
      <c r="G103" s="1793">
        <f t="shared" si="14"/>
        <v>0</v>
      </c>
    </row>
    <row r="104" spans="1:7" x14ac:dyDescent="0.25">
      <c r="A104" s="1653"/>
      <c r="B104" s="1667"/>
      <c r="C104" s="1654"/>
      <c r="D104" s="1844"/>
      <c r="E104" s="1540">
        <f t="shared" si="13"/>
        <v>0</v>
      </c>
      <c r="F104" s="1934">
        <f t="shared" si="6"/>
        <v>0</v>
      </c>
      <c r="G104" s="1793">
        <f t="shared" si="14"/>
        <v>0</v>
      </c>
    </row>
    <row r="105" spans="1:7" x14ac:dyDescent="0.25">
      <c r="A105" s="1653"/>
      <c r="B105" s="1667"/>
      <c r="C105" s="1654"/>
      <c r="D105" s="1844"/>
      <c r="E105" s="1540">
        <f t="shared" si="13"/>
        <v>0</v>
      </c>
      <c r="F105" s="1934">
        <f t="shared" si="6"/>
        <v>0</v>
      </c>
      <c r="G105" s="1793">
        <f t="shared" si="14"/>
        <v>0</v>
      </c>
    </row>
    <row r="106" spans="1:7" x14ac:dyDescent="0.25">
      <c r="A106" s="1653"/>
      <c r="B106" s="1667"/>
      <c r="C106" s="1654"/>
      <c r="D106" s="1844"/>
      <c r="E106" s="1540">
        <f t="shared" si="13"/>
        <v>0</v>
      </c>
      <c r="F106" s="1934">
        <f t="shared" si="6"/>
        <v>0</v>
      </c>
      <c r="G106" s="1793">
        <f t="shared" si="14"/>
        <v>0</v>
      </c>
    </row>
    <row r="107" spans="1:7" x14ac:dyDescent="0.25">
      <c r="A107" s="1653"/>
      <c r="B107" s="1667"/>
      <c r="C107" s="1654"/>
      <c r="D107" s="1844"/>
      <c r="E107" s="1540">
        <f t="shared" si="13"/>
        <v>0</v>
      </c>
      <c r="F107" s="1934">
        <f t="shared" si="6"/>
        <v>0</v>
      </c>
      <c r="G107" s="1793">
        <f t="shared" si="14"/>
        <v>0</v>
      </c>
    </row>
    <row r="108" spans="1:7" x14ac:dyDescent="0.25">
      <c r="A108" s="1653"/>
      <c r="B108" s="1667"/>
      <c r="C108" s="1654"/>
      <c r="D108" s="1844"/>
      <c r="E108" s="1540">
        <f t="shared" si="13"/>
        <v>0</v>
      </c>
      <c r="F108" s="1934">
        <f t="shared" si="6"/>
        <v>0</v>
      </c>
      <c r="G108" s="1793">
        <f t="shared" si="14"/>
        <v>0</v>
      </c>
    </row>
    <row r="109" spans="1:7" x14ac:dyDescent="0.25">
      <c r="A109" s="1653"/>
      <c r="B109" s="1667"/>
      <c r="C109" s="1654"/>
      <c r="D109" s="1844"/>
      <c r="E109" s="1540">
        <f t="shared" si="13"/>
        <v>0</v>
      </c>
      <c r="F109" s="1934">
        <f t="shared" si="6"/>
        <v>0</v>
      </c>
      <c r="G109" s="1793">
        <f t="shared" si="14"/>
        <v>0</v>
      </c>
    </row>
    <row r="110" spans="1:7" x14ac:dyDescent="0.25">
      <c r="A110" s="1653"/>
      <c r="B110" s="1667"/>
      <c r="C110" s="1654"/>
      <c r="D110" s="1844"/>
      <c r="E110" s="1540">
        <f t="shared" si="13"/>
        <v>0</v>
      </c>
      <c r="F110" s="1934">
        <f t="shared" si="6"/>
        <v>0</v>
      </c>
      <c r="G110" s="1793">
        <f t="shared" si="14"/>
        <v>0</v>
      </c>
    </row>
    <row r="111" spans="1:7" x14ac:dyDescent="0.25">
      <c r="A111" s="1653"/>
      <c r="B111" s="1667"/>
      <c r="C111" s="1654"/>
      <c r="D111" s="1844"/>
      <c r="E111" s="1540">
        <f t="shared" si="13"/>
        <v>0</v>
      </c>
      <c r="F111" s="1934">
        <f t="shared" si="6"/>
        <v>0</v>
      </c>
      <c r="G111" s="1793">
        <f t="shared" si="14"/>
        <v>0</v>
      </c>
    </row>
    <row r="112" spans="1:7" x14ac:dyDescent="0.25">
      <c r="A112" s="1653"/>
      <c r="B112" s="1667"/>
      <c r="C112" s="1654"/>
      <c r="D112" s="1844"/>
      <c r="E112" s="1540">
        <f t="shared" si="13"/>
        <v>0</v>
      </c>
      <c r="F112" s="1934">
        <f t="shared" si="6"/>
        <v>0</v>
      </c>
      <c r="G112" s="1793">
        <f t="shared" si="14"/>
        <v>0</v>
      </c>
    </row>
    <row r="113" spans="1:7" x14ac:dyDescent="0.25">
      <c r="A113" s="1653"/>
      <c r="B113" s="1667"/>
      <c r="C113" s="1654"/>
      <c r="D113" s="1844"/>
      <c r="E113" s="1540">
        <f t="shared" si="13"/>
        <v>0</v>
      </c>
      <c r="F113" s="1934">
        <f t="shared" si="6"/>
        <v>0</v>
      </c>
      <c r="G113" s="1793">
        <f t="shared" si="14"/>
        <v>0</v>
      </c>
    </row>
    <row r="114" spans="1:7" x14ac:dyDescent="0.25">
      <c r="A114" s="1653"/>
      <c r="B114" s="1667"/>
      <c r="C114" s="1654"/>
      <c r="D114" s="1844"/>
      <c r="E114" s="1540">
        <f t="shared" ref="E114:E126" si="15">IF(D114&lt;=25000,D114,IF(D114&gt;25000,25000,0))</f>
        <v>0</v>
      </c>
      <c r="F114" s="1934">
        <f t="shared" si="6"/>
        <v>0</v>
      </c>
      <c r="G114" s="1793">
        <f t="shared" ref="G114:G126" si="16">IF(F114=0,0,D114-F114)</f>
        <v>0</v>
      </c>
    </row>
    <row r="115" spans="1:7" x14ac:dyDescent="0.25">
      <c r="A115" s="1653"/>
      <c r="B115" s="1667"/>
      <c r="C115" s="1654"/>
      <c r="D115" s="1844"/>
      <c r="E115" s="1540">
        <f t="shared" si="15"/>
        <v>0</v>
      </c>
      <c r="F115" s="1934">
        <f t="shared" si="6"/>
        <v>0</v>
      </c>
      <c r="G115" s="1793">
        <f t="shared" si="16"/>
        <v>0</v>
      </c>
    </row>
    <row r="116" spans="1:7" x14ac:dyDescent="0.25">
      <c r="A116" s="1653"/>
      <c r="B116" s="1667"/>
      <c r="C116" s="1654"/>
      <c r="D116" s="1844"/>
      <c r="E116" s="1540">
        <f t="shared" si="15"/>
        <v>0</v>
      </c>
      <c r="F116" s="1934">
        <f t="shared" si="6"/>
        <v>0</v>
      </c>
      <c r="G116" s="1793">
        <f t="shared" si="16"/>
        <v>0</v>
      </c>
    </row>
    <row r="117" spans="1:7" x14ac:dyDescent="0.25">
      <c r="A117" s="1653"/>
      <c r="B117" s="1667"/>
      <c r="C117" s="1654"/>
      <c r="D117" s="1844"/>
      <c r="E117" s="1540">
        <f t="shared" si="15"/>
        <v>0</v>
      </c>
      <c r="F117" s="1934">
        <f t="shared" si="6"/>
        <v>0</v>
      </c>
      <c r="G117" s="1793">
        <f t="shared" si="16"/>
        <v>0</v>
      </c>
    </row>
    <row r="118" spans="1:7" x14ac:dyDescent="0.25">
      <c r="A118" s="1653"/>
      <c r="B118" s="1667"/>
      <c r="C118" s="1654"/>
      <c r="D118" s="1844"/>
      <c r="E118" s="1540">
        <f t="shared" si="15"/>
        <v>0</v>
      </c>
      <c r="F118" s="1934">
        <f t="shared" si="6"/>
        <v>0</v>
      </c>
      <c r="G118" s="1793">
        <f t="shared" si="16"/>
        <v>0</v>
      </c>
    </row>
    <row r="119" spans="1:7" x14ac:dyDescent="0.25">
      <c r="A119" s="1653"/>
      <c r="B119" s="1667"/>
      <c r="C119" s="1654"/>
      <c r="D119" s="1844"/>
      <c r="E119" s="1540">
        <f t="shared" si="15"/>
        <v>0</v>
      </c>
      <c r="F119" s="1934">
        <f t="shared" si="6"/>
        <v>0</v>
      </c>
      <c r="G119" s="1793">
        <f t="shared" si="16"/>
        <v>0</v>
      </c>
    </row>
    <row r="120" spans="1:7" x14ac:dyDescent="0.25">
      <c r="A120" s="1653"/>
      <c r="B120" s="1667"/>
      <c r="C120" s="1654"/>
      <c r="D120" s="1844"/>
      <c r="E120" s="1540">
        <f t="shared" si="15"/>
        <v>0</v>
      </c>
      <c r="F120" s="1934">
        <f t="shared" si="6"/>
        <v>0</v>
      </c>
      <c r="G120" s="1793">
        <f t="shared" si="16"/>
        <v>0</v>
      </c>
    </row>
    <row r="121" spans="1:7" x14ac:dyDescent="0.25">
      <c r="A121" s="1653"/>
      <c r="B121" s="1667"/>
      <c r="C121" s="1654"/>
      <c r="D121" s="1844"/>
      <c r="E121" s="1540">
        <f t="shared" si="15"/>
        <v>0</v>
      </c>
      <c r="F121" s="1934">
        <f t="shared" si="6"/>
        <v>0</v>
      </c>
      <c r="G121" s="1793">
        <f t="shared" si="16"/>
        <v>0</v>
      </c>
    </row>
    <row r="122" spans="1:7" x14ac:dyDescent="0.25">
      <c r="A122" s="1653"/>
      <c r="B122" s="1667"/>
      <c r="C122" s="1654"/>
      <c r="D122" s="1844"/>
      <c r="E122" s="1540">
        <f t="shared" si="15"/>
        <v>0</v>
      </c>
      <c r="F122" s="1934">
        <f t="shared" si="6"/>
        <v>0</v>
      </c>
      <c r="G122" s="1793">
        <f t="shared" si="16"/>
        <v>0</v>
      </c>
    </row>
    <row r="123" spans="1:7" x14ac:dyDescent="0.25">
      <c r="A123" s="1653"/>
      <c r="B123" s="1667"/>
      <c r="C123" s="1654"/>
      <c r="D123" s="1844"/>
      <c r="E123" s="1540">
        <f t="shared" si="15"/>
        <v>0</v>
      </c>
      <c r="F123" s="1934">
        <f t="shared" si="6"/>
        <v>0</v>
      </c>
      <c r="G123" s="1793">
        <f t="shared" si="16"/>
        <v>0</v>
      </c>
    </row>
    <row r="124" spans="1:7" x14ac:dyDescent="0.25">
      <c r="A124" s="1653"/>
      <c r="B124" s="1667"/>
      <c r="C124" s="1654"/>
      <c r="D124" s="1844"/>
      <c r="E124" s="1540">
        <f t="shared" si="15"/>
        <v>0</v>
      </c>
      <c r="F124" s="1934">
        <f t="shared" si="6"/>
        <v>0</v>
      </c>
      <c r="G124" s="1793">
        <f t="shared" si="16"/>
        <v>0</v>
      </c>
    </row>
    <row r="125" spans="1:7" x14ac:dyDescent="0.25">
      <c r="A125" s="1653"/>
      <c r="B125" s="1667"/>
      <c r="C125" s="1654"/>
      <c r="D125" s="1844"/>
      <c r="E125" s="1540">
        <f t="shared" si="15"/>
        <v>0</v>
      </c>
      <c r="F125" s="1934">
        <f t="shared" si="6"/>
        <v>0</v>
      </c>
      <c r="G125" s="1793">
        <f t="shared" si="16"/>
        <v>0</v>
      </c>
    </row>
    <row r="126" spans="1:7" x14ac:dyDescent="0.25">
      <c r="A126" s="1653"/>
      <c r="B126" s="1667"/>
      <c r="C126" s="1654"/>
      <c r="D126" s="1844"/>
      <c r="E126" s="1540">
        <f t="shared" si="15"/>
        <v>0</v>
      </c>
      <c r="F126" s="1934">
        <f t="shared" si="6"/>
        <v>0</v>
      </c>
      <c r="G126" s="1793">
        <f t="shared" si="16"/>
        <v>0</v>
      </c>
    </row>
    <row r="127" spans="1:7" x14ac:dyDescent="0.25">
      <c r="A127" s="1653"/>
      <c r="B127" s="1667"/>
      <c r="C127" s="1654"/>
      <c r="D127" s="1844"/>
      <c r="E127" s="1540">
        <f t="shared" ref="E127:E135" si="17">IF(D127&lt;=25000,D127,IF(D127&gt;25000,25000,0))</f>
        <v>0</v>
      </c>
      <c r="F127" s="1934">
        <f t="shared" si="6"/>
        <v>0</v>
      </c>
      <c r="G127" s="1793">
        <f t="shared" ref="G127:G135" si="18">IF(F127=0,0,D127-F127)</f>
        <v>0</v>
      </c>
    </row>
    <row r="128" spans="1:7" x14ac:dyDescent="0.25">
      <c r="A128" s="1653"/>
      <c r="B128" s="1667"/>
      <c r="C128" s="1654"/>
      <c r="D128" s="1844"/>
      <c r="E128" s="1540">
        <f t="shared" si="17"/>
        <v>0</v>
      </c>
      <c r="F128" s="1934">
        <f t="shared" si="6"/>
        <v>0</v>
      </c>
      <c r="G128" s="1793">
        <f t="shared" si="18"/>
        <v>0</v>
      </c>
    </row>
    <row r="129" spans="1:7" x14ac:dyDescent="0.25">
      <c r="A129" s="1653"/>
      <c r="B129" s="1667"/>
      <c r="C129" s="1654"/>
      <c r="D129" s="1844"/>
      <c r="E129" s="1540">
        <f t="shared" si="17"/>
        <v>0</v>
      </c>
      <c r="F129" s="1934">
        <f t="shared" si="6"/>
        <v>0</v>
      </c>
      <c r="G129" s="1793">
        <f t="shared" si="18"/>
        <v>0</v>
      </c>
    </row>
    <row r="130" spans="1:7" x14ac:dyDescent="0.25">
      <c r="A130" s="1653"/>
      <c r="B130" s="1667"/>
      <c r="C130" s="1654"/>
      <c r="D130" s="1844"/>
      <c r="E130" s="1540">
        <f t="shared" si="17"/>
        <v>0</v>
      </c>
      <c r="F130" s="1934">
        <f t="shared" si="6"/>
        <v>0</v>
      </c>
      <c r="G130" s="1793">
        <f t="shared" si="18"/>
        <v>0</v>
      </c>
    </row>
    <row r="131" spans="1:7" x14ac:dyDescent="0.25">
      <c r="A131" s="1653"/>
      <c r="B131" s="1667"/>
      <c r="C131" s="1654"/>
      <c r="D131" s="1844"/>
      <c r="E131" s="1540">
        <f t="shared" si="17"/>
        <v>0</v>
      </c>
      <c r="F131" s="1934">
        <f t="shared" si="6"/>
        <v>0</v>
      </c>
      <c r="G131" s="1793">
        <f t="shared" si="18"/>
        <v>0</v>
      </c>
    </row>
    <row r="132" spans="1:7" x14ac:dyDescent="0.25">
      <c r="A132" s="1653"/>
      <c r="B132" s="1837"/>
      <c r="C132" s="1654"/>
      <c r="D132" s="1844"/>
      <c r="E132" s="1540">
        <f t="shared" si="17"/>
        <v>0</v>
      </c>
      <c r="F132" s="1934">
        <f t="shared" si="6"/>
        <v>0</v>
      </c>
      <c r="G132" s="1793">
        <f t="shared" si="18"/>
        <v>0</v>
      </c>
    </row>
    <row r="133" spans="1:7" x14ac:dyDescent="0.25">
      <c r="A133" s="1653"/>
      <c r="B133" s="1837"/>
      <c r="C133" s="1654"/>
      <c r="D133" s="1844"/>
      <c r="E133" s="1540">
        <f t="shared" si="17"/>
        <v>0</v>
      </c>
      <c r="F133" s="1934">
        <f t="shared" si="6"/>
        <v>0</v>
      </c>
      <c r="G133" s="1793">
        <f t="shared" si="18"/>
        <v>0</v>
      </c>
    </row>
    <row r="134" spans="1:7" x14ac:dyDescent="0.25">
      <c r="A134" s="1653"/>
      <c r="B134" s="1667"/>
      <c r="C134" s="1654"/>
      <c r="D134" s="1844"/>
      <c r="E134" s="1540">
        <f t="shared" si="17"/>
        <v>0</v>
      </c>
      <c r="F134" s="1934">
        <f t="shared" si="6"/>
        <v>0</v>
      </c>
      <c r="G134" s="1793">
        <f t="shared" si="18"/>
        <v>0</v>
      </c>
    </row>
    <row r="135" spans="1:7" x14ac:dyDescent="0.25">
      <c r="A135" s="1653"/>
      <c r="B135" s="1667"/>
      <c r="C135" s="1654"/>
      <c r="D135" s="1844"/>
      <c r="E135" s="1540">
        <f t="shared" si="17"/>
        <v>0</v>
      </c>
      <c r="F135" s="1934">
        <f t="shared" si="6"/>
        <v>0</v>
      </c>
      <c r="G135" s="1793">
        <f t="shared" si="18"/>
        <v>0</v>
      </c>
    </row>
    <row r="136" spans="1:7" x14ac:dyDescent="0.25">
      <c r="A136" s="1653"/>
      <c r="B136" s="1667"/>
      <c r="C136" s="1654"/>
      <c r="D136" s="1844"/>
      <c r="E136" s="1540">
        <f t="shared" ref="E136:E140" si="19">IF(D136&lt;=25000,D136,IF(D136&gt;25000,25000,0))</f>
        <v>0</v>
      </c>
      <c r="F136" s="1934">
        <f t="shared" si="6"/>
        <v>0</v>
      </c>
      <c r="G136" s="1793">
        <f t="shared" ref="G136:G140" si="20">IF(F136=0,0,D136-F136)</f>
        <v>0</v>
      </c>
    </row>
    <row r="137" spans="1:7" x14ac:dyDescent="0.25">
      <c r="A137" s="1653"/>
      <c r="B137" s="1667"/>
      <c r="C137" s="1654"/>
      <c r="D137" s="1844"/>
      <c r="E137" s="1540">
        <f t="shared" si="19"/>
        <v>0</v>
      </c>
      <c r="F137" s="1934">
        <f t="shared" si="6"/>
        <v>0</v>
      </c>
      <c r="G137" s="1793">
        <f t="shared" si="20"/>
        <v>0</v>
      </c>
    </row>
    <row r="138" spans="1:7" x14ac:dyDescent="0.25">
      <c r="A138" s="1653"/>
      <c r="B138" s="1667"/>
      <c r="C138" s="1654"/>
      <c r="D138" s="1844"/>
      <c r="E138" s="1540">
        <f t="shared" si="19"/>
        <v>0</v>
      </c>
      <c r="F138" s="1934">
        <f t="shared" si="6"/>
        <v>0</v>
      </c>
      <c r="G138" s="1793">
        <f t="shared" si="20"/>
        <v>0</v>
      </c>
    </row>
    <row r="139" spans="1:7" x14ac:dyDescent="0.25">
      <c r="A139" s="1653"/>
      <c r="B139" s="1667"/>
      <c r="C139" s="1654"/>
      <c r="D139" s="1844"/>
      <c r="E139" s="1540">
        <f t="shared" si="19"/>
        <v>0</v>
      </c>
      <c r="F139" s="1934">
        <f t="shared" si="6"/>
        <v>0</v>
      </c>
      <c r="G139" s="1793">
        <f t="shared" si="20"/>
        <v>0</v>
      </c>
    </row>
    <row r="140" spans="1:7" x14ac:dyDescent="0.25">
      <c r="A140" s="1653"/>
      <c r="B140" s="1667"/>
      <c r="C140" s="1654"/>
      <c r="D140" s="1844"/>
      <c r="E140" s="1540">
        <f t="shared" si="19"/>
        <v>0</v>
      </c>
      <c r="F140" s="1934">
        <f t="shared" si="6"/>
        <v>0</v>
      </c>
      <c r="G140" s="1793">
        <f t="shared" si="20"/>
        <v>0</v>
      </c>
    </row>
    <row r="141" spans="1:7" x14ac:dyDescent="0.25">
      <c r="A141" s="1653"/>
      <c r="B141" s="1666"/>
      <c r="C141" s="1654"/>
      <c r="D141" s="1844"/>
      <c r="E141" s="1540">
        <f t="shared" si="2"/>
        <v>0</v>
      </c>
      <c r="F141" s="1934">
        <f t="shared" si="6"/>
        <v>0</v>
      </c>
      <c r="G141" s="1793">
        <f t="shared" si="3"/>
        <v>0</v>
      </c>
    </row>
    <row r="142" spans="1:7" x14ac:dyDescent="0.25">
      <c r="A142" s="1796" t="s">
        <v>156</v>
      </c>
      <c r="B142" s="1797"/>
      <c r="C142" s="1798"/>
      <c r="D142" s="1794">
        <f>SUM(D18:D141)</f>
        <v>4469377.88</v>
      </c>
      <c r="E142" s="1541">
        <f t="shared" si="0"/>
        <v>25000</v>
      </c>
      <c r="F142" s="1932">
        <f>SUM(F18:F141)</f>
        <v>657125.77</v>
      </c>
      <c r="G142" s="1795">
        <f>SUM(G18:G141)</f>
        <v>3812252.11</v>
      </c>
    </row>
  </sheetData>
  <sheetProtection sheet="1"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4"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91" t="s">
        <v>1679</v>
      </c>
      <c r="B5" s="2292"/>
      <c r="C5" s="2292"/>
      <c r="D5" s="2292"/>
      <c r="E5" s="2292"/>
      <c r="F5" s="2292"/>
      <c r="G5" s="2293"/>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1930</v>
      </c>
      <c r="B10" s="971"/>
      <c r="C10" s="976"/>
      <c r="D10" s="972"/>
      <c r="E10" s="973"/>
      <c r="F10" s="974"/>
      <c r="G10" s="975"/>
      <c r="H10" s="162"/>
      <c r="I10" s="162"/>
    </row>
    <row r="11" spans="1:9" s="668" customFormat="1" ht="22.5" customHeight="1" x14ac:dyDescent="0.2">
      <c r="A11" s="2296" t="s">
        <v>1973</v>
      </c>
      <c r="B11" s="2297"/>
      <c r="C11" s="2297"/>
      <c r="D11" s="2298"/>
      <c r="E11" s="977">
        <f>29710+101416</f>
        <v>131126</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45272019</v>
      </c>
      <c r="F19" s="1799"/>
      <c r="G19" s="1801">
        <f>'Expenditures 15-22'!K33-SUM('Expenditures 15-22'!G33,'Expenditures 15-22'!I33)+'Expenditures 15-22'!D229</f>
        <v>45272019</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5371265</v>
      </c>
      <c r="F21" s="1802"/>
      <c r="G21" s="1805">
        <f>'Expenditures 15-22'!K42-SUM('Expenditures 15-22'!G42,'Expenditures 15-22'!I42)+'Expenditures 15-22'!K120-SUM('Expenditures 15-22'!G120,'Expenditures 15-22'!I120)+'Expenditures 15-22'!K180-SUM('Expenditures 15-22'!G180,'Expenditures 15-22'!I180)+'Expenditures 15-22'!D238</f>
        <v>5371265</v>
      </c>
      <c r="H21" s="987"/>
      <c r="I21" s="162"/>
    </row>
    <row r="22" spans="1:9" s="668" customFormat="1" ht="12" customHeight="1" x14ac:dyDescent="0.2">
      <c r="A22" s="994" t="s">
        <v>564</v>
      </c>
      <c r="B22" s="995"/>
      <c r="C22" s="993">
        <v>2200</v>
      </c>
      <c r="D22" s="1802"/>
      <c r="E22" s="1804">
        <f>'Expenditures 15-22'!K47-SUM('Expenditures 15-22'!G47,'Expenditures 15-22'!I47)+'Expenditures 15-22'!D243</f>
        <v>2632832</v>
      </c>
      <c r="F22" s="1802"/>
      <c r="G22" s="1805">
        <f>'Expenditures 15-22'!K47-SUM('Expenditures 15-22'!G47,'Expenditures 15-22'!I47)+'Expenditures 15-22'!D243</f>
        <v>2632832</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3096281</v>
      </c>
      <c r="F23" s="1802"/>
      <c r="G23" s="1804">
        <f>'Expenditures 15-22'!K53-SUM('Expenditures 15-22'!G53,'Expenditures 15-22'!I53)+'Expenditures 15-22'!D257+'Expenditures 15-22'!K330-SUM('Expenditures 15-22'!G330,'Expenditures 15-22'!I330)</f>
        <v>3096281</v>
      </c>
      <c r="H23" s="987"/>
      <c r="I23" s="162"/>
    </row>
    <row r="24" spans="1:9" s="668" customFormat="1" ht="12" customHeight="1" x14ac:dyDescent="0.2">
      <c r="A24" s="994" t="s">
        <v>566</v>
      </c>
      <c r="B24" s="995"/>
      <c r="C24" s="993">
        <v>2400</v>
      </c>
      <c r="D24" s="1802"/>
      <c r="E24" s="1804">
        <f>'Expenditures 15-22'!K57-SUM('Expenditures 15-22'!G57,'Expenditures 15-22'!I57)+'Expenditures 15-22'!D261</f>
        <v>3165166</v>
      </c>
      <c r="F24" s="1802"/>
      <c r="G24" s="1805">
        <f>'Expenditures 15-22'!K57-SUM('Expenditures 15-22'!G57,'Expenditures 15-22'!I57)+'Expenditures 15-22'!D261</f>
        <v>3165166</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241690</v>
      </c>
      <c r="E26" s="1804">
        <f>'Expenditures 15-22'!K122-SUM('Expenditures 15-22'!G122,'Expenditures 15-22'!I122)+E7</f>
        <v>0</v>
      </c>
      <c r="F26" s="1804">
        <f>'Expenditures 15-22'!K59-SUM('Expenditures 15-22'!G59,'Expenditures 15-22'!I59)+'Expenditures 15-22'!D263-E7</f>
        <v>241690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809153</v>
      </c>
      <c r="E27" s="1804">
        <f>E8</f>
        <v>0</v>
      </c>
      <c r="F27" s="1804">
        <f>'Expenditures 15-22'!K60-SUM('Expenditures 15-22'!G60,'Expenditures 15-22'!I60)+'Expenditures 15-22'!D264-E8</f>
        <v>809153</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5898640</v>
      </c>
      <c r="F28" s="1806">
        <f>'Expenditures 15-22'!K61-SUM('Expenditures 15-22'!G61,'Expenditures 15-22'!I61)+'Expenditures 15-22'!K124-SUM('Expenditures 15-22'!G124,'Expenditures 15-22'!I124)+'Expenditures 15-22'!D266-E9</f>
        <v>5898640</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5575830</v>
      </c>
      <c r="F29" s="1802"/>
      <c r="G29" s="1805">
        <f>'Expenditures 15-22'!K62-SUM('Expenditures 15-22'!G62,'Expenditures 15-22'!I62)+'Expenditures 15-22'!K125-SUM('Expenditures 15-22'!G125,'Expenditures 15-22'!I125)+'Expenditures 15-22'!K182-SUM('Expenditures 15-22'!G182,'Expenditures 15-22'!I182)+'Expenditures 15-22'!D267</f>
        <v>5575830</v>
      </c>
      <c r="H29" s="985"/>
    </row>
    <row r="30" spans="1:9" ht="12" customHeight="1" x14ac:dyDescent="0.2">
      <c r="A30" s="994" t="s">
        <v>100</v>
      </c>
      <c r="B30" s="997"/>
      <c r="C30" s="993">
        <v>2560</v>
      </c>
      <c r="D30" s="1802"/>
      <c r="E30" s="1804">
        <f>'Expenditures 15-22'!K63-SUM('Expenditures 15-22'!G63,'Expenditures 15-22'!I63)+'Expenditures 15-22'!D268-E10</f>
        <v>1387444</v>
      </c>
      <c r="F30" s="1802"/>
      <c r="G30" s="1804">
        <f>'Expenditures 15-22'!K63-SUM('Expenditures 15-22'!G63,'Expenditures 15-22'!I63)+'Expenditures 15-22'!D268-E10</f>
        <v>1387444</v>
      </c>
    </row>
    <row r="31" spans="1:9" ht="12" customHeight="1" x14ac:dyDescent="0.2">
      <c r="A31" s="994" t="s">
        <v>101</v>
      </c>
      <c r="B31" s="997"/>
      <c r="C31" s="993">
        <v>2570</v>
      </c>
      <c r="D31" s="1804">
        <f>'Expenditures 15-22'!K64-SUM('Expenditures 15-22'!G64,'Expenditures 15-22'!I64)+'Expenditures 15-22'!D269-E12</f>
        <v>497199</v>
      </c>
      <c r="E31" s="1804">
        <f>E12</f>
        <v>0</v>
      </c>
      <c r="F31" s="1804">
        <f>'Expenditures 15-22'!K64-SUM('Expenditures 15-22'!G64,'Expenditures 15-22'!I64)+'Expenditures 15-22'!D269-E12</f>
        <v>497199</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118219</v>
      </c>
      <c r="F35" s="1802"/>
      <c r="G35" s="1804">
        <f>'Expenditures 15-22'!K69-SUM('Expenditures 15-22'!G69,'Expenditures 15-22'!I69)+'Expenditures 15-22'!D274</f>
        <v>118219</v>
      </c>
    </row>
    <row r="36" spans="1:7" ht="12" customHeight="1" x14ac:dyDescent="0.2">
      <c r="A36" s="994" t="s">
        <v>403</v>
      </c>
      <c r="B36" s="997"/>
      <c r="C36" s="993">
        <v>2640</v>
      </c>
      <c r="D36" s="1804">
        <f>'Expenditures 15-22'!K70-SUM('Expenditures 15-22'!G70,'Expenditures 15-22'!I70)+'Expenditures 15-22'!D275-E13</f>
        <v>467164</v>
      </c>
      <c r="E36" s="1804">
        <f>E13</f>
        <v>0</v>
      </c>
      <c r="F36" s="1804">
        <f>'Expenditures 15-22'!K70-SUM('Expenditures 15-22'!G70,'Expenditures 15-22'!I70)+'Expenditures 15-22'!D275-E13</f>
        <v>467164</v>
      </c>
      <c r="G36" s="1804">
        <f>E13</f>
        <v>0</v>
      </c>
    </row>
    <row r="37" spans="1:7" ht="12" customHeight="1" x14ac:dyDescent="0.2">
      <c r="A37" s="994" t="s">
        <v>404</v>
      </c>
      <c r="B37" s="997"/>
      <c r="C37" s="993">
        <v>2660</v>
      </c>
      <c r="D37" s="1804">
        <f>'Expenditures 15-22'!K71-SUM('Expenditures 15-22'!G71,'Expenditures 15-22'!I71)+'Expenditures 15-22'!D276-E14</f>
        <v>1820892</v>
      </c>
      <c r="E37" s="1804">
        <f>E14</f>
        <v>0</v>
      </c>
      <c r="F37" s="1804">
        <f>'Expenditures 15-22'!K71-SUM('Expenditures 15-22'!G71,'Expenditures 15-22'!I71)+'Expenditures 15-22'!D276-E14</f>
        <v>1820892</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85670</v>
      </c>
      <c r="F39" s="1802"/>
      <c r="G39" s="1804">
        <f>'Expenditures 15-22'!K75-SUM('Expenditures 15-22'!G75,'Expenditures 15-22'!I75)+'Expenditures 15-22'!K130-SUM('Expenditures 15-22'!G130,'Expenditures 15-22'!I130)+'Expenditures 15-22'!K185-SUM('Expenditures 15-22'!G185,'Expenditures 15-22'!I185)+'Expenditures 15-22'!D280</f>
        <v>85670</v>
      </c>
    </row>
    <row r="40" spans="1:7" ht="12" customHeight="1" x14ac:dyDescent="0.2">
      <c r="A40" s="990" t="s">
        <v>1821</v>
      </c>
      <c r="B40" s="991"/>
      <c r="C40" s="993"/>
      <c r="D40" s="1802"/>
      <c r="E40" s="1806">
        <f>-'Contracts Paid in CY 29'!G142</f>
        <v>-3812252.11</v>
      </c>
      <c r="F40" s="1802"/>
      <c r="G40" s="1806">
        <f>-'Contracts Paid in CY 29'!G142</f>
        <v>-3812252.11</v>
      </c>
    </row>
    <row r="41" spans="1:7" ht="12" customHeight="1" x14ac:dyDescent="0.2">
      <c r="A41" s="998" t="s">
        <v>156</v>
      </c>
      <c r="B41" s="999"/>
      <c r="C41" s="1000"/>
      <c r="D41" s="1806">
        <f>SUM(D19:D39)</f>
        <v>3836098</v>
      </c>
      <c r="E41" s="1806">
        <f>SUM(E19:E40)</f>
        <v>68791113.890000001</v>
      </c>
      <c r="F41" s="1806">
        <f>SUM(F19:F39)</f>
        <v>9734738</v>
      </c>
      <c r="G41" s="1806">
        <f>SUM(G19:G40)</f>
        <v>62892473.890000001</v>
      </c>
    </row>
    <row r="42" spans="1:7" x14ac:dyDescent="0.2">
      <c r="A42" s="987"/>
      <c r="B42" s="162"/>
      <c r="C42" s="1001"/>
      <c r="D42" s="2294" t="s">
        <v>522</v>
      </c>
      <c r="E42" s="2295"/>
      <c r="F42" s="1002" t="s">
        <v>523</v>
      </c>
      <c r="G42" s="1003"/>
    </row>
    <row r="43" spans="1:7" ht="12" customHeight="1" x14ac:dyDescent="0.2">
      <c r="A43" s="987"/>
      <c r="B43" s="162"/>
      <c r="C43" s="1001"/>
      <c r="D43" s="1807" t="s">
        <v>473</v>
      </c>
      <c r="E43" s="1808">
        <f>D41</f>
        <v>3836098</v>
      </c>
      <c r="F43" s="1807" t="s">
        <v>473</v>
      </c>
      <c r="G43" s="1808">
        <f>F41</f>
        <v>9734738</v>
      </c>
    </row>
    <row r="44" spans="1:7" ht="12" customHeight="1" x14ac:dyDescent="0.2">
      <c r="A44" s="987"/>
      <c r="B44" s="162"/>
      <c r="C44" s="1001"/>
      <c r="D44" s="1807" t="s">
        <v>474</v>
      </c>
      <c r="E44" s="1808">
        <f>E41</f>
        <v>68791113.890000001</v>
      </c>
      <c r="F44" s="1807" t="s">
        <v>474</v>
      </c>
      <c r="G44" s="1808">
        <f>G41</f>
        <v>62892473.890000001</v>
      </c>
    </row>
    <row r="45" spans="1:7" ht="12" customHeight="1" x14ac:dyDescent="0.2">
      <c r="A45" s="987"/>
      <c r="B45" s="162"/>
      <c r="C45" s="162"/>
      <c r="D45" s="1809" t="s">
        <v>1006</v>
      </c>
      <c r="E45" s="1810">
        <f>(E43/E44)</f>
        <v>5.5764440827838442E-2</v>
      </c>
      <c r="F45" s="1809" t="s">
        <v>1006</v>
      </c>
      <c r="G45" s="1810">
        <f>(G43/G44)</f>
        <v>0.15478383020878175</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Normal="100" workbookViewId="0">
      <pane ySplit="4" topLeftCell="A10" activePane="bottomLeft" state="frozen"/>
      <selection activeCell="A47" sqref="A47"/>
      <selection pane="bottomLeft" activeCell="C29" sqref="C29"/>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2" t="s">
        <v>1379</v>
      </c>
      <c r="B1" s="2302"/>
      <c r="C1" s="2302"/>
      <c r="D1" s="2302"/>
      <c r="E1" s="2302"/>
      <c r="F1" s="2302"/>
    </row>
    <row r="2" spans="1:10" x14ac:dyDescent="0.2">
      <c r="A2" s="1887" t="s">
        <v>1909</v>
      </c>
      <c r="B2" s="1848"/>
      <c r="C2" s="1887"/>
      <c r="D2" s="1848"/>
      <c r="E2" s="1848"/>
      <c r="F2" s="1849"/>
    </row>
    <row r="3" spans="1:10" x14ac:dyDescent="0.2">
      <c r="A3" s="1887" t="s">
        <v>1974</v>
      </c>
      <c r="B3" s="1848"/>
      <c r="C3" s="1887"/>
      <c r="D3" s="1848"/>
      <c r="E3" s="1848"/>
      <c r="F3" s="1849"/>
    </row>
    <row r="4" spans="1:10" ht="3.75" customHeight="1" x14ac:dyDescent="0.2">
      <c r="A4" s="1848"/>
      <c r="B4" s="1848"/>
      <c r="C4" s="1848"/>
      <c r="D4" s="1848"/>
      <c r="E4" s="1848"/>
      <c r="F4" s="1849"/>
    </row>
    <row r="5" spans="1:10" ht="15" x14ac:dyDescent="0.25">
      <c r="A5" s="2303" t="s">
        <v>1546</v>
      </c>
      <c r="B5" s="2304"/>
      <c r="C5" s="2305"/>
      <c r="D5" s="2305"/>
      <c r="E5" s="2305"/>
      <c r="F5" s="2305"/>
    </row>
    <row r="6" spans="1:10" ht="12" customHeight="1" x14ac:dyDescent="0.25">
      <c r="A6" s="1850"/>
      <c r="B6" s="1851"/>
      <c r="C6" s="2306" t="str">
        <f>COVER!A17</f>
        <v>Woodland CCSD 50</v>
      </c>
      <c r="D6" s="2306"/>
      <c r="E6" s="2306"/>
      <c r="F6" s="1852"/>
    </row>
    <row r="7" spans="1:10" ht="11.25" customHeight="1" thickBot="1" x14ac:dyDescent="0.3">
      <c r="A7" s="1850"/>
      <c r="B7" s="1851"/>
      <c r="C7" s="2307">
        <f>COVER!A13</f>
        <v>34049050004</v>
      </c>
      <c r="D7" s="2307"/>
      <c r="E7" s="2307"/>
      <c r="F7" s="1852"/>
    </row>
    <row r="8" spans="1:10" ht="25.5" customHeight="1" thickBot="1" x14ac:dyDescent="0.25">
      <c r="A8" s="1893" t="s">
        <v>1905</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t="s">
        <v>2063</v>
      </c>
      <c r="D14" s="1865" t="s">
        <v>2063</v>
      </c>
      <c r="E14" s="1868" t="s">
        <v>2063</v>
      </c>
      <c r="F14" s="1867" t="s">
        <v>2164</v>
      </c>
      <c r="H14" s="1878">
        <f t="shared" si="0"/>
        <v>5</v>
      </c>
      <c r="I14" s="1878">
        <f t="shared" si="1"/>
        <v>5</v>
      </c>
      <c r="J14" s="1878">
        <f t="shared" si="2"/>
        <v>5</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t="s">
        <v>2063</v>
      </c>
      <c r="D19" s="1865" t="s">
        <v>2063</v>
      </c>
      <c r="E19" s="1868" t="s">
        <v>2063</v>
      </c>
      <c r="F19" s="1867" t="s">
        <v>2165</v>
      </c>
      <c r="H19" s="1878">
        <f t="shared" si="0"/>
        <v>5</v>
      </c>
      <c r="I19" s="1878">
        <f t="shared" si="1"/>
        <v>5</v>
      </c>
      <c r="J19" s="1878">
        <f t="shared" si="2"/>
        <v>5</v>
      </c>
    </row>
    <row r="20" spans="1:12" ht="12" customHeight="1" x14ac:dyDescent="0.2">
      <c r="A20" s="1863" t="s">
        <v>1528</v>
      </c>
      <c r="B20" s="1864"/>
      <c r="C20" s="1865" t="s">
        <v>2063</v>
      </c>
      <c r="D20" s="1865" t="s">
        <v>2063</v>
      </c>
      <c r="E20" s="1868" t="s">
        <v>2063</v>
      </c>
      <c r="F20" s="1867" t="s">
        <v>2166</v>
      </c>
      <c r="H20" s="1878">
        <f t="shared" si="0"/>
        <v>5</v>
      </c>
      <c r="I20" s="1878">
        <f t="shared" si="1"/>
        <v>5</v>
      </c>
      <c r="J20" s="1878">
        <f t="shared" si="2"/>
        <v>5</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2063</v>
      </c>
      <c r="D26" s="1865" t="s">
        <v>2063</v>
      </c>
      <c r="E26" s="1868" t="s">
        <v>2063</v>
      </c>
      <c r="F26" s="1867" t="s">
        <v>2167</v>
      </c>
      <c r="H26" s="1878">
        <f t="shared" si="0"/>
        <v>5</v>
      </c>
      <c r="I26" s="1878">
        <f t="shared" si="1"/>
        <v>5</v>
      </c>
      <c r="J26" s="1878">
        <f t="shared" si="2"/>
        <v>5</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t="s">
        <v>2063</v>
      </c>
      <c r="D28" s="1865" t="s">
        <v>2063</v>
      </c>
      <c r="E28" s="1868" t="s">
        <v>2063</v>
      </c>
      <c r="F28" s="1867" t="s">
        <v>2168</v>
      </c>
      <c r="H28" s="1878">
        <f t="shared" si="0"/>
        <v>5</v>
      </c>
      <c r="I28" s="1878">
        <f t="shared" si="1"/>
        <v>5</v>
      </c>
      <c r="J28" s="1878">
        <f t="shared" si="2"/>
        <v>5</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25</v>
      </c>
      <c r="I34" s="1878">
        <f>SUM(I11:I32)</f>
        <v>25</v>
      </c>
      <c r="J34" s="1878">
        <f>SUM(J11:J32)</f>
        <v>25</v>
      </c>
      <c r="K34" s="1878">
        <f>SUM(H34:J34)</f>
        <v>75</v>
      </c>
    </row>
    <row r="35" spans="1:11" ht="12" customHeight="1" x14ac:dyDescent="0.2">
      <c r="A35" s="1871" t="s">
        <v>1392</v>
      </c>
      <c r="B35" s="1872"/>
      <c r="C35" s="2308"/>
      <c r="D35" s="2308"/>
      <c r="E35" s="2308"/>
      <c r="F35" s="2309"/>
    </row>
    <row r="36" spans="1:11" ht="12" customHeight="1" x14ac:dyDescent="0.2">
      <c r="A36" s="2299"/>
      <c r="B36" s="2300"/>
      <c r="C36" s="2300"/>
      <c r="D36" s="2300"/>
      <c r="E36" s="2300"/>
      <c r="F36" s="2301"/>
    </row>
    <row r="37" spans="1:11" ht="12" customHeight="1" x14ac:dyDescent="0.2">
      <c r="A37" s="2299"/>
      <c r="B37" s="2300"/>
      <c r="C37" s="2300"/>
      <c r="D37" s="2300"/>
      <c r="E37" s="2300"/>
      <c r="F37" s="2301"/>
    </row>
    <row r="38" spans="1:11" ht="12" customHeight="1" x14ac:dyDescent="0.2">
      <c r="A38" s="2313"/>
      <c r="B38" s="2314"/>
      <c r="C38" s="2314"/>
      <c r="D38" s="2314"/>
      <c r="E38" s="2314"/>
      <c r="F38" s="2315"/>
    </row>
    <row r="39" spans="1:11" ht="4.5" hidden="1" customHeight="1" x14ac:dyDescent="0.2">
      <c r="A39" s="1873"/>
      <c r="B39" s="1873"/>
      <c r="C39" s="1873"/>
      <c r="D39" s="1873"/>
      <c r="E39" s="1873"/>
      <c r="F39" s="1873"/>
    </row>
    <row r="40" spans="1:11" s="1870" customFormat="1" ht="12" customHeight="1" x14ac:dyDescent="0.25">
      <c r="A40" s="1874" t="s">
        <v>1391</v>
      </c>
      <c r="B40" s="1875"/>
      <c r="C40" s="2316"/>
      <c r="D40" s="2316"/>
      <c r="E40" s="2316"/>
      <c r="F40" s="2317"/>
      <c r="H40" s="1879"/>
      <c r="I40" s="1879"/>
      <c r="J40" s="1879"/>
      <c r="K40" s="1879"/>
    </row>
    <row r="41" spans="1:11" s="1870" customFormat="1" ht="12" customHeight="1" x14ac:dyDescent="0.25">
      <c r="A41" s="2318"/>
      <c r="B41" s="2319"/>
      <c r="C41" s="2319"/>
      <c r="D41" s="2319"/>
      <c r="E41" s="2319"/>
      <c r="F41" s="2320"/>
      <c r="H41" s="1879"/>
      <c r="I41" s="1879"/>
      <c r="J41" s="1879"/>
      <c r="K41" s="1879"/>
    </row>
    <row r="42" spans="1:11" s="1870" customFormat="1" ht="12" customHeight="1" x14ac:dyDescent="0.25">
      <c r="A42" s="2318"/>
      <c r="B42" s="2319"/>
      <c r="C42" s="2319"/>
      <c r="D42" s="2319"/>
      <c r="E42" s="2319"/>
      <c r="F42" s="2320"/>
      <c r="H42" s="1879"/>
      <c r="I42" s="1879"/>
      <c r="J42" s="1879"/>
      <c r="K42" s="1879"/>
    </row>
    <row r="43" spans="1:11" s="1870" customFormat="1" ht="15" x14ac:dyDescent="0.25">
      <c r="A43" s="2310"/>
      <c r="B43" s="2311"/>
      <c r="C43" s="2311"/>
      <c r="D43" s="2311"/>
      <c r="E43" s="2311"/>
      <c r="F43" s="2312"/>
      <c r="H43" s="1879"/>
      <c r="I43" s="1879"/>
      <c r="J43" s="1879"/>
      <c r="K43" s="1879"/>
    </row>
    <row r="44" spans="1:11" s="1870" customFormat="1" ht="12" hidden="1" customHeight="1" x14ac:dyDescent="0.25">
      <c r="A44" s="2310"/>
      <c r="B44" s="2311"/>
      <c r="C44" s="2311"/>
      <c r="D44" s="2311"/>
      <c r="E44" s="2311"/>
      <c r="F44" s="2312"/>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H13" sqref="H13"/>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26" t="str">
        <f>COVER!A17</f>
        <v>Woodland CCSD 50</v>
      </c>
      <c r="J6" s="2327"/>
      <c r="Q6" s="1664"/>
    </row>
    <row r="7" spans="1:17" x14ac:dyDescent="0.2">
      <c r="A7" s="2328" t="s">
        <v>869</v>
      </c>
      <c r="B7" s="2329"/>
      <c r="C7" s="2329"/>
      <c r="D7" s="2329"/>
      <c r="E7" s="2330"/>
      <c r="F7" s="1017"/>
      <c r="G7" s="1009"/>
      <c r="H7" s="1016" t="s">
        <v>372</v>
      </c>
      <c r="I7" s="2331">
        <f>COVER!A13</f>
        <v>34049050004</v>
      </c>
      <c r="J7" s="2331"/>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1975</v>
      </c>
      <c r="F9" s="1023"/>
      <c r="G9" s="1023"/>
      <c r="H9" s="1896" t="s">
        <v>1976</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32" t="s">
        <v>481</v>
      </c>
      <c r="B11" s="2333"/>
      <c r="C11" s="2334"/>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482408</v>
      </c>
      <c r="F12" s="1039"/>
      <c r="G12" s="1811">
        <f t="shared" ref="G12:G18" si="0">SUM(E12:F12)</f>
        <v>482408</v>
      </c>
      <c r="H12" s="1040">
        <v>507465</v>
      </c>
      <c r="I12" s="1039"/>
      <c r="J12" s="1811">
        <f t="shared" ref="J12:J18" si="1">SUM(H12:I12)</f>
        <v>507465</v>
      </c>
    </row>
    <row r="13" spans="1:17" ht="15" customHeight="1" x14ac:dyDescent="0.2">
      <c r="A13" s="1035">
        <v>2</v>
      </c>
      <c r="B13" s="1036" t="s">
        <v>42</v>
      </c>
      <c r="C13" s="1037"/>
      <c r="D13" s="1038">
        <v>2330</v>
      </c>
      <c r="E13" s="1811">
        <f>'Expenditures 15-22'!K51</f>
        <v>1125958</v>
      </c>
      <c r="F13" s="1039"/>
      <c r="G13" s="1811">
        <f t="shared" si="0"/>
        <v>1125958</v>
      </c>
      <c r="H13" s="1040">
        <v>1180132</v>
      </c>
      <c r="I13" s="1039"/>
      <c r="J13" s="1811">
        <f t="shared" si="1"/>
        <v>1180132</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238599</v>
      </c>
      <c r="F15" s="1811">
        <f>'Expenditures 15-22'!K122</f>
        <v>0</v>
      </c>
      <c r="G15" s="1811">
        <f t="shared" si="0"/>
        <v>238599</v>
      </c>
      <c r="H15" s="1040">
        <v>208812</v>
      </c>
      <c r="I15" s="1040"/>
      <c r="J15" s="1811">
        <f t="shared" si="1"/>
        <v>208812</v>
      </c>
    </row>
    <row r="16" spans="1:17" ht="15" customHeight="1" x14ac:dyDescent="0.2">
      <c r="A16" s="1035">
        <v>5</v>
      </c>
      <c r="B16" s="1036" t="s">
        <v>101</v>
      </c>
      <c r="C16" s="1037"/>
      <c r="D16" s="1038">
        <v>2570</v>
      </c>
      <c r="E16" s="1811">
        <f>'Expenditures 15-22'!K64</f>
        <v>488132</v>
      </c>
      <c r="F16" s="1039"/>
      <c r="G16" s="1811">
        <f t="shared" si="0"/>
        <v>488132</v>
      </c>
      <c r="H16" s="1040">
        <v>438138</v>
      </c>
      <c r="I16" s="1039"/>
      <c r="J16" s="1811">
        <f t="shared" si="1"/>
        <v>438138</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35" t="s">
        <v>7</v>
      </c>
      <c r="C18" s="2336"/>
      <c r="D18" s="2337"/>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2335097</v>
      </c>
      <c r="F19" s="1813">
        <f t="shared" si="2"/>
        <v>0</v>
      </c>
      <c r="G19" s="1813">
        <f t="shared" si="2"/>
        <v>2335097</v>
      </c>
      <c r="H19" s="1813">
        <f t="shared" si="2"/>
        <v>2334547</v>
      </c>
      <c r="I19" s="1813">
        <f t="shared" si="2"/>
        <v>0</v>
      </c>
      <c r="J19" s="1813">
        <f t="shared" si="2"/>
        <v>2334547</v>
      </c>
    </row>
    <row r="20" spans="1:10" ht="13.5" thickTop="1" x14ac:dyDescent="0.2">
      <c r="A20" s="1035">
        <v>9</v>
      </c>
      <c r="B20" s="2338" t="s">
        <v>1977</v>
      </c>
      <c r="C20" s="2338"/>
      <c r="D20" s="2339"/>
      <c r="E20" s="1046"/>
      <c r="F20" s="1046"/>
      <c r="G20" s="1046"/>
      <c r="H20" s="1046"/>
      <c r="I20" s="1046"/>
      <c r="J20" s="1814">
        <f>IF(AND(G19&gt;0,J19&gt;0),(((J19-G19)/G19)),"Enter Budget Data")</f>
        <v>-2.3553625395433253E-4</v>
      </c>
    </row>
    <row r="21" spans="1:10" ht="9" customHeight="1" x14ac:dyDescent="0.2">
      <c r="B21" s="1047"/>
    </row>
    <row r="22" spans="1:10" x14ac:dyDescent="0.2">
      <c r="A22" s="1048" t="s">
        <v>133</v>
      </c>
      <c r="B22" s="1047"/>
    </row>
    <row r="23" spans="1:10" x14ac:dyDescent="0.2">
      <c r="A23" s="1011" t="s">
        <v>1978</v>
      </c>
      <c r="B23" s="1047"/>
    </row>
    <row r="24" spans="1:10" x14ac:dyDescent="0.2">
      <c r="A24" s="1011" t="s">
        <v>1991</v>
      </c>
      <c r="B24" s="1047"/>
    </row>
    <row r="25" spans="1:10" x14ac:dyDescent="0.2">
      <c r="A25" s="1049"/>
      <c r="B25" s="1047"/>
    </row>
    <row r="26" spans="1:10" ht="20.100000000000001" customHeight="1" x14ac:dyDescent="0.2">
      <c r="B26" s="1047"/>
      <c r="C26" s="2344"/>
      <c r="D26" s="2344"/>
      <c r="E26" s="1050"/>
      <c r="F26" s="2343"/>
      <c r="G26" s="2343"/>
    </row>
    <row r="27" spans="1:10" x14ac:dyDescent="0.2">
      <c r="B27" s="1047"/>
      <c r="C27" s="1051" t="s">
        <v>1033</v>
      </c>
      <c r="D27" s="1052"/>
      <c r="E27" s="1053"/>
      <c r="F27" s="2340" t="s">
        <v>1509</v>
      </c>
      <c r="G27" s="2340"/>
    </row>
    <row r="28" spans="1:10" ht="28.5" customHeight="1" x14ac:dyDescent="0.2">
      <c r="B28" s="1047"/>
      <c r="C28" s="2342"/>
      <c r="D28" s="2342"/>
      <c r="E28" s="1054"/>
      <c r="F28" s="2342"/>
      <c r="G28" s="2342"/>
    </row>
    <row r="29" spans="1:10" x14ac:dyDescent="0.2">
      <c r="B29" s="1047"/>
      <c r="C29" s="1055" t="s">
        <v>1561</v>
      </c>
      <c r="E29" s="1056"/>
      <c r="F29" s="2341" t="s">
        <v>1510</v>
      </c>
      <c r="G29" s="2341"/>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23" t="s">
        <v>132</v>
      </c>
      <c r="D33" s="2324"/>
      <c r="E33" s="2324"/>
      <c r="F33" s="2324"/>
      <c r="G33" s="2324"/>
      <c r="H33" s="2324"/>
      <c r="I33" s="2324"/>
    </row>
    <row r="34" spans="1:10" ht="10.35" customHeight="1" x14ac:dyDescent="0.2">
      <c r="C34" s="2324"/>
      <c r="D34" s="2324"/>
      <c r="E34" s="2324"/>
      <c r="F34" s="2324"/>
      <c r="G34" s="2324"/>
      <c r="H34" s="2324"/>
      <c r="I34" s="2324"/>
    </row>
    <row r="35" spans="1:10" ht="7.5" customHeight="1" x14ac:dyDescent="0.2">
      <c r="C35" s="1062"/>
    </row>
    <row r="36" spans="1:10" ht="13.5" customHeight="1" x14ac:dyDescent="0.2">
      <c r="B36" s="1061"/>
      <c r="C36" s="2325" t="s">
        <v>1979</v>
      </c>
      <c r="D36" s="2324"/>
      <c r="E36" s="2324"/>
      <c r="F36" s="2324"/>
      <c r="G36" s="2324"/>
      <c r="H36" s="2324"/>
      <c r="I36" s="2324"/>
      <c r="J36" s="1063"/>
    </row>
    <row r="37" spans="1:10" ht="22.5" customHeight="1" x14ac:dyDescent="0.2">
      <c r="C37" s="2324"/>
      <c r="D37" s="2324"/>
      <c r="E37" s="2324"/>
      <c r="F37" s="2324"/>
      <c r="G37" s="2324"/>
      <c r="H37" s="2324"/>
      <c r="I37" s="2324"/>
      <c r="J37" s="1063"/>
    </row>
    <row r="38" spans="1:10" ht="7.5" customHeight="1" x14ac:dyDescent="0.2">
      <c r="C38" s="1062"/>
      <c r="D38" s="1064"/>
      <c r="E38" s="1065"/>
      <c r="F38" s="1066"/>
      <c r="G38" s="1065"/>
    </row>
    <row r="39" spans="1:10" ht="13.5" customHeight="1" x14ac:dyDescent="0.2">
      <c r="B39" s="1061"/>
      <c r="C39" s="2321" t="s">
        <v>882</v>
      </c>
      <c r="D39" s="2322"/>
      <c r="E39" s="2322"/>
      <c r="F39" s="2322"/>
      <c r="G39" s="2322"/>
      <c r="H39" s="2322"/>
      <c r="I39" s="2322"/>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6" sqref="B6"/>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2169</v>
      </c>
    </row>
    <row r="6" spans="1:2" x14ac:dyDescent="0.2">
      <c r="A6" s="1068">
        <v>2</v>
      </c>
    </row>
    <row r="7" spans="1:2" x14ac:dyDescent="0.2">
      <c r="A7" s="1068">
        <v>3</v>
      </c>
    </row>
    <row r="8" spans="1:2" x14ac:dyDescent="0.2">
      <c r="A8" s="1068">
        <v>4</v>
      </c>
    </row>
    <row r="9" spans="1:2" x14ac:dyDescent="0.2">
      <c r="A9" s="1069"/>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Woodland CCSD 50</v>
      </c>
    </row>
    <row r="65" spans="2:2" x14ac:dyDescent="0.2">
      <c r="B65" s="1070">
        <f>COVER!A13</f>
        <v>34049050004</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1856</v>
      </c>
      <c r="C4" s="162" t="s">
        <v>1169</v>
      </c>
      <c r="D4" s="169" t="s">
        <v>10</v>
      </c>
      <c r="E4" s="170" t="s">
        <v>22</v>
      </c>
    </row>
    <row r="5" spans="1:5" x14ac:dyDescent="0.2">
      <c r="A5" s="168" t="s">
        <v>1858</v>
      </c>
      <c r="C5" s="162" t="s">
        <v>1169</v>
      </c>
      <c r="D5" s="169" t="s">
        <v>10</v>
      </c>
      <c r="E5" s="170" t="s">
        <v>22</v>
      </c>
    </row>
    <row r="6" spans="1:5" x14ac:dyDescent="0.2">
      <c r="A6" s="168" t="s">
        <v>1857</v>
      </c>
      <c r="C6" s="162" t="s">
        <v>1169</v>
      </c>
      <c r="D6" s="167" t="s">
        <v>11</v>
      </c>
      <c r="E6" s="170" t="s">
        <v>941</v>
      </c>
    </row>
    <row r="7" spans="1:5" x14ac:dyDescent="0.2">
      <c r="A7" s="168" t="s">
        <v>1859</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1860</v>
      </c>
      <c r="C11" s="162" t="s">
        <v>1169</v>
      </c>
      <c r="D11" s="169" t="s">
        <v>14</v>
      </c>
      <c r="E11" s="170" t="s">
        <v>1156</v>
      </c>
    </row>
    <row r="12" spans="1:5" x14ac:dyDescent="0.2">
      <c r="B12" s="169" t="s">
        <v>1861</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1862</v>
      </c>
      <c r="C15" s="162" t="s">
        <v>1169</v>
      </c>
      <c r="D15" s="169" t="s">
        <v>17</v>
      </c>
      <c r="E15" s="170" t="s">
        <v>636</v>
      </c>
    </row>
    <row r="16" spans="1:5" x14ac:dyDescent="0.2">
      <c r="A16" s="172"/>
      <c r="B16" s="162" t="s">
        <v>1863</v>
      </c>
      <c r="C16" s="162" t="s">
        <v>1169</v>
      </c>
      <c r="D16" s="169" t="s">
        <v>681</v>
      </c>
      <c r="E16" s="170" t="s">
        <v>1040</v>
      </c>
    </row>
    <row r="17" spans="1:5" x14ac:dyDescent="0.2">
      <c r="B17" s="167" t="s">
        <v>988</v>
      </c>
      <c r="C17" s="162" t="s">
        <v>1169</v>
      </c>
    </row>
    <row r="18" spans="1:5" x14ac:dyDescent="0.2">
      <c r="B18" s="167" t="s">
        <v>1869</v>
      </c>
      <c r="D18" s="169" t="s">
        <v>18</v>
      </c>
      <c r="E18" s="170" t="s">
        <v>1041</v>
      </c>
    </row>
    <row r="19" spans="1:5" x14ac:dyDescent="0.2">
      <c r="A19" s="168" t="s">
        <v>1099</v>
      </c>
      <c r="C19" s="162" t="s">
        <v>1169</v>
      </c>
      <c r="D19" s="169"/>
      <c r="E19" s="171"/>
    </row>
    <row r="20" spans="1:5" x14ac:dyDescent="0.2">
      <c r="B20" s="167" t="s">
        <v>1864</v>
      </c>
      <c r="C20" s="162" t="s">
        <v>1169</v>
      </c>
      <c r="D20" s="169" t="s">
        <v>19</v>
      </c>
      <c r="E20" s="170" t="s">
        <v>51</v>
      </c>
    </row>
    <row r="21" spans="1:5" x14ac:dyDescent="0.2">
      <c r="B21" s="167" t="s">
        <v>1865</v>
      </c>
      <c r="C21" s="162" t="s">
        <v>1169</v>
      </c>
      <c r="D21" s="169" t="s">
        <v>20</v>
      </c>
      <c r="E21" s="170" t="s">
        <v>1610</v>
      </c>
    </row>
    <row r="22" spans="1:5" x14ac:dyDescent="0.2">
      <c r="A22" s="168"/>
      <c r="B22" s="162" t="s">
        <v>1853</v>
      </c>
      <c r="C22" s="162" t="s">
        <v>1169</v>
      </c>
      <c r="D22" s="167" t="s">
        <v>1855</v>
      </c>
      <c r="E22" s="1836" t="s">
        <v>1611</v>
      </c>
    </row>
    <row r="23" spans="1:5" x14ac:dyDescent="0.2">
      <c r="A23" s="168"/>
      <c r="B23" s="162" t="s">
        <v>1854</v>
      </c>
      <c r="D23" s="167" t="s">
        <v>637</v>
      </c>
      <c r="E23" s="1836" t="s">
        <v>959</v>
      </c>
    </row>
    <row r="24" spans="1:5" x14ac:dyDescent="0.2">
      <c r="A24" s="168" t="s">
        <v>1609</v>
      </c>
      <c r="C24" s="162" t="s">
        <v>1169</v>
      </c>
      <c r="D24" s="167" t="s">
        <v>1393</v>
      </c>
      <c r="E24" s="170" t="s">
        <v>960</v>
      </c>
    </row>
    <row r="25" spans="1:5" x14ac:dyDescent="0.2">
      <c r="A25" s="168" t="s">
        <v>1866</v>
      </c>
      <c r="C25" s="162" t="s">
        <v>1169</v>
      </c>
      <c r="D25" s="169" t="s">
        <v>21</v>
      </c>
      <c r="E25" s="170" t="s">
        <v>1042</v>
      </c>
    </row>
    <row r="26" spans="1:5" x14ac:dyDescent="0.2">
      <c r="A26" s="168" t="s">
        <v>1867</v>
      </c>
      <c r="C26" s="162" t="s">
        <v>1169</v>
      </c>
      <c r="D26" s="169" t="s">
        <v>563</v>
      </c>
      <c r="E26" s="170" t="s">
        <v>1043</v>
      </c>
    </row>
    <row r="27" spans="1:5" x14ac:dyDescent="0.2">
      <c r="A27" s="168" t="s">
        <v>1868</v>
      </c>
      <c r="C27" s="162" t="s">
        <v>1169</v>
      </c>
      <c r="D27" s="169" t="s">
        <v>557</v>
      </c>
      <c r="E27" s="170" t="s">
        <v>683</v>
      </c>
    </row>
    <row r="28" spans="1:5" x14ac:dyDescent="0.2">
      <c r="A28" s="168" t="s">
        <v>1870</v>
      </c>
      <c r="D28" s="169" t="s">
        <v>684</v>
      </c>
      <c r="E28" s="170" t="s">
        <v>1366</v>
      </c>
    </row>
    <row r="29" spans="1:5" x14ac:dyDescent="0.2">
      <c r="A29" s="168" t="s">
        <v>1871</v>
      </c>
      <c r="D29" s="169" t="s">
        <v>1394</v>
      </c>
      <c r="E29" s="170" t="s">
        <v>1375</v>
      </c>
    </row>
    <row r="30" spans="1:5" x14ac:dyDescent="0.2">
      <c r="A30" s="173" t="s">
        <v>1872</v>
      </c>
      <c r="C30" s="162" t="s">
        <v>1169</v>
      </c>
      <c r="D30" s="169" t="s">
        <v>40</v>
      </c>
      <c r="E30" s="170" t="s">
        <v>982</v>
      </c>
    </row>
    <row r="31" spans="1:5" x14ac:dyDescent="0.2">
      <c r="A31" s="168" t="s">
        <v>1521</v>
      </c>
      <c r="C31" s="162" t="s">
        <v>1169</v>
      </c>
      <c r="D31" s="167"/>
      <c r="E31" s="171"/>
    </row>
    <row r="32" spans="1:5" x14ac:dyDescent="0.2">
      <c r="B32" s="167" t="s">
        <v>1873</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62" t="s">
        <v>1065</v>
      </c>
      <c r="B35" s="2062"/>
      <c r="C35" s="2062"/>
      <c r="D35" s="2062"/>
      <c r="E35" s="206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9" t="s">
        <v>691</v>
      </c>
      <c r="B40" s="2059"/>
      <c r="C40" s="2059"/>
      <c r="D40" s="2059"/>
      <c r="E40" s="2059"/>
    </row>
    <row r="41" spans="1:5" x14ac:dyDescent="0.2">
      <c r="A41" s="2060" t="s">
        <v>1608</v>
      </c>
      <c r="B41" s="2060"/>
      <c r="C41" s="2060"/>
      <c r="D41" s="2060"/>
      <c r="E41" s="2060"/>
    </row>
    <row r="42" spans="1:5" ht="12.75" customHeight="1" x14ac:dyDescent="0.2">
      <c r="A42" s="2061" t="s">
        <v>1022</v>
      </c>
      <c r="B42" s="2061"/>
      <c r="C42" s="2061"/>
      <c r="D42" s="2061"/>
      <c r="E42" s="2061"/>
    </row>
    <row r="43" spans="1:5" ht="6.75" customHeight="1" x14ac:dyDescent="0.2">
      <c r="A43" s="167"/>
      <c r="B43" s="176"/>
    </row>
    <row r="44" spans="1:5" x14ac:dyDescent="0.2">
      <c r="A44" s="185" t="s">
        <v>983</v>
      </c>
      <c r="B44" s="186" t="s">
        <v>1899</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1769</v>
      </c>
    </row>
    <row r="52" spans="1:3" x14ac:dyDescent="0.2">
      <c r="A52" s="190"/>
      <c r="B52" s="188" t="s">
        <v>1789</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1770</v>
      </c>
    </row>
    <row r="57" spans="1:3" x14ac:dyDescent="0.2">
      <c r="A57" s="193"/>
      <c r="B57" s="190" t="s">
        <v>1772</v>
      </c>
    </row>
    <row r="58" spans="1:3" x14ac:dyDescent="0.2">
      <c r="A58" s="194"/>
      <c r="B58" s="190" t="s">
        <v>1773</v>
      </c>
    </row>
    <row r="59" spans="1:3" x14ac:dyDescent="0.2">
      <c r="A59" s="195"/>
      <c r="B59" s="1485" t="s">
        <v>1774</v>
      </c>
    </row>
    <row r="60" spans="1:3" x14ac:dyDescent="0.2">
      <c r="A60" s="196"/>
      <c r="B60" s="1485" t="s">
        <v>1775</v>
      </c>
    </row>
    <row r="61" spans="1:3" ht="6" customHeight="1" x14ac:dyDescent="0.2">
      <c r="A61" s="197"/>
      <c r="B61" s="189"/>
    </row>
    <row r="62" spans="1:3" x14ac:dyDescent="0.2">
      <c r="A62" s="169" t="s">
        <v>1616</v>
      </c>
      <c r="B62" s="198" t="s">
        <v>1771</v>
      </c>
    </row>
    <row r="63" spans="1:3" x14ac:dyDescent="0.2">
      <c r="A63" s="188"/>
      <c r="B63" s="169" t="s">
        <v>1786</v>
      </c>
    </row>
    <row r="64" spans="1:3" x14ac:dyDescent="0.2">
      <c r="A64" s="195"/>
      <c r="B64" s="1487" t="s">
        <v>1776</v>
      </c>
    </row>
    <row r="65" spans="1:9" x14ac:dyDescent="0.2">
      <c r="A65" s="188"/>
      <c r="B65" s="169" t="s">
        <v>1787</v>
      </c>
    </row>
    <row r="66" spans="1:9" x14ac:dyDescent="0.2">
      <c r="A66" s="190"/>
      <c r="B66" s="190" t="s">
        <v>1777</v>
      </c>
    </row>
    <row r="67" spans="1:9" ht="12" customHeight="1" x14ac:dyDescent="0.2">
      <c r="A67" s="188"/>
      <c r="B67" s="169" t="s">
        <v>1788</v>
      </c>
    </row>
    <row r="68" spans="1:9" x14ac:dyDescent="0.2">
      <c r="A68" s="189"/>
      <c r="B68" s="190" t="s">
        <v>1778</v>
      </c>
    </row>
    <row r="69" spans="1:9" x14ac:dyDescent="0.2">
      <c r="A69" s="190"/>
      <c r="B69" s="188" t="s">
        <v>1779</v>
      </c>
    </row>
    <row r="70" spans="1:9" ht="13.5" customHeight="1" x14ac:dyDescent="0.2">
      <c r="A70" s="190"/>
      <c r="B70" s="188" t="s">
        <v>1780</v>
      </c>
    </row>
    <row r="71" spans="1:9" ht="12" customHeight="1" x14ac:dyDescent="0.2">
      <c r="A71" s="192"/>
      <c r="B71" s="1486" t="s">
        <v>1619</v>
      </c>
    </row>
    <row r="72" spans="1:9" ht="9" customHeight="1" x14ac:dyDescent="0.2">
      <c r="A72" s="192"/>
      <c r="B72" s="199"/>
    </row>
    <row r="73" spans="1:9" x14ac:dyDescent="0.2">
      <c r="A73" s="189" t="s">
        <v>1620</v>
      </c>
      <c r="B73" s="169" t="s">
        <v>1782</v>
      </c>
    </row>
    <row r="74" spans="1:9" x14ac:dyDescent="0.2">
      <c r="A74" s="189"/>
      <c r="B74" s="169" t="s">
        <v>1781</v>
      </c>
    </row>
    <row r="75" spans="1:9" ht="8.25" customHeight="1" x14ac:dyDescent="0.2">
      <c r="A75" s="189"/>
      <c r="B75" s="189"/>
    </row>
    <row r="76" spans="1:9" ht="12.2" customHeight="1" x14ac:dyDescent="0.2">
      <c r="A76" s="189" t="s">
        <v>1621</v>
      </c>
      <c r="B76" s="198" t="s">
        <v>1783</v>
      </c>
    </row>
    <row r="77" spans="1:9" ht="12.2" customHeight="1" x14ac:dyDescent="0.2">
      <c r="A77" s="190"/>
      <c r="B77" s="169" t="s">
        <v>1622</v>
      </c>
      <c r="C77" s="179"/>
      <c r="D77" s="180"/>
      <c r="E77" s="181"/>
      <c r="F77" s="181"/>
      <c r="G77" s="181"/>
      <c r="H77" s="181"/>
      <c r="I77" s="181"/>
    </row>
    <row r="78" spans="1:9" ht="11.25" customHeight="1" x14ac:dyDescent="0.2">
      <c r="A78" s="190"/>
      <c r="B78" s="190" t="s">
        <v>1785</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1784</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I18" sqref="I18"/>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45" t="s">
        <v>1685</v>
      </c>
      <c r="B18" s="2345"/>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2</xdr:col>
                <xdr:colOff>0</xdr:colOff>
                <xdr:row>6</xdr:row>
                <xdr:rowOff>0</xdr:rowOff>
              </from>
              <to>
                <xdr:col>3</xdr:col>
                <xdr:colOff>304800</xdr:colOff>
                <xdr:row>10</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3</xdr:col>
                <xdr:colOff>561975</xdr:colOff>
                <xdr:row>6</xdr:row>
                <xdr:rowOff>0</xdr:rowOff>
              </from>
              <to>
                <xdr:col>5</xdr:col>
                <xdr:colOff>257175</xdr:colOff>
                <xdr:row>10</xdr:row>
                <xdr:rowOff>38100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5</xdr:col>
                <xdr:colOff>485775</xdr:colOff>
                <xdr:row>5</xdr:row>
                <xdr:rowOff>152400</xdr:rowOff>
              </from>
              <to>
                <xdr:col>7</xdr:col>
                <xdr:colOff>180975</xdr:colOff>
                <xdr:row>10</xdr:row>
                <xdr:rowOff>28575</xdr:rowOff>
              </to>
            </anchor>
          </objectPr>
        </oleObject>
      </mc:Choice>
      <mc:Fallback>
        <oleObject progId="Acrobat Document" dvAspect="DVASPECT_ICON" shapeId="35843"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13"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6" t="s">
        <v>1690</v>
      </c>
      <c r="B1" s="2347"/>
      <c r="C1" s="2347"/>
      <c r="D1" s="2347"/>
      <c r="E1" s="2347"/>
      <c r="F1" s="2348"/>
    </row>
    <row r="2" spans="1:8" ht="45" customHeight="1" x14ac:dyDescent="0.2">
      <c r="A2" s="2356" t="s">
        <v>1983</v>
      </c>
      <c r="B2" s="2357"/>
      <c r="C2" s="2357"/>
      <c r="D2" s="2357"/>
      <c r="E2" s="2357"/>
      <c r="F2" s="2358"/>
      <c r="G2" s="1074"/>
      <c r="H2" s="1074"/>
    </row>
    <row r="3" spans="1:8" ht="57" customHeight="1" x14ac:dyDescent="0.2">
      <c r="A3" s="2359" t="s">
        <v>1686</v>
      </c>
      <c r="B3" s="2360"/>
      <c r="C3" s="2360"/>
      <c r="D3" s="2360"/>
      <c r="E3" s="2360"/>
      <c r="F3" s="2361"/>
      <c r="G3" s="1074"/>
      <c r="H3" s="1074"/>
    </row>
    <row r="4" spans="1:8" ht="14.25" customHeight="1" x14ac:dyDescent="0.2">
      <c r="A4" s="2365" t="s">
        <v>1984</v>
      </c>
      <c r="B4" s="2366"/>
      <c r="C4" s="2366"/>
      <c r="D4" s="2366"/>
      <c r="E4" s="2366"/>
      <c r="F4" s="2367"/>
      <c r="G4" s="1074"/>
      <c r="H4" s="1074"/>
    </row>
    <row r="5" spans="1:8" ht="14.25" customHeight="1" x14ac:dyDescent="0.2">
      <c r="A5" s="2368" t="s">
        <v>1980</v>
      </c>
      <c r="B5" s="2369"/>
      <c r="C5" s="2369"/>
      <c r="D5" s="2369"/>
      <c r="E5" s="2369"/>
      <c r="F5" s="2370"/>
      <c r="G5" s="1074"/>
      <c r="H5" s="1074"/>
    </row>
    <row r="6" spans="1:8" s="1075" customFormat="1" ht="41.25" customHeight="1" x14ac:dyDescent="0.2">
      <c r="A6" s="2362" t="s">
        <v>1691</v>
      </c>
      <c r="B6" s="2363"/>
      <c r="C6" s="2363"/>
      <c r="D6" s="2363"/>
      <c r="E6" s="2363"/>
      <c r="F6" s="2364"/>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62481189</v>
      </c>
      <c r="C8" s="1815">
        <f>'Acct Summary 7-8'!D8</f>
        <v>5665433</v>
      </c>
      <c r="D8" s="1815">
        <f>'Acct Summary 7-8'!F8</f>
        <v>5128654</v>
      </c>
      <c r="E8" s="1815">
        <f>'Acct Summary 7-8'!I8</f>
        <v>657422</v>
      </c>
      <c r="F8" s="1815">
        <f>SUM(B8:E8)</f>
        <v>73932698</v>
      </c>
    </row>
    <row r="9" spans="1:8" s="1079" customFormat="1" ht="14.25" customHeight="1" thickBot="1" x14ac:dyDescent="0.25">
      <c r="A9" s="1078" t="s">
        <v>1369</v>
      </c>
      <c r="B9" s="1816">
        <f>'Acct Summary 7-8'!C17</f>
        <v>65627216</v>
      </c>
      <c r="C9" s="1816">
        <f>'Acct Summary 7-8'!D17</f>
        <v>5681042</v>
      </c>
      <c r="D9" s="1816">
        <f>'Acct Summary 7-8'!F17</f>
        <v>5041543</v>
      </c>
      <c r="E9" s="1815"/>
      <c r="F9" s="1815">
        <f>SUM(B9:E9)</f>
        <v>76349801</v>
      </c>
    </row>
    <row r="10" spans="1:8" s="1079" customFormat="1" ht="14.25" thickTop="1" thickBot="1" x14ac:dyDescent="0.25">
      <c r="A10" s="1080" t="s">
        <v>1370</v>
      </c>
      <c r="B10" s="1817">
        <f>(B8-B9)</f>
        <v>-3146027</v>
      </c>
      <c r="C10" s="1817">
        <f>(C8-C9)</f>
        <v>-15609</v>
      </c>
      <c r="D10" s="1817">
        <f>(D8-D9)</f>
        <v>87111</v>
      </c>
      <c r="E10" s="1816">
        <f>(E8-E9)</f>
        <v>657422</v>
      </c>
      <c r="F10" s="1818">
        <f>SUM(F8-F9)</f>
        <v>-2417103</v>
      </c>
    </row>
    <row r="11" spans="1:8" s="1079" customFormat="1" ht="14.25" thickTop="1" thickBot="1" x14ac:dyDescent="0.25">
      <c r="A11" s="1081" t="s">
        <v>1981</v>
      </c>
      <c r="B11" s="1819">
        <f>'Acct Summary 7-8'!C81</f>
        <v>18791646</v>
      </c>
      <c r="C11" s="1819">
        <f>'Acct Summary 7-8'!D81</f>
        <v>3476651</v>
      </c>
      <c r="D11" s="1819">
        <f>'Acct Summary 7-8'!F81</f>
        <v>4626891</v>
      </c>
      <c r="E11" s="1819">
        <f>'Acct Summary 7-8'!I81</f>
        <v>28592339</v>
      </c>
      <c r="F11" s="1820">
        <f>SUM(B11:E11)</f>
        <v>55487527</v>
      </c>
    </row>
    <row r="12" spans="1:8" ht="16.5" customHeight="1" thickTop="1" x14ac:dyDescent="0.2">
      <c r="A12" s="1082"/>
      <c r="B12" s="1083"/>
      <c r="C12" s="2350" t="str">
        <f>IF(AND(F10&lt;0,F11&gt;=0,ABS(F10*3)&gt;ABS(F11)),A16,IF(AND(F10&lt;0,F11&gt;0,ABS(F10*3)&lt;=ABS(F11)),A17,IF(AND(F10&lt;0,F11&lt;0),A16,IF(F11=0,A19,A18))))</f>
        <v>Unbalanced -  however, a deficit reduction plan is not required at this time.</v>
      </c>
      <c r="D12" s="2351"/>
      <c r="E12" s="2351"/>
      <c r="F12" s="2352"/>
    </row>
    <row r="13" spans="1:8" ht="19.5" customHeight="1" x14ac:dyDescent="0.2">
      <c r="A13" s="1084"/>
      <c r="B13" s="1085"/>
      <c r="C13" s="2350"/>
      <c r="D13" s="2351"/>
      <c r="E13" s="2351"/>
      <c r="F13" s="2352"/>
      <c r="H13" s="1074"/>
    </row>
    <row r="14" spans="1:8" ht="19.5" customHeight="1" x14ac:dyDescent="0.2">
      <c r="A14" s="1084"/>
      <c r="B14" s="1085"/>
      <c r="C14" s="2350"/>
      <c r="D14" s="2351"/>
      <c r="E14" s="2351"/>
      <c r="F14" s="2352"/>
      <c r="H14" s="1074"/>
    </row>
    <row r="15" spans="1:8" ht="17.25" customHeight="1" x14ac:dyDescent="0.2">
      <c r="A15" s="1084"/>
      <c r="B15" s="1085"/>
      <c r="C15" s="2353"/>
      <c r="D15" s="2354"/>
      <c r="E15" s="2354"/>
      <c r="F15" s="2355"/>
      <c r="H15" s="1074"/>
    </row>
    <row r="16" spans="1:8" s="310" customFormat="1" ht="51.75" hidden="1" customHeight="1" x14ac:dyDescent="0.2">
      <c r="A16" s="2349" t="s">
        <v>1687</v>
      </c>
      <c r="B16" s="2349"/>
      <c r="C16" s="2349"/>
      <c r="D16" s="2349"/>
      <c r="E16" s="2349"/>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4" colorId="8" zoomScale="110" zoomScaleNormal="110" workbookViewId="0">
      <selection activeCell="C68" sqref="C6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71" t="s">
        <v>665</v>
      </c>
      <c r="B3" s="2372"/>
      <c r="C3" s="2372"/>
      <c r="D3" s="2373"/>
    </row>
    <row r="4" spans="1:4" x14ac:dyDescent="0.2">
      <c r="A4" s="1152" t="s">
        <v>1692</v>
      </c>
      <c r="B4" s="1153"/>
      <c r="C4" s="1154"/>
      <c r="D4" s="1155"/>
    </row>
    <row r="5" spans="1:4" ht="21" customHeight="1" x14ac:dyDescent="0.2">
      <c r="A5" s="1148"/>
      <c r="B5" s="1149">
        <v>1</v>
      </c>
      <c r="C5" s="1150" t="s">
        <v>1833</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82" t="s">
        <v>1504</v>
      </c>
      <c r="D7" s="2383"/>
    </row>
    <row r="8" spans="1:4" s="668" customFormat="1" ht="12.75" x14ac:dyDescent="0.2">
      <c r="A8" s="1138"/>
      <c r="B8" s="1093"/>
      <c r="C8" s="1096" t="s">
        <v>1503</v>
      </c>
      <c r="D8" s="1097"/>
    </row>
    <row r="9" spans="1:4" s="668" customFormat="1" ht="14.25" customHeight="1" x14ac:dyDescent="0.2">
      <c r="A9" s="1138"/>
      <c r="B9" s="1093">
        <f>B7+1</f>
        <v>4</v>
      </c>
      <c r="C9" s="1094" t="s">
        <v>1910</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74" t="s">
        <v>1008</v>
      </c>
      <c r="B15" s="2375"/>
      <c r="C15" s="2375"/>
      <c r="D15" s="2376"/>
    </row>
    <row r="16" spans="1:4" s="668" customFormat="1" ht="24" customHeight="1" x14ac:dyDescent="0.2">
      <c r="A16" s="2377" t="s">
        <v>663</v>
      </c>
      <c r="B16" s="2378"/>
      <c r="C16" s="2378"/>
      <c r="D16" s="2379"/>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86" t="s">
        <v>314</v>
      </c>
      <c r="D21" s="2387"/>
    </row>
    <row r="22" spans="1:10" ht="12.75" x14ac:dyDescent="0.2">
      <c r="A22" s="1139"/>
      <c r="B22" s="1140">
        <v>2</v>
      </c>
      <c r="C22" s="2384" t="s">
        <v>1524</v>
      </c>
      <c r="D22" s="2385"/>
    </row>
    <row r="23" spans="1:10" ht="12.2" customHeight="1" x14ac:dyDescent="0.2">
      <c r="A23" s="1139"/>
      <c r="B23" s="1140"/>
      <c r="C23" s="1141" t="s">
        <v>954</v>
      </c>
      <c r="D23" s="1142" t="str">
        <f>IF(COVER!O11="X","CASH",IF(COVER!O12="X","ACCRUAL ","PLEASE CHECK AN ACCOUNTING BASIS."))</f>
        <v xml:space="preserve">ACCRUAL </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8" t="s">
        <v>536</v>
      </c>
      <c r="D43" s="2389"/>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80" t="s">
        <v>784</v>
      </c>
      <c r="D56" s="2381"/>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1911</v>
      </c>
      <c r="D66" s="1125"/>
    </row>
    <row r="67" spans="1:4" x14ac:dyDescent="0.2">
      <c r="A67" s="1119"/>
      <c r="B67" s="1140"/>
      <c r="C67" s="1147" t="s">
        <v>1021</v>
      </c>
      <c r="D67" s="1125"/>
    </row>
    <row r="68" spans="1:4" x14ac:dyDescent="0.2">
      <c r="A68" s="1100"/>
      <c r="B68" s="1110"/>
      <c r="C68" s="1102" t="s">
        <v>1912</v>
      </c>
      <c r="D68" s="1124" t="str">
        <f>IF('Short-Term Long-Term Debt 24'!F49=SUM(,'Acct Summary 7-8'!C33:K33),"OK","ERROR!")</f>
        <v>ERROR!</v>
      </c>
    </row>
    <row r="69" spans="1:4" x14ac:dyDescent="0.2">
      <c r="A69" s="1100"/>
      <c r="B69" s="1110"/>
      <c r="C69" s="1102" t="s">
        <v>1913</v>
      </c>
      <c r="D69" s="1124" t="str">
        <f>IF('Expenditures 15-22'!H170&lt;&gt;'Short-Term Long-Term Debt 24'!H49,"ERROR!","OK")</f>
        <v>OK</v>
      </c>
    </row>
    <row r="70" spans="1:4" x14ac:dyDescent="0.2">
      <c r="A70" s="1098"/>
      <c r="B70" s="1120">
        <f>B66+1</f>
        <v>9</v>
      </c>
      <c r="C70" s="2380" t="s">
        <v>1696</v>
      </c>
      <c r="D70" s="2381"/>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1914</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1915</v>
      </c>
      <c r="D78" s="1124" t="str">
        <f>IF(ISNUMBER('Acct Summary 7-8'!C9),"OK","ENTRY IS REQUIRED!")</f>
        <v>OK</v>
      </c>
    </row>
    <row r="79" spans="1:4" x14ac:dyDescent="0.2">
      <c r="A79" s="1119"/>
      <c r="B79" s="1120">
        <f>B74+1+1</f>
        <v>12</v>
      </c>
      <c r="C79" s="1130" t="s">
        <v>1900</v>
      </c>
      <c r="D79" s="1131" t="str">
        <f>IF(OR(COVER!$B$6="X",'PCTC-OEPP 27-28'!F78&gt;0),"OK","PLEASE ENTER 9 MO ADA.")</f>
        <v>OK</v>
      </c>
    </row>
    <row r="80" spans="1:4" x14ac:dyDescent="0.2">
      <c r="A80" s="1098"/>
      <c r="B80" s="1120">
        <v>13</v>
      </c>
      <c r="C80" s="1130" t="s">
        <v>1916</v>
      </c>
      <c r="D80" s="1131" t="str">
        <f>IF('Contracts Paid in CY 29'!D142&gt;0,"OK","PLEASE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34049050004</v>
      </c>
    </row>
    <row r="3" spans="1:2" x14ac:dyDescent="0.2">
      <c r="A3" t="s">
        <v>956</v>
      </c>
      <c r="B3" s="138" t="str">
        <f>COVER!A15</f>
        <v>LAKE</v>
      </c>
    </row>
    <row r="4" spans="1:2" x14ac:dyDescent="0.2">
      <c r="A4" t="s">
        <v>1007</v>
      </c>
      <c r="B4" s="138" t="str">
        <f>COVER!A17</f>
        <v>Woodland CCSD 50</v>
      </c>
    </row>
    <row r="5" spans="1:2" x14ac:dyDescent="0.2">
      <c r="A5" t="s">
        <v>704</v>
      </c>
      <c r="B5" s="138">
        <f>COVER!A38</f>
        <v>0</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 xml:space="preserve">ACCRUAL </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No</v>
      </c>
    </row>
    <row r="15" spans="1:2" x14ac:dyDescent="0.2">
      <c r="A15" t="s">
        <v>577</v>
      </c>
      <c r="B15" s="138">
        <f>COVER!T23</f>
        <v>66.005340000000004</v>
      </c>
    </row>
    <row r="16" spans="1:2" x14ac:dyDescent="0.2">
      <c r="A16" t="s">
        <v>422</v>
      </c>
      <c r="B16" s="138" t="str">
        <f>COVER!T13</f>
        <v>EVANS, MARSHALL &amp; PEASE, P.C.</v>
      </c>
    </row>
    <row r="17" spans="1:2" x14ac:dyDescent="0.2">
      <c r="A17" t="s">
        <v>884</v>
      </c>
      <c r="B17" s="138" t="str">
        <f>COVER!T15</f>
        <v>CHRISTOPHER M. SCALET, CPA</v>
      </c>
    </row>
    <row r="18" spans="1:2" x14ac:dyDescent="0.2">
      <c r="A18" t="s">
        <v>1150</v>
      </c>
      <c r="B18" s="138" t="str">
        <f>COVER!T17</f>
        <v>1875 HICKS ROAD</v>
      </c>
    </row>
    <row r="19" spans="1:2" x14ac:dyDescent="0.2">
      <c r="A19" t="s">
        <v>886</v>
      </c>
      <c r="B19" s="138" t="str">
        <f>COVER!T25</f>
        <v>CHRIS@EMPCPA.COM</v>
      </c>
    </row>
    <row r="20" spans="1:2" x14ac:dyDescent="0.2">
      <c r="A20" t="s">
        <v>887</v>
      </c>
      <c r="B20" s="138" t="str">
        <f>COVER!T19</f>
        <v>ROLLING MEADOWS</v>
      </c>
    </row>
    <row r="21" spans="1:2" x14ac:dyDescent="0.2">
      <c r="A21" t="s">
        <v>479</v>
      </c>
      <c r="B21" s="138" t="str">
        <f>COVER!X19</f>
        <v>IL</v>
      </c>
    </row>
    <row r="22" spans="1:2" x14ac:dyDescent="0.2">
      <c r="A22" t="s">
        <v>888</v>
      </c>
      <c r="B22" s="138">
        <f>COVER!Z19</f>
        <v>60008</v>
      </c>
    </row>
    <row r="23" spans="1:2" x14ac:dyDescent="0.2">
      <c r="A23" t="s">
        <v>1152</v>
      </c>
      <c r="B23" s="138" t="str">
        <f>COVER!T21</f>
        <v>847-221-5700</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33512</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26514148</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45521979</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1587935</v>
      </c>
      <c r="D86" s="2" t="str">
        <f t="shared" si="0"/>
        <v>Error?</v>
      </c>
    </row>
    <row r="87" spans="1:4" x14ac:dyDescent="0.2">
      <c r="A87" s="10">
        <v>26</v>
      </c>
      <c r="D87" s="2" t="str">
        <f t="shared" si="0"/>
        <v>OK</v>
      </c>
    </row>
    <row r="88" spans="1:4" x14ac:dyDescent="0.2">
      <c r="A88" s="5">
        <v>27</v>
      </c>
      <c r="B88" s="138">
        <f>'Assets-Liab 5-6'!C32</f>
        <v>24975883</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26730333</v>
      </c>
      <c r="C91" s="2" t="s">
        <v>573</v>
      </c>
      <c r="D91" s="2" t="str">
        <f t="shared" si="0"/>
        <v>Error?</v>
      </c>
    </row>
    <row r="92" spans="1:4" x14ac:dyDescent="0.2">
      <c r="A92" s="5">
        <v>31</v>
      </c>
      <c r="B92" s="138">
        <f>'Assets-Liab 5-6'!C39</f>
        <v>18791646</v>
      </c>
      <c r="D92" s="2" t="str">
        <f t="shared" si="0"/>
        <v>Error?</v>
      </c>
    </row>
    <row r="93" spans="1:4" x14ac:dyDescent="0.2">
      <c r="A93" s="5">
        <v>32</v>
      </c>
      <c r="B93" s="138">
        <f>'Assets-Liab 5-6'!C41</f>
        <v>45521979</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2873352</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6320016</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28851</v>
      </c>
      <c r="D117" s="2" t="str">
        <f t="shared" si="0"/>
        <v>Error?</v>
      </c>
    </row>
    <row r="118" spans="1:4" x14ac:dyDescent="0.2">
      <c r="A118" s="10">
        <v>57</v>
      </c>
      <c r="D118" s="2" t="str">
        <f t="shared" si="0"/>
        <v>OK</v>
      </c>
    </row>
    <row r="119" spans="1:4" x14ac:dyDescent="0.2">
      <c r="A119" s="5">
        <v>58</v>
      </c>
      <c r="B119" s="138">
        <f>'Assets-Liab 5-6'!D32</f>
        <v>2695852</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2843365</v>
      </c>
      <c r="C122" s="2" t="s">
        <v>573</v>
      </c>
      <c r="D122" s="2" t="str">
        <f t="shared" si="0"/>
        <v>Error?</v>
      </c>
    </row>
    <row r="123" spans="1:4" x14ac:dyDescent="0.2">
      <c r="A123" s="5">
        <v>62</v>
      </c>
      <c r="B123" s="138">
        <f>'Assets-Liab 5-6'!D39</f>
        <v>3476651</v>
      </c>
      <c r="D123" s="2" t="str">
        <f t="shared" si="0"/>
        <v>Error?</v>
      </c>
    </row>
    <row r="124" spans="1:4" x14ac:dyDescent="0.2">
      <c r="A124" s="5">
        <v>63</v>
      </c>
      <c r="B124" s="138">
        <f>'Assets-Liab 5-6'!D41</f>
        <v>6320016</v>
      </c>
      <c r="C124" s="2" t="s">
        <v>573</v>
      </c>
      <c r="D124" s="2" t="str">
        <f t="shared" si="0"/>
        <v>Error?</v>
      </c>
    </row>
    <row r="125" spans="1:4" x14ac:dyDescent="0.2">
      <c r="A125" s="10">
        <v>64</v>
      </c>
      <c r="D125" s="2" t="str">
        <f t="shared" si="0"/>
        <v>OK</v>
      </c>
    </row>
    <row r="126" spans="1:4" x14ac:dyDescent="0.2">
      <c r="A126" s="5">
        <v>65</v>
      </c>
      <c r="B126" s="138">
        <f>'Assets-Liab 5-6'!E6</f>
        <v>2537928</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5198497</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2381149</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2381149</v>
      </c>
      <c r="C139" s="2" t="s">
        <v>573</v>
      </c>
      <c r="D139" s="2" t="str">
        <f t="shared" si="1"/>
        <v>Error?</v>
      </c>
    </row>
    <row r="140" spans="1:4" x14ac:dyDescent="0.2">
      <c r="A140" s="5">
        <v>79</v>
      </c>
      <c r="B140" s="138">
        <f>'Assets-Liab 5-6'!E39</f>
        <v>2817348</v>
      </c>
      <c r="D140" s="2" t="str">
        <f t="shared" si="1"/>
        <v>Error?</v>
      </c>
    </row>
    <row r="141" spans="1:4" x14ac:dyDescent="0.2">
      <c r="A141" s="5">
        <v>80</v>
      </c>
      <c r="B141" s="138">
        <f>'Assets-Liab 5-6'!E41</f>
        <v>5198497</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1144606</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5822319</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91799</v>
      </c>
      <c r="D164" s="2" t="str">
        <f t="shared" si="1"/>
        <v>Error?</v>
      </c>
    </row>
    <row r="165" spans="1:4" x14ac:dyDescent="0.2">
      <c r="A165" s="10">
        <v>104</v>
      </c>
      <c r="D165" s="2" t="str">
        <f t="shared" si="1"/>
        <v>OK</v>
      </c>
    </row>
    <row r="166" spans="1:4" x14ac:dyDescent="0.2">
      <c r="A166" s="5">
        <v>105</v>
      </c>
      <c r="B166" s="138">
        <f>'Assets-Liab 5-6'!F32</f>
        <v>1052290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1195428</v>
      </c>
      <c r="C169" s="2" t="s">
        <v>573</v>
      </c>
      <c r="D169" s="2" t="str">
        <f t="shared" si="1"/>
        <v>Error?</v>
      </c>
    </row>
    <row r="170" spans="1:4" x14ac:dyDescent="0.2">
      <c r="A170" s="5">
        <v>109</v>
      </c>
      <c r="B170" s="138">
        <f>'Assets-Liab 5-6'!F39</f>
        <v>4626891</v>
      </c>
      <c r="D170" s="2" t="str">
        <f t="shared" si="1"/>
        <v>Error?</v>
      </c>
    </row>
    <row r="171" spans="1:4" x14ac:dyDescent="0.2">
      <c r="A171" s="5">
        <v>110</v>
      </c>
      <c r="B171" s="138">
        <f>'Assets-Liab 5-6'!F41</f>
        <v>5822319</v>
      </c>
      <c r="C171" s="2" t="s">
        <v>573</v>
      </c>
      <c r="D171" s="2" t="str">
        <f t="shared" si="1"/>
        <v>Error?</v>
      </c>
    </row>
    <row r="172" spans="1:4" x14ac:dyDescent="0.2">
      <c r="A172" s="10">
        <v>111</v>
      </c>
      <c r="D172" s="2" t="str">
        <f t="shared" si="1"/>
        <v>OK</v>
      </c>
    </row>
    <row r="173" spans="1:4" x14ac:dyDescent="0.2">
      <c r="A173" s="5">
        <v>112</v>
      </c>
      <c r="B173" s="138">
        <f>'Assets-Liab 5-6'!G6</f>
        <v>1547520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3597563</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312836</v>
      </c>
      <c r="D184" s="2" t="str">
        <f t="shared" si="1"/>
        <v>Error?</v>
      </c>
    </row>
    <row r="185" spans="1:4" x14ac:dyDescent="0.2">
      <c r="A185" s="5">
        <v>124</v>
      </c>
      <c r="B185" s="138">
        <f>'Assets-Liab 5-6'!G32</f>
        <v>1435917</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1748753</v>
      </c>
      <c r="C188" s="2" t="s">
        <v>573</v>
      </c>
      <c r="D188" s="2" t="str">
        <f t="shared" si="1"/>
        <v>Error?</v>
      </c>
    </row>
    <row r="189" spans="1:4" x14ac:dyDescent="0.2">
      <c r="A189" s="5">
        <v>128</v>
      </c>
      <c r="B189" s="138">
        <f>'Assets-Liab 5-6'!G39</f>
        <v>1848810</v>
      </c>
      <c r="D189" s="2" t="str">
        <f t="shared" si="1"/>
        <v>Error?</v>
      </c>
    </row>
    <row r="190" spans="1:4" x14ac:dyDescent="0.2">
      <c r="A190" s="5">
        <v>129</v>
      </c>
      <c r="B190" s="138">
        <f>'Assets-Liab 5-6'!G41</f>
        <v>3597563</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551523</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551523</v>
      </c>
      <c r="D212" s="2" t="str">
        <f t="shared" si="2"/>
        <v>Error?</v>
      </c>
    </row>
    <row r="213" spans="1:4" x14ac:dyDescent="0.2">
      <c r="A213" s="12">
        <v>152</v>
      </c>
      <c r="B213" s="138">
        <f>'Assets-Liab 5-6'!H41</f>
        <v>551523</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4072993</v>
      </c>
      <c r="D273" s="2" t="str">
        <f t="shared" si="3"/>
        <v>Error?</v>
      </c>
    </row>
    <row r="274" spans="1:4" x14ac:dyDescent="0.2">
      <c r="A274" s="5">
        <v>213</v>
      </c>
      <c r="B274" s="138">
        <f>'Assets-Liab 5-6'!M17</f>
        <v>133915461</v>
      </c>
      <c r="D274" s="2" t="str">
        <f t="shared" si="3"/>
        <v>Error?</v>
      </c>
    </row>
    <row r="275" spans="1:4" x14ac:dyDescent="0.2">
      <c r="A275" s="5">
        <v>214</v>
      </c>
      <c r="B275" s="138">
        <f>'Assets-Liab 5-6'!M18</f>
        <v>0</v>
      </c>
      <c r="D275" s="2" t="str">
        <f t="shared" si="3"/>
        <v>Error?</v>
      </c>
    </row>
    <row r="276" spans="1:4" x14ac:dyDescent="0.2">
      <c r="A276" s="5">
        <v>215</v>
      </c>
      <c r="B276" s="138">
        <f>'Assets-Liab 5-6'!M19</f>
        <v>5720132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147537319</v>
      </c>
      <c r="C279" s="2" t="s">
        <v>573</v>
      </c>
      <c r="D279" s="2" t="str">
        <f t="shared" si="3"/>
        <v>Error?</v>
      </c>
    </row>
    <row r="280" spans="1:4" x14ac:dyDescent="0.2">
      <c r="A280" s="5">
        <v>219</v>
      </c>
      <c r="B280" s="138">
        <f>'Assets-Liab 5-6'!M40</f>
        <v>147537319</v>
      </c>
      <c r="D280" s="2" t="str">
        <f t="shared" si="3"/>
        <v>Error?</v>
      </c>
    </row>
    <row r="281" spans="1:4" x14ac:dyDescent="0.2">
      <c r="A281" s="5">
        <v>220</v>
      </c>
      <c r="B281" s="138">
        <f>'Assets-Liab 5-6'!M41</f>
        <v>147537319</v>
      </c>
      <c r="C281" s="2" t="s">
        <v>573</v>
      </c>
      <c r="D281" s="2" t="str">
        <f t="shared" si="3"/>
        <v>Error?</v>
      </c>
    </row>
    <row r="282" spans="1:4" x14ac:dyDescent="0.2">
      <c r="A282" s="5">
        <v>221</v>
      </c>
      <c r="B282" s="138">
        <f>'Assets-Liab 5-6'!N21</f>
        <v>2817348</v>
      </c>
      <c r="D282" s="2" t="str">
        <f t="shared" si="3"/>
        <v>Error?</v>
      </c>
    </row>
    <row r="283" spans="1:4" x14ac:dyDescent="0.2">
      <c r="A283" s="5">
        <v>222</v>
      </c>
      <c r="B283" s="138">
        <f>'Assets-Liab 5-6'!N22</f>
        <v>64234030</v>
      </c>
      <c r="D283" s="2" t="str">
        <f t="shared" si="3"/>
        <v>Error?</v>
      </c>
    </row>
    <row r="284" spans="1:4" x14ac:dyDescent="0.2">
      <c r="A284" s="5">
        <v>223</v>
      </c>
      <c r="B284" s="138">
        <f>'Assets-Liab 5-6'!N23</f>
        <v>67051378</v>
      </c>
      <c r="C284" s="2" t="s">
        <v>573</v>
      </c>
      <c r="D284" s="2" t="str">
        <f t="shared" si="3"/>
        <v>Error?</v>
      </c>
    </row>
    <row r="285" spans="1:4" x14ac:dyDescent="0.2">
      <c r="A285" s="5">
        <v>224</v>
      </c>
      <c r="B285" s="138">
        <f>'Assets-Liab 5-6'!N36</f>
        <v>67051378</v>
      </c>
      <c r="D285" s="2" t="str">
        <f t="shared" si="3"/>
        <v>Error?</v>
      </c>
    </row>
    <row r="286" spans="1:4" x14ac:dyDescent="0.2">
      <c r="A286" s="10">
        <v>225</v>
      </c>
      <c r="D286" s="2" t="str">
        <f t="shared" si="3"/>
        <v>OK</v>
      </c>
    </row>
    <row r="287" spans="1:4" x14ac:dyDescent="0.2">
      <c r="A287" s="5">
        <v>226</v>
      </c>
      <c r="B287" s="138">
        <f>'Assets-Liab 5-6'!N37</f>
        <v>67051378</v>
      </c>
      <c r="C287" s="2" t="s">
        <v>573</v>
      </c>
      <c r="D287" s="2" t="str">
        <f t="shared" si="3"/>
        <v>Error?</v>
      </c>
    </row>
    <row r="288" spans="1:4" x14ac:dyDescent="0.2">
      <c r="A288" s="5">
        <v>227</v>
      </c>
      <c r="B288" s="138">
        <f>'Assets-Liab 5-6'!N41</f>
        <v>67051378</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23905912</v>
      </c>
      <c r="D705" s="2" t="str">
        <f t="shared" si="10"/>
        <v>Error?</v>
      </c>
    </row>
    <row r="706" spans="1:4" x14ac:dyDescent="0.2">
      <c r="A706" s="5">
        <v>645</v>
      </c>
      <c r="B706" s="138">
        <f>'Expenditures 15-22'!C16</f>
        <v>447040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2783887</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272414</v>
      </c>
      <c r="D718" s="2" t="str">
        <f t="shared" si="10"/>
        <v>Error?</v>
      </c>
    </row>
    <row r="719" spans="1:4" x14ac:dyDescent="0.2">
      <c r="A719" s="5">
        <v>658</v>
      </c>
      <c r="B719" s="138">
        <f>'Expenditures 15-22'!C15</f>
        <v>219561</v>
      </c>
      <c r="D719" s="2" t="str">
        <f t="shared" si="10"/>
        <v>Error?</v>
      </c>
    </row>
    <row r="720" spans="1:4" x14ac:dyDescent="0.2">
      <c r="A720" s="5">
        <v>659</v>
      </c>
      <c r="B720" s="138">
        <f>'Expenditures 15-22'!C33</f>
        <v>33769565</v>
      </c>
      <c r="C720" s="2" t="s">
        <v>573</v>
      </c>
      <c r="D720" s="2" t="str">
        <f t="shared" si="10"/>
        <v>Error?</v>
      </c>
    </row>
    <row r="721" spans="1:4" x14ac:dyDescent="0.2">
      <c r="A721" s="5">
        <v>660</v>
      </c>
      <c r="B721" s="138">
        <f>'Expenditures 15-22'!C36</f>
        <v>1141896</v>
      </c>
      <c r="D721" s="2" t="str">
        <f t="shared" si="10"/>
        <v>Error?</v>
      </c>
    </row>
    <row r="722" spans="1:4" x14ac:dyDescent="0.2">
      <c r="A722" s="5">
        <v>661</v>
      </c>
      <c r="B722" s="138">
        <f>'Expenditures 15-22'!C37</f>
        <v>0</v>
      </c>
      <c r="D722" s="2" t="str">
        <f t="shared" si="10"/>
        <v>Error?</v>
      </c>
    </row>
    <row r="723" spans="1:4" x14ac:dyDescent="0.2">
      <c r="A723" s="5">
        <v>662</v>
      </c>
      <c r="B723" s="138">
        <f>'Expenditures 15-22'!C38</f>
        <v>1193606</v>
      </c>
      <c r="D723" s="2" t="str">
        <f t="shared" si="10"/>
        <v>Error?</v>
      </c>
    </row>
    <row r="724" spans="1:4" x14ac:dyDescent="0.2">
      <c r="A724" s="5">
        <v>663</v>
      </c>
      <c r="B724" s="138">
        <f>'Expenditures 15-22'!C39</f>
        <v>550018</v>
      </c>
      <c r="D724" s="2" t="str">
        <f t="shared" si="10"/>
        <v>Error?</v>
      </c>
    </row>
    <row r="725" spans="1:4" x14ac:dyDescent="0.2">
      <c r="A725" s="5">
        <v>664</v>
      </c>
      <c r="B725" s="138">
        <f>'Expenditures 15-22'!C40</f>
        <v>980181</v>
      </c>
      <c r="D725" s="2" t="str">
        <f t="shared" si="10"/>
        <v>Error?</v>
      </c>
    </row>
    <row r="726" spans="1:4" x14ac:dyDescent="0.2">
      <c r="A726" s="5">
        <v>665</v>
      </c>
      <c r="B726" s="138">
        <f>'Expenditures 15-22'!C41</f>
        <v>0</v>
      </c>
      <c r="D726" s="2" t="str">
        <f t="shared" si="10"/>
        <v>Error?</v>
      </c>
    </row>
    <row r="727" spans="1:4" x14ac:dyDescent="0.2">
      <c r="A727" s="5">
        <v>666</v>
      </c>
      <c r="B727" s="138">
        <f>'Expenditures 15-22'!C42</f>
        <v>3865701</v>
      </c>
      <c r="C727" s="2" t="s">
        <v>573</v>
      </c>
      <c r="D727" s="2" t="str">
        <f t="shared" si="10"/>
        <v>Error?</v>
      </c>
    </row>
    <row r="728" spans="1:4" x14ac:dyDescent="0.2">
      <c r="A728" s="5">
        <v>667</v>
      </c>
      <c r="B728" s="138">
        <f>'Expenditures 15-22'!C44</f>
        <v>1131694</v>
      </c>
      <c r="D728" s="2" t="str">
        <f t="shared" si="10"/>
        <v>Error?</v>
      </c>
    </row>
    <row r="729" spans="1:4" x14ac:dyDescent="0.2">
      <c r="A729" s="5">
        <v>668</v>
      </c>
      <c r="B729" s="138">
        <f>'Expenditures 15-22'!C45</f>
        <v>621947</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1753641</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440141</v>
      </c>
      <c r="D733" s="2" t="str">
        <f t="shared" si="10"/>
        <v>Error?</v>
      </c>
    </row>
    <row r="734" spans="1:4" x14ac:dyDescent="0.2">
      <c r="A734" s="5">
        <v>673</v>
      </c>
      <c r="B734" s="138">
        <f>'Expenditures 15-22'!C53</f>
        <v>1483364</v>
      </c>
      <c r="C734" s="2" t="s">
        <v>573</v>
      </c>
      <c r="D734" s="2" t="str">
        <f t="shared" si="10"/>
        <v>Error?</v>
      </c>
    </row>
    <row r="735" spans="1:4" x14ac:dyDescent="0.2">
      <c r="A735" s="5">
        <v>674</v>
      </c>
      <c r="B735" s="138">
        <f>'Expenditures 15-22'!C55</f>
        <v>2666584</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2666584</v>
      </c>
      <c r="C737" s="2" t="s">
        <v>573</v>
      </c>
      <c r="D737" s="2" t="str">
        <f t="shared" si="10"/>
        <v>Error?</v>
      </c>
    </row>
    <row r="738" spans="1:4" x14ac:dyDescent="0.2">
      <c r="A738" s="5">
        <v>677</v>
      </c>
      <c r="B738" s="138">
        <f>'Expenditures 15-22'!C59</f>
        <v>224720</v>
      </c>
      <c r="D738" s="2" t="str">
        <f t="shared" si="10"/>
        <v>Error?</v>
      </c>
    </row>
    <row r="739" spans="1:4" x14ac:dyDescent="0.2">
      <c r="A739" s="5">
        <v>678</v>
      </c>
      <c r="B739" s="138">
        <f>'Expenditures 15-22'!C60</f>
        <v>549017</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222530</v>
      </c>
      <c r="D742" s="2" t="str">
        <f t="shared" si="10"/>
        <v>Error?</v>
      </c>
    </row>
    <row r="743" spans="1:4" x14ac:dyDescent="0.2">
      <c r="A743" s="5">
        <v>682</v>
      </c>
      <c r="B743" s="138">
        <f>'Expenditures 15-22'!C64</f>
        <v>50937</v>
      </c>
      <c r="D743" s="2" t="str">
        <f t="shared" si="10"/>
        <v>Error?</v>
      </c>
    </row>
    <row r="744" spans="1:4" x14ac:dyDescent="0.2">
      <c r="A744" s="10">
        <v>683</v>
      </c>
      <c r="D744" s="2" t="str">
        <f t="shared" si="10"/>
        <v>OK</v>
      </c>
    </row>
    <row r="745" spans="1:4" x14ac:dyDescent="0.2">
      <c r="A745" s="5">
        <v>684</v>
      </c>
      <c r="B745" s="138">
        <f>'Expenditures 15-22'!C65</f>
        <v>1047204</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82233</v>
      </c>
      <c r="D748" s="2" t="str">
        <f t="shared" si="10"/>
        <v>Error?</v>
      </c>
    </row>
    <row r="749" spans="1:4" x14ac:dyDescent="0.2">
      <c r="A749" s="5">
        <v>688</v>
      </c>
      <c r="B749" s="138">
        <f>'Expenditures 15-22'!C70</f>
        <v>364650</v>
      </c>
      <c r="D749" s="2" t="str">
        <f t="shared" si="10"/>
        <v>Error?</v>
      </c>
    </row>
    <row r="750" spans="1:4" x14ac:dyDescent="0.2">
      <c r="A750" s="10">
        <v>689</v>
      </c>
      <c r="D750" s="2" t="str">
        <f t="shared" si="10"/>
        <v>OK</v>
      </c>
    </row>
    <row r="751" spans="1:4" x14ac:dyDescent="0.2">
      <c r="A751" s="5">
        <v>690</v>
      </c>
      <c r="B751" s="138">
        <f>'Expenditures 15-22'!C71</f>
        <v>959350</v>
      </c>
      <c r="D751" s="2" t="str">
        <f t="shared" si="10"/>
        <v>Error?</v>
      </c>
    </row>
    <row r="752" spans="1:4" x14ac:dyDescent="0.2">
      <c r="A752" s="10">
        <v>691</v>
      </c>
      <c r="D752" s="2" t="str">
        <f t="shared" si="10"/>
        <v>OK</v>
      </c>
    </row>
    <row r="753" spans="1:4" x14ac:dyDescent="0.2">
      <c r="A753" s="5">
        <v>692</v>
      </c>
      <c r="B753" s="138">
        <f>'Expenditures 15-22'!C72</f>
        <v>1406233</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12222727</v>
      </c>
      <c r="C755" s="2" t="s">
        <v>573</v>
      </c>
      <c r="D755" s="2" t="str">
        <f t="shared" si="10"/>
        <v>Error?</v>
      </c>
    </row>
    <row r="756" spans="1:4" x14ac:dyDescent="0.2">
      <c r="A756" s="5">
        <v>695</v>
      </c>
      <c r="B756" s="138">
        <f>'Expenditures 15-22'!C75</f>
        <v>37121</v>
      </c>
      <c r="D756" s="2" t="str">
        <f t="shared" si="10"/>
        <v>Error?</v>
      </c>
    </row>
    <row r="757" spans="1:4" x14ac:dyDescent="0.2">
      <c r="A757" s="5">
        <v>696</v>
      </c>
      <c r="B757" s="138">
        <f>'Expenditures 15-22'!C114</f>
        <v>46029413</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5174825</v>
      </c>
      <c r="D763" s="2" t="str">
        <f t="shared" si="10"/>
        <v>Error?</v>
      </c>
    </row>
    <row r="764" spans="1:4" x14ac:dyDescent="0.2">
      <c r="A764" s="5">
        <v>703</v>
      </c>
      <c r="B764" s="138">
        <f>'Expenditures 15-22'!D16</f>
        <v>73238</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653174</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3564</v>
      </c>
      <c r="D776" s="2" t="str">
        <f t="shared" si="11"/>
        <v>Error?</v>
      </c>
    </row>
    <row r="777" spans="1:4" x14ac:dyDescent="0.2">
      <c r="A777" s="5">
        <v>716</v>
      </c>
      <c r="B777" s="138">
        <f>'Expenditures 15-22'!D15</f>
        <v>5122</v>
      </c>
      <c r="D777" s="2" t="str">
        <f t="shared" si="11"/>
        <v>Error?</v>
      </c>
    </row>
    <row r="778" spans="1:4" x14ac:dyDescent="0.2">
      <c r="A778" s="5">
        <v>717</v>
      </c>
      <c r="B778" s="138">
        <f>'Expenditures 15-22'!D33</f>
        <v>7789490</v>
      </c>
      <c r="C778" s="2" t="s">
        <v>573</v>
      </c>
      <c r="D778" s="2" t="str">
        <f t="shared" si="11"/>
        <v>Error?</v>
      </c>
    </row>
    <row r="779" spans="1:4" x14ac:dyDescent="0.2">
      <c r="A779" s="5">
        <v>718</v>
      </c>
      <c r="B779" s="138">
        <f>'Expenditures 15-22'!D36</f>
        <v>207558</v>
      </c>
      <c r="D779" s="2" t="str">
        <f t="shared" si="11"/>
        <v>Error?</v>
      </c>
    </row>
    <row r="780" spans="1:4" x14ac:dyDescent="0.2">
      <c r="A780" s="5">
        <v>719</v>
      </c>
      <c r="B780" s="138">
        <f>'Expenditures 15-22'!D37</f>
        <v>0</v>
      </c>
      <c r="D780" s="2" t="str">
        <f t="shared" si="11"/>
        <v>Error?</v>
      </c>
    </row>
    <row r="781" spans="1:4" x14ac:dyDescent="0.2">
      <c r="A781" s="5">
        <v>720</v>
      </c>
      <c r="B781" s="138">
        <f>'Expenditures 15-22'!D38</f>
        <v>347342</v>
      </c>
      <c r="D781" s="2" t="str">
        <f t="shared" si="11"/>
        <v>Error?</v>
      </c>
    </row>
    <row r="782" spans="1:4" x14ac:dyDescent="0.2">
      <c r="A782" s="5">
        <v>721</v>
      </c>
      <c r="B782" s="138">
        <f>'Expenditures 15-22'!D39</f>
        <v>80727</v>
      </c>
      <c r="D782" s="2" t="str">
        <f t="shared" si="11"/>
        <v>Error?</v>
      </c>
    </row>
    <row r="783" spans="1:4" x14ac:dyDescent="0.2">
      <c r="A783" s="5">
        <v>722</v>
      </c>
      <c r="B783" s="138">
        <f>'Expenditures 15-22'!D40</f>
        <v>172114</v>
      </c>
      <c r="D783" s="2" t="str">
        <f t="shared" si="11"/>
        <v>Error?</v>
      </c>
    </row>
    <row r="784" spans="1:4" x14ac:dyDescent="0.2">
      <c r="A784" s="5">
        <v>723</v>
      </c>
      <c r="B784" s="138">
        <f>'Expenditures 15-22'!D41</f>
        <v>0</v>
      </c>
      <c r="D784" s="2" t="str">
        <f t="shared" si="11"/>
        <v>Error?</v>
      </c>
    </row>
    <row r="785" spans="1:4" x14ac:dyDescent="0.2">
      <c r="A785" s="5">
        <v>724</v>
      </c>
      <c r="B785" s="138">
        <f>'Expenditures 15-22'!D42</f>
        <v>807741</v>
      </c>
      <c r="C785" s="2" t="s">
        <v>573</v>
      </c>
      <c r="D785" s="2" t="str">
        <f t="shared" si="11"/>
        <v>Error?</v>
      </c>
    </row>
    <row r="786" spans="1:4" x14ac:dyDescent="0.2">
      <c r="A786" s="5">
        <v>725</v>
      </c>
      <c r="B786" s="138">
        <f>'Expenditures 15-22'!D44</f>
        <v>127969</v>
      </c>
      <c r="D786" s="2" t="str">
        <f t="shared" si="11"/>
        <v>Error?</v>
      </c>
    </row>
    <row r="787" spans="1:4" x14ac:dyDescent="0.2">
      <c r="A787" s="5">
        <v>726</v>
      </c>
      <c r="B787" s="138">
        <f>'Expenditures 15-22'!D45</f>
        <v>192625</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320594</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24077</v>
      </c>
      <c r="D791" s="2" t="str">
        <f t="shared" si="11"/>
        <v>Error?</v>
      </c>
    </row>
    <row r="792" spans="1:4" x14ac:dyDescent="0.2">
      <c r="A792" s="5">
        <v>731</v>
      </c>
      <c r="B792" s="138">
        <f>'Expenditures 15-22'!D53</f>
        <v>65067</v>
      </c>
      <c r="C792" s="2" t="s">
        <v>573</v>
      </c>
      <c r="D792" s="2" t="str">
        <f t="shared" si="11"/>
        <v>Error?</v>
      </c>
    </row>
    <row r="793" spans="1:4" x14ac:dyDescent="0.2">
      <c r="A793" s="5">
        <v>732</v>
      </c>
      <c r="B793" s="138">
        <f>'Expenditures 15-22'!D55</f>
        <v>324110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324110</v>
      </c>
      <c r="C795" s="2" t="s">
        <v>573</v>
      </c>
      <c r="D795" s="2" t="str">
        <f t="shared" si="11"/>
        <v>Error?</v>
      </c>
    </row>
    <row r="796" spans="1:4" x14ac:dyDescent="0.2">
      <c r="A796" s="5">
        <v>735</v>
      </c>
      <c r="B796" s="138">
        <f>'Expenditures 15-22'!D59</f>
        <v>9485</v>
      </c>
      <c r="D796" s="2" t="str">
        <f t="shared" si="11"/>
        <v>Error?</v>
      </c>
    </row>
    <row r="797" spans="1:4" x14ac:dyDescent="0.2">
      <c r="A797" s="5">
        <v>736</v>
      </c>
      <c r="B797" s="138">
        <f>'Expenditures 15-22'!D60</f>
        <v>68582</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5648</v>
      </c>
      <c r="D800" s="2" t="str">
        <f t="shared" si="11"/>
        <v>Error?</v>
      </c>
    </row>
    <row r="801" spans="1:4" x14ac:dyDescent="0.2">
      <c r="A801" s="5">
        <v>740</v>
      </c>
      <c r="B801" s="138">
        <f>'Expenditures 15-22'!D64</f>
        <v>22795</v>
      </c>
      <c r="D801" s="2" t="str">
        <f t="shared" si="11"/>
        <v>Error?</v>
      </c>
    </row>
    <row r="802" spans="1:4" x14ac:dyDescent="0.2">
      <c r="A802" s="10">
        <v>741</v>
      </c>
      <c r="D802" s="2" t="str">
        <f t="shared" si="11"/>
        <v>OK</v>
      </c>
    </row>
    <row r="803" spans="1:4" x14ac:dyDescent="0.2">
      <c r="A803" s="5">
        <v>742</v>
      </c>
      <c r="B803" s="138">
        <f>'Expenditures 15-22'!D65</f>
        <v>106510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3490</v>
      </c>
      <c r="D806" s="2" t="str">
        <f t="shared" si="11"/>
        <v>Error?</v>
      </c>
    </row>
    <row r="807" spans="1:4" x14ac:dyDescent="0.2">
      <c r="A807" s="5">
        <v>746</v>
      </c>
      <c r="B807" s="138">
        <f>'Expenditures 15-22'!D70</f>
        <v>7323</v>
      </c>
      <c r="D807" s="2" t="str">
        <f t="shared" si="11"/>
        <v>Error?</v>
      </c>
    </row>
    <row r="808" spans="1:4" x14ac:dyDescent="0.2">
      <c r="A808" s="10">
        <v>747</v>
      </c>
      <c r="D808" s="2" t="str">
        <f t="shared" si="11"/>
        <v>OK</v>
      </c>
    </row>
    <row r="809" spans="1:4" x14ac:dyDescent="0.2">
      <c r="A809" s="5">
        <v>748</v>
      </c>
      <c r="B809" s="138">
        <f>'Expenditures 15-22'!D71</f>
        <v>30998</v>
      </c>
      <c r="D809" s="2" t="str">
        <f t="shared" si="11"/>
        <v>Error?</v>
      </c>
    </row>
    <row r="810" spans="1:4" x14ac:dyDescent="0.2">
      <c r="A810" s="10">
        <v>749</v>
      </c>
      <c r="D810" s="2" t="str">
        <f t="shared" si="11"/>
        <v>OK</v>
      </c>
    </row>
    <row r="811" spans="1:4" x14ac:dyDescent="0.2">
      <c r="A811" s="5">
        <v>750</v>
      </c>
      <c r="B811" s="138">
        <f>'Expenditures 15-22'!D72</f>
        <v>41811</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1665833</v>
      </c>
      <c r="C813" s="2" t="s">
        <v>573</v>
      </c>
      <c r="D813" s="2" t="str">
        <f t="shared" si="11"/>
        <v>Error?</v>
      </c>
    </row>
    <row r="814" spans="1:4" x14ac:dyDescent="0.2">
      <c r="A814" s="5">
        <v>753</v>
      </c>
      <c r="B814" s="138">
        <f>'Expenditures 15-22'!D75</f>
        <v>7758</v>
      </c>
      <c r="D814" s="2" t="str">
        <f t="shared" si="11"/>
        <v>Error?</v>
      </c>
    </row>
    <row r="815" spans="1:4" x14ac:dyDescent="0.2">
      <c r="A815" s="5">
        <v>754</v>
      </c>
      <c r="B815" s="138">
        <f>'Expenditures 15-22'!D114</f>
        <v>9463081</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43842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2913</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20998</v>
      </c>
      <c r="D834" s="2" t="str">
        <f t="shared" si="12"/>
        <v>Error?</v>
      </c>
    </row>
    <row r="835" spans="1:4" x14ac:dyDescent="0.2">
      <c r="A835" s="5">
        <v>774</v>
      </c>
      <c r="B835" s="138">
        <f>'Expenditures 15-22'!E15</f>
        <v>0</v>
      </c>
      <c r="D835" s="2" t="str">
        <f t="shared" si="12"/>
        <v>Error?</v>
      </c>
    </row>
    <row r="836" spans="1:4" x14ac:dyDescent="0.2">
      <c r="A836" s="5">
        <v>775</v>
      </c>
      <c r="B836" s="138">
        <f>'Expenditures 15-22'!E33</f>
        <v>91228</v>
      </c>
      <c r="C836" s="2" t="s">
        <v>573</v>
      </c>
      <c r="D836" s="2" t="str">
        <f t="shared" si="12"/>
        <v>Error?</v>
      </c>
    </row>
    <row r="837" spans="1:4" x14ac:dyDescent="0.2">
      <c r="A837" s="5">
        <v>776</v>
      </c>
      <c r="B837" s="138">
        <f>'Expenditures 15-22'!E36</f>
        <v>86825</v>
      </c>
      <c r="D837" s="2" t="str">
        <f t="shared" si="12"/>
        <v>Error?</v>
      </c>
    </row>
    <row r="838" spans="1:4" x14ac:dyDescent="0.2">
      <c r="A838" s="5">
        <v>777</v>
      </c>
      <c r="B838" s="138">
        <f>'Expenditures 15-22'!E37</f>
        <v>0</v>
      </c>
      <c r="D838" s="2" t="str">
        <f t="shared" si="12"/>
        <v>Error?</v>
      </c>
    </row>
    <row r="839" spans="1:4" x14ac:dyDescent="0.2">
      <c r="A839" s="5">
        <v>778</v>
      </c>
      <c r="B839" s="138">
        <f>'Expenditures 15-22'!E38</f>
        <v>9228</v>
      </c>
      <c r="D839" s="2" t="str">
        <f t="shared" si="12"/>
        <v>Error?</v>
      </c>
    </row>
    <row r="840" spans="1:4" x14ac:dyDescent="0.2">
      <c r="A840" s="5">
        <v>779</v>
      </c>
      <c r="B840" s="138">
        <f>'Expenditures 15-22'!E39</f>
        <v>85275</v>
      </c>
      <c r="D840" s="2" t="str">
        <f t="shared" si="12"/>
        <v>Error?</v>
      </c>
    </row>
    <row r="841" spans="1:4" x14ac:dyDescent="0.2">
      <c r="A841" s="5">
        <v>780</v>
      </c>
      <c r="B841" s="138">
        <f>'Expenditures 15-22'!E40</f>
        <v>247396</v>
      </c>
      <c r="D841" s="2" t="str">
        <f t="shared" si="12"/>
        <v>Error?</v>
      </c>
    </row>
    <row r="842" spans="1:4" x14ac:dyDescent="0.2">
      <c r="A842" s="5">
        <v>781</v>
      </c>
      <c r="B842" s="138">
        <f>'Expenditures 15-22'!E41</f>
        <v>0</v>
      </c>
      <c r="D842" s="2" t="str">
        <f t="shared" si="12"/>
        <v>Error?</v>
      </c>
    </row>
    <row r="843" spans="1:4" x14ac:dyDescent="0.2">
      <c r="A843" s="5">
        <v>782</v>
      </c>
      <c r="B843" s="138">
        <f>'Expenditures 15-22'!E42</f>
        <v>428724</v>
      </c>
      <c r="C843" s="2" t="s">
        <v>573</v>
      </c>
      <c r="D843" s="2" t="str">
        <f t="shared" si="12"/>
        <v>Error?</v>
      </c>
    </row>
    <row r="844" spans="1:4" x14ac:dyDescent="0.2">
      <c r="A844" s="5">
        <v>783</v>
      </c>
      <c r="B844" s="138">
        <f>'Expenditures 15-22'!E44</f>
        <v>286836</v>
      </c>
      <c r="D844" s="2" t="str">
        <f t="shared" si="12"/>
        <v>Error?</v>
      </c>
    </row>
    <row r="845" spans="1:4" x14ac:dyDescent="0.2">
      <c r="A845" s="5">
        <v>784</v>
      </c>
      <c r="B845" s="138">
        <f>'Expenditures 15-22'!E45</f>
        <v>0</v>
      </c>
      <c r="D845" s="2" t="str">
        <f t="shared" si="12"/>
        <v>Error?</v>
      </c>
    </row>
    <row r="846" spans="1:4" x14ac:dyDescent="0.2">
      <c r="A846" s="5">
        <v>785</v>
      </c>
      <c r="B846" s="138">
        <f>'Expenditures 15-22'!E46</f>
        <v>126067</v>
      </c>
      <c r="D846" s="2" t="str">
        <f t="shared" si="12"/>
        <v>Error?</v>
      </c>
    </row>
    <row r="847" spans="1:4" x14ac:dyDescent="0.2">
      <c r="A847" s="5">
        <v>786</v>
      </c>
      <c r="B847" s="138">
        <f>'Expenditures 15-22'!E47</f>
        <v>412903</v>
      </c>
      <c r="C847" s="2" t="s">
        <v>573</v>
      </c>
      <c r="D847" s="2" t="str">
        <f t="shared" si="12"/>
        <v>Error?</v>
      </c>
    </row>
    <row r="848" spans="1:4" x14ac:dyDescent="0.2">
      <c r="A848" s="5">
        <v>787</v>
      </c>
      <c r="B848" s="138">
        <f>'Expenditures 15-22'!E49</f>
        <v>65249</v>
      </c>
      <c r="D848" s="2" t="str">
        <f t="shared" si="12"/>
        <v>Error?</v>
      </c>
    </row>
    <row r="849" spans="1:4" x14ac:dyDescent="0.2">
      <c r="A849" s="5">
        <v>788</v>
      </c>
      <c r="B849" s="138">
        <f>'Expenditures 15-22'!E50</f>
        <v>2674</v>
      </c>
      <c r="D849" s="2" t="str">
        <f t="shared" si="12"/>
        <v>Error?</v>
      </c>
    </row>
    <row r="850" spans="1:4" x14ac:dyDescent="0.2">
      <c r="A850" s="5">
        <v>789</v>
      </c>
      <c r="B850" s="138">
        <f>'Expenditures 15-22'!E53</f>
        <v>1395418</v>
      </c>
      <c r="C850" s="2" t="s">
        <v>573</v>
      </c>
      <c r="D850" s="2" t="str">
        <f t="shared" si="12"/>
        <v>Error?</v>
      </c>
    </row>
    <row r="851" spans="1:4" x14ac:dyDescent="0.2">
      <c r="A851" s="5">
        <v>790</v>
      </c>
      <c r="B851" s="138">
        <f>'Expenditures 15-22'!E55</f>
        <v>5475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5475</v>
      </c>
      <c r="C853" s="2" t="s">
        <v>573</v>
      </c>
      <c r="D853" s="2" t="str">
        <f t="shared" si="12"/>
        <v>Error?</v>
      </c>
    </row>
    <row r="854" spans="1:4" x14ac:dyDescent="0.2">
      <c r="A854" s="5">
        <v>793</v>
      </c>
      <c r="B854" s="138">
        <f>'Expenditures 15-22'!E59</f>
        <v>2949</v>
      </c>
      <c r="D854" s="2" t="str">
        <f t="shared" si="12"/>
        <v>Error?</v>
      </c>
    </row>
    <row r="855" spans="1:4" x14ac:dyDescent="0.2">
      <c r="A855" s="5">
        <v>794</v>
      </c>
      <c r="B855" s="138">
        <f>'Expenditures 15-22'!E60</f>
        <v>83977</v>
      </c>
      <c r="D855" s="2" t="str">
        <f t="shared" si="12"/>
        <v>Error?</v>
      </c>
    </row>
    <row r="856" spans="1:4" x14ac:dyDescent="0.2">
      <c r="A856" s="5">
        <v>795</v>
      </c>
      <c r="B856" s="138">
        <f>'Expenditures 15-22'!E61</f>
        <v>0</v>
      </c>
      <c r="D856" s="2" t="str">
        <f t="shared" si="12"/>
        <v>Error?</v>
      </c>
    </row>
    <row r="857" spans="1:4" x14ac:dyDescent="0.2">
      <c r="A857" s="5">
        <v>796</v>
      </c>
      <c r="B857" s="138">
        <f>'Expenditures 15-22'!E62</f>
        <v>34083</v>
      </c>
      <c r="D857" s="2" t="str">
        <f t="shared" si="12"/>
        <v>Error?</v>
      </c>
    </row>
    <row r="858" spans="1:4" x14ac:dyDescent="0.2">
      <c r="A858" s="5">
        <v>797</v>
      </c>
      <c r="B858" s="138">
        <f>'Expenditures 15-22'!E63</f>
        <v>1141214</v>
      </c>
      <c r="D858" s="2" t="str">
        <f t="shared" si="12"/>
        <v>Error?</v>
      </c>
    </row>
    <row r="859" spans="1:4" x14ac:dyDescent="0.2">
      <c r="A859" s="5">
        <v>798</v>
      </c>
      <c r="B859" s="138">
        <f>'Expenditures 15-22'!E64</f>
        <v>342805</v>
      </c>
      <c r="D859" s="2" t="str">
        <f t="shared" si="12"/>
        <v>Error?</v>
      </c>
    </row>
    <row r="860" spans="1:4" x14ac:dyDescent="0.2">
      <c r="A860" s="10">
        <v>799</v>
      </c>
      <c r="D860" s="2" t="str">
        <f t="shared" si="12"/>
        <v>OK</v>
      </c>
    </row>
    <row r="861" spans="1:4" x14ac:dyDescent="0.2">
      <c r="A861" s="5">
        <v>800</v>
      </c>
      <c r="B861" s="138">
        <f>'Expenditures 15-22'!E65</f>
        <v>1605028</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16229</v>
      </c>
      <c r="D864" s="2" t="str">
        <f t="shared" si="12"/>
        <v>Error?</v>
      </c>
    </row>
    <row r="865" spans="1:4" x14ac:dyDescent="0.2">
      <c r="A865" s="5">
        <v>804</v>
      </c>
      <c r="B865" s="138">
        <f>'Expenditures 15-22'!E70</f>
        <v>30421</v>
      </c>
      <c r="D865" s="2" t="str">
        <f t="shared" si="12"/>
        <v>Error?</v>
      </c>
    </row>
    <row r="866" spans="1:4" x14ac:dyDescent="0.2">
      <c r="A866" s="10">
        <v>805</v>
      </c>
      <c r="D866" s="2" t="str">
        <f t="shared" si="12"/>
        <v>OK</v>
      </c>
    </row>
    <row r="867" spans="1:4" x14ac:dyDescent="0.2">
      <c r="A867" s="5">
        <v>806</v>
      </c>
      <c r="B867" s="138">
        <f>'Expenditures 15-22'!E71</f>
        <v>561277</v>
      </c>
      <c r="D867" s="2" t="str">
        <f t="shared" si="12"/>
        <v>Error?</v>
      </c>
    </row>
    <row r="868" spans="1:4" x14ac:dyDescent="0.2">
      <c r="A868" s="10">
        <v>807</v>
      </c>
      <c r="D868" s="2" t="str">
        <f t="shared" si="12"/>
        <v>OK</v>
      </c>
    </row>
    <row r="869" spans="1:4" x14ac:dyDescent="0.2">
      <c r="A869" s="5">
        <v>808</v>
      </c>
      <c r="B869" s="138">
        <f>'Expenditures 15-22'!E72</f>
        <v>607927</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4455475</v>
      </c>
      <c r="C871" s="2" t="s">
        <v>573</v>
      </c>
      <c r="D871" s="2" t="str">
        <f t="shared" si="12"/>
        <v>Error?</v>
      </c>
    </row>
    <row r="872" spans="1:4" x14ac:dyDescent="0.2">
      <c r="A872" s="5">
        <v>811</v>
      </c>
      <c r="B872" s="138">
        <f>'Expenditures 15-22'!E75</f>
        <v>26458</v>
      </c>
      <c r="D872" s="2" t="str">
        <f t="shared" si="12"/>
        <v>Error?</v>
      </c>
    </row>
    <row r="873" spans="1:4" x14ac:dyDescent="0.2">
      <c r="A873" s="5">
        <v>812</v>
      </c>
      <c r="B873" s="138">
        <f>'Expenditures 15-22'!E114</f>
        <v>4795620</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1446393</v>
      </c>
      <c r="D879" s="2" t="str">
        <f t="shared" si="12"/>
        <v>Error?</v>
      </c>
    </row>
    <row r="880" spans="1:4" x14ac:dyDescent="0.2">
      <c r="A880" s="5">
        <v>819</v>
      </c>
      <c r="B880" s="138">
        <f>'Expenditures 15-22'!F16</f>
        <v>861</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11153</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1690</v>
      </c>
      <c r="D892" s="2" t="str">
        <f t="shared" si="12"/>
        <v>Error?</v>
      </c>
    </row>
    <row r="893" spans="1:4" x14ac:dyDescent="0.2">
      <c r="A893" s="5">
        <v>832</v>
      </c>
      <c r="B893" s="138">
        <f>'Expenditures 15-22'!F15</f>
        <v>852</v>
      </c>
      <c r="D893" s="2" t="str">
        <f t="shared" si="12"/>
        <v>Error?</v>
      </c>
    </row>
    <row r="894" spans="1:4" x14ac:dyDescent="0.2">
      <c r="A894" s="5">
        <v>833</v>
      </c>
      <c r="B894" s="138">
        <f>'Expenditures 15-22'!F33</f>
        <v>1550106</v>
      </c>
      <c r="C894" s="2" t="s">
        <v>573</v>
      </c>
      <c r="D894" s="2" t="str">
        <f t="shared" si="12"/>
        <v>Error?</v>
      </c>
    </row>
    <row r="895" spans="1:4" x14ac:dyDescent="0.2">
      <c r="A895" s="5">
        <v>834</v>
      </c>
      <c r="B895" s="138">
        <f>'Expenditures 15-22'!F36</f>
        <v>3803</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20269</v>
      </c>
      <c r="D897" s="2" t="str">
        <f t="shared" si="13"/>
        <v>Error?</v>
      </c>
    </row>
    <row r="898" spans="1:4" x14ac:dyDescent="0.2">
      <c r="A898" s="5">
        <v>837</v>
      </c>
      <c r="B898" s="138">
        <f>'Expenditures 15-22'!F39</f>
        <v>9143</v>
      </c>
      <c r="D898" s="2" t="str">
        <f t="shared" si="13"/>
        <v>Error?</v>
      </c>
    </row>
    <row r="899" spans="1:4" x14ac:dyDescent="0.2">
      <c r="A899" s="5">
        <v>838</v>
      </c>
      <c r="B899" s="138">
        <f>'Expenditures 15-22'!F40</f>
        <v>13158</v>
      </c>
      <c r="D899" s="2" t="str">
        <f t="shared" si="13"/>
        <v>Error?</v>
      </c>
    </row>
    <row r="900" spans="1:4" x14ac:dyDescent="0.2">
      <c r="A900" s="5">
        <v>839</v>
      </c>
      <c r="B900" s="138">
        <f>'Expenditures 15-22'!F41</f>
        <v>0</v>
      </c>
      <c r="D900" s="2" t="str">
        <f t="shared" si="13"/>
        <v>Error?</v>
      </c>
    </row>
    <row r="901" spans="1:4" x14ac:dyDescent="0.2">
      <c r="A901" s="5">
        <v>840</v>
      </c>
      <c r="B901" s="138">
        <f>'Expenditures 15-22'!F42</f>
        <v>46373</v>
      </c>
      <c r="C901" s="2" t="s">
        <v>573</v>
      </c>
      <c r="D901" s="2" t="str">
        <f t="shared" si="13"/>
        <v>Error?</v>
      </c>
    </row>
    <row r="902" spans="1:4" x14ac:dyDescent="0.2">
      <c r="A902" s="5">
        <v>841</v>
      </c>
      <c r="B902" s="138">
        <f>'Expenditures 15-22'!F44</f>
        <v>6975</v>
      </c>
      <c r="D902" s="2" t="str">
        <f t="shared" si="13"/>
        <v>Error?</v>
      </c>
    </row>
    <row r="903" spans="1:4" x14ac:dyDescent="0.2">
      <c r="A903" s="5">
        <v>842</v>
      </c>
      <c r="B903" s="138">
        <f>'Expenditures 15-22'!F45</f>
        <v>59130</v>
      </c>
      <c r="D903" s="2" t="str">
        <f t="shared" si="13"/>
        <v>Error?</v>
      </c>
    </row>
    <row r="904" spans="1:4" x14ac:dyDescent="0.2">
      <c r="A904" s="5">
        <v>843</v>
      </c>
      <c r="B904" s="138">
        <f>'Expenditures 15-22'!F46</f>
        <v>1111</v>
      </c>
      <c r="D904" s="2" t="str">
        <f t="shared" si="13"/>
        <v>Error?</v>
      </c>
    </row>
    <row r="905" spans="1:4" x14ac:dyDescent="0.2">
      <c r="A905" s="5">
        <v>844</v>
      </c>
      <c r="B905" s="138">
        <f>'Expenditures 15-22'!F47</f>
        <v>67216</v>
      </c>
      <c r="C905" s="2" t="s">
        <v>573</v>
      </c>
      <c r="D905" s="2" t="str">
        <f t="shared" si="13"/>
        <v>Error?</v>
      </c>
    </row>
    <row r="906" spans="1:4" x14ac:dyDescent="0.2">
      <c r="A906" s="5">
        <v>845</v>
      </c>
      <c r="B906" s="138">
        <f>'Expenditures 15-22'!F49</f>
        <v>4959</v>
      </c>
      <c r="D906" s="2" t="str">
        <f t="shared" si="13"/>
        <v>Error?</v>
      </c>
    </row>
    <row r="907" spans="1:4" x14ac:dyDescent="0.2">
      <c r="A907" s="5">
        <v>846</v>
      </c>
      <c r="B907" s="138">
        <f>'Expenditures 15-22'!F50</f>
        <v>4030</v>
      </c>
      <c r="D907" s="2" t="str">
        <f t="shared" si="13"/>
        <v>Error?</v>
      </c>
    </row>
    <row r="908" spans="1:4" x14ac:dyDescent="0.2">
      <c r="A908" s="5">
        <v>847</v>
      </c>
      <c r="B908" s="138">
        <f>'Expenditures 15-22'!F53</f>
        <v>15119</v>
      </c>
      <c r="C908" s="2" t="s">
        <v>573</v>
      </c>
      <c r="D908" s="2" t="str">
        <f t="shared" si="13"/>
        <v>Error?</v>
      </c>
    </row>
    <row r="909" spans="1:4" x14ac:dyDescent="0.2">
      <c r="A909" s="5">
        <v>848</v>
      </c>
      <c r="B909" s="138">
        <f>'Expenditures 15-22'!F55</f>
        <v>8483</v>
      </c>
      <c r="D909" s="2" t="str">
        <f t="shared" si="13"/>
        <v>Error?</v>
      </c>
    </row>
    <row r="910" spans="1:4" x14ac:dyDescent="0.2">
      <c r="A910" s="5">
        <v>849</v>
      </c>
      <c r="B910" s="138">
        <f>'Expenditures 15-22'!F56</f>
        <v>0</v>
      </c>
      <c r="D910" s="2" t="str">
        <f t="shared" si="13"/>
        <v>Error?</v>
      </c>
    </row>
    <row r="911" spans="1:4" x14ac:dyDescent="0.2">
      <c r="A911" s="5">
        <v>850</v>
      </c>
      <c r="B911" s="138">
        <f>'Expenditures 15-22'!F57</f>
        <v>8483</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6248</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10550</v>
      </c>
      <c r="D916" s="2" t="str">
        <f t="shared" si="13"/>
        <v>Error?</v>
      </c>
    </row>
    <row r="917" spans="1:4" x14ac:dyDescent="0.2">
      <c r="A917" s="5">
        <v>856</v>
      </c>
      <c r="B917" s="138">
        <f>'Expenditures 15-22'!F64</f>
        <v>71595</v>
      </c>
      <c r="D917" s="2" t="str">
        <f t="shared" si="13"/>
        <v>Error?</v>
      </c>
    </row>
    <row r="918" spans="1:4" x14ac:dyDescent="0.2">
      <c r="A918" s="10">
        <v>857</v>
      </c>
      <c r="D918" s="2" t="str">
        <f t="shared" si="13"/>
        <v>OK</v>
      </c>
    </row>
    <row r="919" spans="1:4" x14ac:dyDescent="0.2">
      <c r="A919" s="5">
        <v>858</v>
      </c>
      <c r="B919" s="138">
        <f>'Expenditures 15-22'!F65</f>
        <v>88393</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920</v>
      </c>
      <c r="D922" s="2" t="str">
        <f t="shared" si="13"/>
        <v>Error?</v>
      </c>
    </row>
    <row r="923" spans="1:4" x14ac:dyDescent="0.2">
      <c r="A923" s="5">
        <v>862</v>
      </c>
      <c r="B923" s="138">
        <f>'Expenditures 15-22'!F70</f>
        <v>1940</v>
      </c>
      <c r="D923" s="2" t="str">
        <f t="shared" si="13"/>
        <v>Error?</v>
      </c>
    </row>
    <row r="924" spans="1:4" x14ac:dyDescent="0.2">
      <c r="A924" s="10">
        <v>863</v>
      </c>
      <c r="D924" s="2" t="str">
        <f t="shared" si="13"/>
        <v>OK</v>
      </c>
    </row>
    <row r="925" spans="1:4" x14ac:dyDescent="0.2">
      <c r="A925" s="5">
        <v>864</v>
      </c>
      <c r="B925" s="138">
        <f>'Expenditures 15-22'!F71</f>
        <v>88939</v>
      </c>
      <c r="D925" s="2" t="str">
        <f t="shared" si="13"/>
        <v>Error?</v>
      </c>
    </row>
    <row r="926" spans="1:4" x14ac:dyDescent="0.2">
      <c r="A926" s="10">
        <v>865</v>
      </c>
      <c r="D926" s="2" t="str">
        <f t="shared" si="13"/>
        <v>OK</v>
      </c>
    </row>
    <row r="927" spans="1:4" x14ac:dyDescent="0.2">
      <c r="A927" s="5">
        <v>866</v>
      </c>
      <c r="B927" s="138">
        <f>'Expenditures 15-22'!F72</f>
        <v>91799</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317383</v>
      </c>
      <c r="C929" s="2" t="s">
        <v>573</v>
      </c>
      <c r="D929" s="2" t="str">
        <f t="shared" si="13"/>
        <v>Error?</v>
      </c>
    </row>
    <row r="930" spans="1:4" x14ac:dyDescent="0.2">
      <c r="A930" s="5">
        <v>869</v>
      </c>
      <c r="B930" s="138">
        <f>'Expenditures 15-22'!F75</f>
        <v>7532</v>
      </c>
      <c r="D930" s="2" t="str">
        <f t="shared" si="13"/>
        <v>Error?</v>
      </c>
    </row>
    <row r="931" spans="1:4" x14ac:dyDescent="0.2">
      <c r="A931" s="5">
        <v>870</v>
      </c>
      <c r="B931" s="138">
        <f>'Expenditures 15-22'!F114</f>
        <v>1875021</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527261</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529431</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4035</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4035</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2887</v>
      </c>
      <c r="D961" s="2" t="str">
        <f t="shared" si="14"/>
        <v>Error?</v>
      </c>
    </row>
    <row r="962" spans="1:4" x14ac:dyDescent="0.2">
      <c r="A962" s="5">
        <v>901</v>
      </c>
      <c r="B962" s="138">
        <f>'Expenditures 15-22'!G46</f>
        <v>0</v>
      </c>
      <c r="D962" s="2" t="str">
        <f t="shared" si="14"/>
        <v>Error?</v>
      </c>
    </row>
    <row r="963" spans="1:4" x14ac:dyDescent="0.2">
      <c r="A963" s="5">
        <v>902</v>
      </c>
      <c r="B963" s="138">
        <f>'Expenditures 15-22'!G47</f>
        <v>2887</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25048</v>
      </c>
      <c r="D972" s="2" t="str">
        <f t="shared" si="14"/>
        <v>Error?</v>
      </c>
    </row>
    <row r="973" spans="1:4" x14ac:dyDescent="0.2">
      <c r="A973" s="5">
        <v>912</v>
      </c>
      <c r="B973" s="138">
        <f>'Expenditures 15-22'!G62</f>
        <v>0</v>
      </c>
      <c r="D973" s="2" t="str">
        <f t="shared" si="14"/>
        <v>Error?</v>
      </c>
    </row>
    <row r="974" spans="1:4" x14ac:dyDescent="0.2">
      <c r="A974" s="5">
        <v>913</v>
      </c>
      <c r="B974" s="138">
        <f>'Expenditures 15-22'!G63</f>
        <v>3864</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28912</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30260</v>
      </c>
      <c r="D983" s="2" t="str">
        <f t="shared" si="14"/>
        <v>Error?</v>
      </c>
    </row>
    <row r="984" spans="1:4" x14ac:dyDescent="0.2">
      <c r="A984" s="10">
        <v>923</v>
      </c>
      <c r="D984" s="2" t="str">
        <f t="shared" si="14"/>
        <v>OK</v>
      </c>
    </row>
    <row r="985" spans="1:4" x14ac:dyDescent="0.2">
      <c r="A985" s="5">
        <v>924</v>
      </c>
      <c r="B985" s="138">
        <f>'Expenditures 15-22'!G72</f>
        <v>30260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66094</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595525</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4141</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1151</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1106618</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432</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432</v>
      </c>
      <c r="C1017" s="2" t="s">
        <v>573</v>
      </c>
      <c r="D1017" s="2" t="str">
        <f t="shared" si="14"/>
        <v>Error?</v>
      </c>
    </row>
    <row r="1018" spans="1:4" x14ac:dyDescent="0.2">
      <c r="A1018" s="5">
        <v>957</v>
      </c>
      <c r="B1018" s="138">
        <f>'Expenditures 15-22'!H44</f>
        <v>5420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5420</v>
      </c>
      <c r="C1021" s="2" t="s">
        <v>573</v>
      </c>
      <c r="D1021" s="2" t="str">
        <f t="shared" si="14"/>
        <v>Error?</v>
      </c>
    </row>
    <row r="1022" spans="1:4" x14ac:dyDescent="0.2">
      <c r="A1022" s="5">
        <v>961</v>
      </c>
      <c r="B1022" s="138">
        <f>'Expenditures 15-22'!H49</f>
        <v>31214</v>
      </c>
      <c r="D1022" s="2" t="str">
        <f t="shared" si="14"/>
        <v>Error?</v>
      </c>
    </row>
    <row r="1023" spans="1:4" x14ac:dyDescent="0.2">
      <c r="A1023" s="5">
        <v>962</v>
      </c>
      <c r="B1023" s="138">
        <f>'Expenditures 15-22'!H50</f>
        <v>11486</v>
      </c>
      <c r="D1023" s="2" t="str">
        <f t="shared" ref="D1023:D1086" si="15">IF(ISBLANK(B1023),"OK",IF(A1023-B1023=0,"OK","Error?"))</f>
        <v>Error?</v>
      </c>
    </row>
    <row r="1024" spans="1:4" x14ac:dyDescent="0.2">
      <c r="A1024" s="5">
        <v>963</v>
      </c>
      <c r="B1024" s="138">
        <f>'Expenditures 15-22'!H53</f>
        <v>45721</v>
      </c>
      <c r="C1024" s="2" t="s">
        <v>573</v>
      </c>
      <c r="D1024" s="2" t="str">
        <f t="shared" si="15"/>
        <v>Error?</v>
      </c>
    </row>
    <row r="1025" spans="1:4" x14ac:dyDescent="0.2">
      <c r="A1025" s="5">
        <v>964</v>
      </c>
      <c r="B1025" s="138">
        <f>'Expenditures 15-22'!H55</f>
        <v>14743</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14743</v>
      </c>
      <c r="C1027" s="2" t="s">
        <v>573</v>
      </c>
      <c r="D1027" s="2" t="str">
        <f t="shared" si="15"/>
        <v>Error?</v>
      </c>
    </row>
    <row r="1028" spans="1:4" x14ac:dyDescent="0.2">
      <c r="A1028" s="5">
        <v>967</v>
      </c>
      <c r="B1028" s="138">
        <f>'Expenditures 15-22'!H59</f>
        <v>1445</v>
      </c>
      <c r="D1028" s="2" t="str">
        <f t="shared" si="15"/>
        <v>Error?</v>
      </c>
    </row>
    <row r="1029" spans="1:4" x14ac:dyDescent="0.2">
      <c r="A1029" s="5">
        <v>968</v>
      </c>
      <c r="B1029" s="138">
        <f>'Expenditures 15-22'!H60</f>
        <v>58</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1240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2743</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410</v>
      </c>
      <c r="D1038" s="2" t="str">
        <f t="shared" si="15"/>
        <v>Error?</v>
      </c>
    </row>
    <row r="1039" spans="1:4" x14ac:dyDescent="0.2">
      <c r="A1039" s="5">
        <v>978</v>
      </c>
      <c r="B1039" s="138">
        <f>'Expenditures 15-22'!H70</f>
        <v>5110</v>
      </c>
      <c r="D1039" s="2" t="str">
        <f t="shared" si="15"/>
        <v>Error?</v>
      </c>
    </row>
    <row r="1040" spans="1:4" x14ac:dyDescent="0.2">
      <c r="A1040" s="10">
        <v>979</v>
      </c>
      <c r="D1040" s="2" t="str">
        <f t="shared" si="15"/>
        <v>OK</v>
      </c>
    </row>
    <row r="1041" spans="1:4" x14ac:dyDescent="0.2">
      <c r="A1041" s="5">
        <v>980</v>
      </c>
      <c r="B1041" s="138">
        <f>'Expenditures 15-22'!H71</f>
        <v>3410</v>
      </c>
      <c r="D1041" s="2" t="str">
        <f t="shared" si="15"/>
        <v>Error?</v>
      </c>
    </row>
    <row r="1042" spans="1:4" x14ac:dyDescent="0.2">
      <c r="A1042" s="10">
        <v>981</v>
      </c>
      <c r="D1042" s="2" t="str">
        <f t="shared" si="15"/>
        <v>OK</v>
      </c>
    </row>
    <row r="1043" spans="1:4" x14ac:dyDescent="0.2">
      <c r="A1043" s="5">
        <v>982</v>
      </c>
      <c r="B1043" s="138">
        <f>'Expenditures 15-22'!H72</f>
        <v>8930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77989</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1527818</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2712425</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31136730</v>
      </c>
      <c r="C1093" s="2" t="s">
        <v>573</v>
      </c>
      <c r="D1093" s="2" t="str">
        <f t="shared" si="16"/>
        <v>Error?</v>
      </c>
    </row>
    <row r="1094" spans="1:4" x14ac:dyDescent="0.2">
      <c r="A1094" s="5">
        <v>1033</v>
      </c>
      <c r="B1094" s="138">
        <f>'Expenditures 15-22'!K16</f>
        <v>521139</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3451127</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299817</v>
      </c>
      <c r="C1106" s="2" t="s">
        <v>573</v>
      </c>
      <c r="D1106" s="2" t="str">
        <f t="shared" si="16"/>
        <v>Error?</v>
      </c>
    </row>
    <row r="1107" spans="1:4" x14ac:dyDescent="0.2">
      <c r="A1107" s="5">
        <v>1046</v>
      </c>
      <c r="B1107" s="138">
        <f>'Expenditures 15-22'!K15</f>
        <v>225535</v>
      </c>
      <c r="C1107" s="2" t="s">
        <v>573</v>
      </c>
      <c r="D1107" s="2" t="str">
        <f t="shared" si="16"/>
        <v>Error?</v>
      </c>
    </row>
    <row r="1108" spans="1:4" x14ac:dyDescent="0.2">
      <c r="A1108" s="5">
        <v>1047</v>
      </c>
      <c r="B1108" s="138">
        <f>'Expenditures 15-22'!K33</f>
        <v>44877198</v>
      </c>
      <c r="C1108" s="2" t="s">
        <v>573</v>
      </c>
      <c r="D1108" s="2" t="str">
        <f t="shared" si="16"/>
        <v>Error?</v>
      </c>
    </row>
    <row r="1109" spans="1:4" x14ac:dyDescent="0.2">
      <c r="A1109" s="5">
        <v>1048</v>
      </c>
      <c r="B1109" s="138">
        <f>'Expenditures 15-22'!K36</f>
        <v>1440082</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1577957</v>
      </c>
      <c r="C1111" s="2" t="s">
        <v>573</v>
      </c>
      <c r="D1111" s="2" t="str">
        <f t="shared" si="16"/>
        <v>Error?</v>
      </c>
    </row>
    <row r="1112" spans="1:4" x14ac:dyDescent="0.2">
      <c r="A1112" s="5">
        <v>1051</v>
      </c>
      <c r="B1112" s="138">
        <f>'Expenditures 15-22'!K39</f>
        <v>725163</v>
      </c>
      <c r="C1112" s="2" t="s">
        <v>573</v>
      </c>
      <c r="D1112" s="2" t="str">
        <f t="shared" si="16"/>
        <v>Error?</v>
      </c>
    </row>
    <row r="1113" spans="1:4" x14ac:dyDescent="0.2">
      <c r="A1113" s="5">
        <v>1052</v>
      </c>
      <c r="B1113" s="138">
        <f>'Expenditures 15-22'!K40</f>
        <v>1412849</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5156051</v>
      </c>
      <c r="C1115" s="2" t="s">
        <v>573</v>
      </c>
      <c r="D1115" s="2" t="str">
        <f t="shared" si="16"/>
        <v>Error?</v>
      </c>
    </row>
    <row r="1116" spans="1:4" x14ac:dyDescent="0.2">
      <c r="A1116" s="5">
        <v>1055</v>
      </c>
      <c r="B1116" s="138">
        <f>'Expenditures 15-22'!K44</f>
        <v>1558894</v>
      </c>
      <c r="C1116" s="2" t="s">
        <v>573</v>
      </c>
      <c r="D1116" s="2" t="str">
        <f t="shared" si="16"/>
        <v>Error?</v>
      </c>
    </row>
    <row r="1117" spans="1:4" x14ac:dyDescent="0.2">
      <c r="A1117" s="5">
        <v>1056</v>
      </c>
      <c r="B1117" s="138">
        <f>'Expenditures 15-22'!K45</f>
        <v>876589</v>
      </c>
      <c r="C1117" s="2" t="s">
        <v>573</v>
      </c>
      <c r="D1117" s="2" t="str">
        <f t="shared" si="16"/>
        <v>Error?</v>
      </c>
    </row>
    <row r="1118" spans="1:4" x14ac:dyDescent="0.2">
      <c r="A1118" s="5">
        <v>1057</v>
      </c>
      <c r="B1118" s="138">
        <f>'Expenditures 15-22'!K46</f>
        <v>127178</v>
      </c>
      <c r="C1118" s="2" t="s">
        <v>573</v>
      </c>
      <c r="D1118" s="2" t="str">
        <f t="shared" si="16"/>
        <v>Error?</v>
      </c>
    </row>
    <row r="1119" spans="1:4" x14ac:dyDescent="0.2">
      <c r="A1119" s="5">
        <v>1058</v>
      </c>
      <c r="B1119" s="138">
        <f>'Expenditures 15-22'!K47</f>
        <v>2562661</v>
      </c>
      <c r="C1119" s="2" t="s">
        <v>573</v>
      </c>
      <c r="D1119" s="2" t="str">
        <f t="shared" si="16"/>
        <v>Error?</v>
      </c>
    </row>
    <row r="1120" spans="1:4" x14ac:dyDescent="0.2">
      <c r="A1120" s="5">
        <v>1059</v>
      </c>
      <c r="B1120" s="138">
        <f>'Expenditures 15-22'!K49</f>
        <v>101422</v>
      </c>
      <c r="C1120" s="2" t="s">
        <v>573</v>
      </c>
      <c r="D1120" s="2" t="str">
        <f t="shared" si="16"/>
        <v>Error?</v>
      </c>
    </row>
    <row r="1121" spans="1:4" x14ac:dyDescent="0.2">
      <c r="A1121" s="5">
        <v>1060</v>
      </c>
      <c r="B1121" s="138">
        <f>'Expenditures 15-22'!K50</f>
        <v>482408</v>
      </c>
      <c r="C1121" s="2" t="s">
        <v>573</v>
      </c>
      <c r="D1121" s="2" t="str">
        <f t="shared" si="16"/>
        <v>Error?</v>
      </c>
    </row>
    <row r="1122" spans="1:4" x14ac:dyDescent="0.2">
      <c r="A1122" s="5">
        <v>1061</v>
      </c>
      <c r="B1122" s="138">
        <f>'Expenditures 15-22'!K53</f>
        <v>3004689</v>
      </c>
      <c r="C1122" s="2" t="s">
        <v>573</v>
      </c>
      <c r="D1122" s="2" t="str">
        <f t="shared" si="16"/>
        <v>Error?</v>
      </c>
    </row>
    <row r="1123" spans="1:4" x14ac:dyDescent="0.2">
      <c r="A1123" s="5">
        <v>1062</v>
      </c>
      <c r="B1123" s="138">
        <f>'Expenditures 15-22'!K55</f>
        <v>3023905</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3023905</v>
      </c>
      <c r="C1125" s="2" t="s">
        <v>573</v>
      </c>
      <c r="D1125" s="2" t="str">
        <f t="shared" si="16"/>
        <v>Error?</v>
      </c>
    </row>
    <row r="1126" spans="1:4" x14ac:dyDescent="0.2">
      <c r="A1126" s="5">
        <v>1065</v>
      </c>
      <c r="B1126" s="138">
        <f>'Expenditures 15-22'!K59</f>
        <v>238599</v>
      </c>
      <c r="C1126" s="2" t="s">
        <v>573</v>
      </c>
      <c r="D1126" s="2" t="str">
        <f t="shared" si="16"/>
        <v>Error?</v>
      </c>
    </row>
    <row r="1127" spans="1:4" x14ac:dyDescent="0.2">
      <c r="A1127" s="5">
        <v>1066</v>
      </c>
      <c r="B1127" s="138">
        <f>'Expenditures 15-22'!K60</f>
        <v>707882</v>
      </c>
      <c r="C1127" s="2" t="s">
        <v>573</v>
      </c>
      <c r="D1127" s="2" t="str">
        <f t="shared" si="16"/>
        <v>Error?</v>
      </c>
    </row>
    <row r="1128" spans="1:4" x14ac:dyDescent="0.2">
      <c r="A1128" s="5">
        <v>1067</v>
      </c>
      <c r="B1128" s="138">
        <f>'Expenditures 15-22'!K61</f>
        <v>25048</v>
      </c>
      <c r="C1128" s="2" t="s">
        <v>573</v>
      </c>
      <c r="D1128" s="2" t="str">
        <f t="shared" si="16"/>
        <v>Error?</v>
      </c>
    </row>
    <row r="1129" spans="1:4" x14ac:dyDescent="0.2">
      <c r="A1129" s="5">
        <v>1068</v>
      </c>
      <c r="B1129" s="138">
        <f>'Expenditures 15-22'!K62</f>
        <v>34083</v>
      </c>
      <c r="C1129" s="2" t="s">
        <v>573</v>
      </c>
      <c r="D1129" s="2" t="str">
        <f t="shared" si="16"/>
        <v>Error?</v>
      </c>
    </row>
    <row r="1130" spans="1:4" x14ac:dyDescent="0.2">
      <c r="A1130" s="5">
        <v>1069</v>
      </c>
      <c r="B1130" s="138">
        <f>'Expenditures 15-22'!K63</f>
        <v>1398036</v>
      </c>
      <c r="C1130" s="2" t="s">
        <v>573</v>
      </c>
      <c r="D1130" s="2" t="str">
        <f t="shared" si="16"/>
        <v>Error?</v>
      </c>
    </row>
    <row r="1131" spans="1:4" x14ac:dyDescent="0.2">
      <c r="A1131" s="5">
        <v>1070</v>
      </c>
      <c r="B1131" s="138">
        <f>'Expenditures 15-22'!K64</f>
        <v>488132</v>
      </c>
      <c r="C1131" s="2" t="s">
        <v>573</v>
      </c>
      <c r="D1131" s="2" t="str">
        <f t="shared" si="16"/>
        <v>Error?</v>
      </c>
    </row>
    <row r="1132" spans="1:4" x14ac:dyDescent="0.2">
      <c r="A1132" s="10">
        <v>1071</v>
      </c>
      <c r="D1132" s="2" t="str">
        <f t="shared" si="16"/>
        <v>OK</v>
      </c>
    </row>
    <row r="1133" spans="1:4" x14ac:dyDescent="0.2">
      <c r="A1133" s="5">
        <v>1072</v>
      </c>
      <c r="B1133" s="138">
        <f>'Expenditures 15-22'!K65</f>
        <v>2891780</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103282</v>
      </c>
      <c r="C1136" s="2" t="s">
        <v>573</v>
      </c>
      <c r="D1136" s="2" t="str">
        <f t="shared" si="16"/>
        <v>Error?</v>
      </c>
    </row>
    <row r="1137" spans="1:4" x14ac:dyDescent="0.2">
      <c r="A1137" s="5">
        <v>1076</v>
      </c>
      <c r="B1137" s="138">
        <f>'Expenditures 15-22'!K70</f>
        <v>410164</v>
      </c>
      <c r="C1137" s="2" t="s">
        <v>573</v>
      </c>
      <c r="D1137" s="2" t="str">
        <f t="shared" si="16"/>
        <v>Error?</v>
      </c>
    </row>
    <row r="1138" spans="1:4" x14ac:dyDescent="0.2">
      <c r="A1138" s="10">
        <v>1077</v>
      </c>
      <c r="D1138" s="2" t="str">
        <f t="shared" si="16"/>
        <v>OK</v>
      </c>
    </row>
    <row r="1139" spans="1:4" x14ac:dyDescent="0.2">
      <c r="A1139" s="5">
        <v>1078</v>
      </c>
      <c r="B1139" s="138">
        <f>'Expenditures 15-22'!K71</f>
        <v>1768340</v>
      </c>
      <c r="C1139" s="2" t="s">
        <v>573</v>
      </c>
      <c r="D1139" s="2" t="str">
        <f t="shared" si="16"/>
        <v>Error?</v>
      </c>
    </row>
    <row r="1140" spans="1:4" x14ac:dyDescent="0.2">
      <c r="A1140" s="10">
        <v>1079</v>
      </c>
      <c r="D1140" s="2" t="str">
        <f t="shared" si="16"/>
        <v>OK</v>
      </c>
    </row>
    <row r="1141" spans="1:4" x14ac:dyDescent="0.2">
      <c r="A1141" s="5">
        <v>1080</v>
      </c>
      <c r="B1141" s="138">
        <f>'Expenditures 15-22'!K72</f>
        <v>2281786</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18920872</v>
      </c>
      <c r="C1143" s="2" t="s">
        <v>573</v>
      </c>
      <c r="D1143" s="2" t="str">
        <f t="shared" si="16"/>
        <v>Error?</v>
      </c>
    </row>
    <row r="1144" spans="1:4" x14ac:dyDescent="0.2">
      <c r="A1144" s="5">
        <v>1083</v>
      </c>
      <c r="B1144" s="138">
        <f>'Expenditures 15-22'!K75</f>
        <v>78869</v>
      </c>
      <c r="C1144" s="2" t="s">
        <v>573</v>
      </c>
      <c r="D1144" s="2" t="str">
        <f t="shared" si="16"/>
        <v>Error?</v>
      </c>
    </row>
    <row r="1145" spans="1:4" x14ac:dyDescent="0.2">
      <c r="A1145" s="5">
        <v>1084</v>
      </c>
      <c r="B1145" s="138">
        <f>'Expenditures 15-22'!K102</f>
        <v>1750277</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65627216</v>
      </c>
      <c r="C1152" s="2" t="s">
        <v>573</v>
      </c>
      <c r="D1152" s="2" t="str">
        <f t="shared" si="17"/>
        <v>Error?</v>
      </c>
    </row>
    <row r="1153" spans="1:4" x14ac:dyDescent="0.2">
      <c r="A1153" s="5">
        <v>1092</v>
      </c>
      <c r="B1153" s="138">
        <f>'Expenditures 15-22'!K115</f>
        <v>-3146027</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1916994</v>
      </c>
      <c r="D1221" s="2" t="str">
        <f t="shared" si="18"/>
        <v>Error?</v>
      </c>
    </row>
    <row r="1222" spans="1:4" x14ac:dyDescent="0.2">
      <c r="A1222" s="10">
        <v>1161</v>
      </c>
      <c r="D1222" s="2" t="str">
        <f t="shared" si="18"/>
        <v>OK</v>
      </c>
    </row>
    <row r="1223" spans="1:4" x14ac:dyDescent="0.2">
      <c r="A1223" s="5">
        <v>1162</v>
      </c>
      <c r="B1223" s="138">
        <f>'Expenditures 15-22'!C127</f>
        <v>1916994</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1916994</v>
      </c>
      <c r="C1225" s="2" t="s">
        <v>573</v>
      </c>
      <c r="D1225" s="2" t="str">
        <f t="shared" si="18"/>
        <v>Error?</v>
      </c>
    </row>
    <row r="1226" spans="1:4" x14ac:dyDescent="0.2">
      <c r="A1226" s="5">
        <v>1165</v>
      </c>
      <c r="B1226" s="138">
        <f>'Expenditures 15-22'!C151</f>
        <v>1916994</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398533</v>
      </c>
      <c r="D1229" s="2" t="str">
        <f t="shared" si="18"/>
        <v>Error?</v>
      </c>
    </row>
    <row r="1230" spans="1:4" x14ac:dyDescent="0.2">
      <c r="A1230" s="10">
        <v>1169</v>
      </c>
      <c r="D1230" s="2" t="str">
        <f t="shared" si="18"/>
        <v>OK</v>
      </c>
    </row>
    <row r="1231" spans="1:4" x14ac:dyDescent="0.2">
      <c r="A1231" s="5">
        <v>1170</v>
      </c>
      <c r="B1231" s="138">
        <f>'Expenditures 15-22'!D127</f>
        <v>398533</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398533</v>
      </c>
      <c r="C1233" s="2" t="s">
        <v>573</v>
      </c>
      <c r="D1233" s="2" t="str">
        <f t="shared" si="18"/>
        <v>Error?</v>
      </c>
    </row>
    <row r="1234" spans="1:4" x14ac:dyDescent="0.2">
      <c r="A1234" s="5">
        <v>1173</v>
      </c>
      <c r="B1234" s="138">
        <f>'Expenditures 15-22'!D151</f>
        <v>398533</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1996796</v>
      </c>
      <c r="D1237" s="2" t="str">
        <f t="shared" si="18"/>
        <v>Error?</v>
      </c>
    </row>
    <row r="1238" spans="1:4" x14ac:dyDescent="0.2">
      <c r="A1238" s="10">
        <v>1177</v>
      </c>
      <c r="D1238" s="2" t="str">
        <f t="shared" si="18"/>
        <v>OK</v>
      </c>
    </row>
    <row r="1239" spans="1:4" x14ac:dyDescent="0.2">
      <c r="A1239" s="5">
        <v>1178</v>
      </c>
      <c r="B1239" s="138">
        <f>'Expenditures 15-22'!E127</f>
        <v>1996796</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1996796</v>
      </c>
      <c r="C1241" s="2" t="s">
        <v>573</v>
      </c>
      <c r="D1241" s="2" t="str">
        <f t="shared" si="18"/>
        <v>Error?</v>
      </c>
    </row>
    <row r="1242" spans="1:4" x14ac:dyDescent="0.2">
      <c r="A1242" s="5">
        <v>1181</v>
      </c>
      <c r="B1242" s="138">
        <f>'Expenditures 15-22'!E151</f>
        <v>1996796</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1257235</v>
      </c>
      <c r="D1245" s="2" t="str">
        <f t="shared" si="18"/>
        <v>Error?</v>
      </c>
    </row>
    <row r="1246" spans="1:4" x14ac:dyDescent="0.2">
      <c r="A1246" s="10">
        <v>1185</v>
      </c>
      <c r="D1246" s="2" t="str">
        <f t="shared" si="18"/>
        <v>OK</v>
      </c>
    </row>
    <row r="1247" spans="1:4" x14ac:dyDescent="0.2">
      <c r="A1247" s="5">
        <v>1186</v>
      </c>
      <c r="B1247" s="138">
        <f>'Expenditures 15-22'!F127</f>
        <v>1283999</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1283999</v>
      </c>
      <c r="C1249" s="2" t="s">
        <v>573</v>
      </c>
      <c r="D1249" s="2" t="str">
        <f t="shared" si="18"/>
        <v>Error?</v>
      </c>
    </row>
    <row r="1250" spans="1:4" x14ac:dyDescent="0.2">
      <c r="A1250" s="5">
        <v>1189</v>
      </c>
      <c r="B1250" s="138">
        <f>'Expenditures 15-22'!F151</f>
        <v>1283999</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73242</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73242</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73242</v>
      </c>
      <c r="C1258" s="2" t="s">
        <v>573</v>
      </c>
      <c r="D1258" s="2" t="str">
        <f t="shared" si="18"/>
        <v>Error?</v>
      </c>
    </row>
    <row r="1259" spans="1:4" x14ac:dyDescent="0.2">
      <c r="A1259" s="5">
        <v>1198</v>
      </c>
      <c r="B1259" s="138">
        <f>'Expenditures 15-22'!G151</f>
        <v>73242</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840</v>
      </c>
      <c r="D1262" s="2" t="str">
        <f t="shared" si="18"/>
        <v>Error?</v>
      </c>
    </row>
    <row r="1263" spans="1:4" x14ac:dyDescent="0.2">
      <c r="A1263" s="10">
        <v>1202</v>
      </c>
      <c r="D1263" s="2" t="str">
        <f t="shared" si="18"/>
        <v>OK</v>
      </c>
    </row>
    <row r="1264" spans="1:4" x14ac:dyDescent="0.2">
      <c r="A1264" s="5">
        <v>1203</v>
      </c>
      <c r="B1264" s="138">
        <f>'Expenditures 15-22'!H127</f>
        <v>840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840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840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5654278</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5681042</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5681042</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5681042</v>
      </c>
      <c r="C1288" s="2" t="s">
        <v>573</v>
      </c>
      <c r="D1288" s="2" t="str">
        <f t="shared" si="19"/>
        <v>Error?</v>
      </c>
    </row>
    <row r="1289" spans="1:4" x14ac:dyDescent="0.2">
      <c r="A1289" s="5">
        <v>1228</v>
      </c>
      <c r="B1289" s="138">
        <f>'Expenditures 15-22'!K152</f>
        <v>-15609</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2794562</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3905138</v>
      </c>
      <c r="D1315" s="2" t="str">
        <f t="shared" si="19"/>
        <v>Error?</v>
      </c>
    </row>
    <row r="1316" spans="1:4" x14ac:dyDescent="0.2">
      <c r="A1316" s="5">
        <v>1255</v>
      </c>
      <c r="B1316" s="138">
        <f>'Expenditures 15-22'!H171</f>
        <v>3309</v>
      </c>
      <c r="D1316" s="2" t="str">
        <f t="shared" si="19"/>
        <v>Error?</v>
      </c>
    </row>
    <row r="1317" spans="1:4" x14ac:dyDescent="0.2">
      <c r="A1317" s="5">
        <v>1256</v>
      </c>
      <c r="B1317" s="138">
        <f>'Expenditures 15-22'!H172</f>
        <v>6703009</v>
      </c>
      <c r="C1317" s="2" t="s">
        <v>573</v>
      </c>
      <c r="D1317" s="2" t="str">
        <f t="shared" si="19"/>
        <v>Error?</v>
      </c>
    </row>
    <row r="1318" spans="1:4" x14ac:dyDescent="0.2">
      <c r="A1318" s="5">
        <v>1257</v>
      </c>
      <c r="B1318" s="138">
        <f>'Expenditures 15-22'!H174</f>
        <v>6703009</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2794562</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3905138</v>
      </c>
      <c r="C1329" s="2" t="s">
        <v>573</v>
      </c>
      <c r="D1329" s="2" t="str">
        <f t="shared" si="19"/>
        <v>Error?</v>
      </c>
    </row>
    <row r="1330" spans="1:4" x14ac:dyDescent="0.2">
      <c r="A1330" s="5">
        <v>1269</v>
      </c>
      <c r="B1330" s="138">
        <f>'Expenditures 15-22'!K171</f>
        <v>3309</v>
      </c>
      <c r="C1330" s="2" t="s">
        <v>573</v>
      </c>
      <c r="D1330" s="2" t="str">
        <f t="shared" si="19"/>
        <v>Error?</v>
      </c>
    </row>
    <row r="1331" spans="1:4" x14ac:dyDescent="0.2">
      <c r="A1331" s="5">
        <v>1270</v>
      </c>
      <c r="B1331" s="138">
        <f>'Expenditures 15-22'!K172</f>
        <v>6703009</v>
      </c>
      <c r="C1331" s="2" t="s">
        <v>573</v>
      </c>
      <c r="D1331" s="2" t="str">
        <f t="shared" si="19"/>
        <v>Error?</v>
      </c>
    </row>
    <row r="1332" spans="1:4" x14ac:dyDescent="0.2">
      <c r="A1332" s="5">
        <v>1271</v>
      </c>
      <c r="B1332" s="138">
        <f>'Expenditures 15-22'!K174</f>
        <v>6703009</v>
      </c>
      <c r="C1332" s="2" t="s">
        <v>573</v>
      </c>
      <c r="D1332" s="2" t="str">
        <f t="shared" si="19"/>
        <v>Error?</v>
      </c>
    </row>
    <row r="1333" spans="1:4" x14ac:dyDescent="0.2">
      <c r="A1333" s="5">
        <v>1272</v>
      </c>
      <c r="B1333" s="138">
        <f>'Expenditures 15-22'!K175</f>
        <v>-1942628</v>
      </c>
      <c r="C1333" s="2" t="s">
        <v>573</v>
      </c>
      <c r="D1333" s="2" t="str">
        <f t="shared" si="19"/>
        <v>Error?</v>
      </c>
    </row>
    <row r="1334" spans="1:4" x14ac:dyDescent="0.2">
      <c r="A1334" s="10">
        <v>1273</v>
      </c>
      <c r="D1334" s="2" t="str">
        <f t="shared" si="19"/>
        <v>OK</v>
      </c>
    </row>
    <row r="1335" spans="1:4" x14ac:dyDescent="0.2">
      <c r="A1335" s="5">
        <v>1274</v>
      </c>
      <c r="B1335" s="138">
        <f>'Expenditures 15-22'!C182</f>
        <v>2595263</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2595263</v>
      </c>
      <c r="C1339" s="2" t="s">
        <v>573</v>
      </c>
      <c r="D1339" s="2" t="str">
        <f t="shared" si="19"/>
        <v>Error?</v>
      </c>
    </row>
    <row r="1340" spans="1:4" x14ac:dyDescent="0.2">
      <c r="A1340" s="5">
        <v>1279</v>
      </c>
      <c r="B1340" s="138">
        <f>'Expenditures 15-22'!C210</f>
        <v>2595263</v>
      </c>
      <c r="C1340" s="2" t="s">
        <v>573</v>
      </c>
      <c r="D1340" s="2" t="str">
        <f t="shared" si="19"/>
        <v>Error?</v>
      </c>
    </row>
    <row r="1341" spans="1:4" x14ac:dyDescent="0.2">
      <c r="A1341" s="5">
        <v>1280</v>
      </c>
      <c r="B1341" s="138">
        <f>'Expenditures 15-22'!D182</f>
        <v>729573</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729573</v>
      </c>
      <c r="C1345" s="2" t="s">
        <v>573</v>
      </c>
      <c r="D1345" s="2" t="str">
        <f t="shared" si="20"/>
        <v>Error?</v>
      </c>
    </row>
    <row r="1346" spans="1:4" x14ac:dyDescent="0.2">
      <c r="A1346" s="5">
        <v>1285</v>
      </c>
      <c r="B1346" s="138">
        <f>'Expenditures 15-22'!D210</f>
        <v>729573</v>
      </c>
      <c r="C1346" s="2" t="s">
        <v>573</v>
      </c>
      <c r="D1346" s="2" t="str">
        <f t="shared" si="20"/>
        <v>Error?</v>
      </c>
    </row>
    <row r="1347" spans="1:4" x14ac:dyDescent="0.2">
      <c r="A1347" s="5">
        <v>1286</v>
      </c>
      <c r="B1347" s="138">
        <f>'Expenditures 15-22'!E182</f>
        <v>1309380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1309380</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1309380</v>
      </c>
      <c r="C1353" s="2" t="s">
        <v>573</v>
      </c>
      <c r="D1353" s="2" t="str">
        <f t="shared" si="20"/>
        <v>Error?</v>
      </c>
    </row>
    <row r="1354" spans="1:4" x14ac:dyDescent="0.2">
      <c r="A1354" s="5">
        <v>1293</v>
      </c>
      <c r="B1354" s="138">
        <f>'Expenditures 15-22'!F182</f>
        <v>403390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403390</v>
      </c>
      <c r="C1358" s="2" t="s">
        <v>573</v>
      </c>
      <c r="D1358" s="2" t="str">
        <f t="shared" si="20"/>
        <v>Error?</v>
      </c>
    </row>
    <row r="1359" spans="1:4" x14ac:dyDescent="0.2">
      <c r="A1359" s="5">
        <v>1298</v>
      </c>
      <c r="B1359" s="138">
        <f>'Expenditures 15-22'!F210</f>
        <v>403390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3658</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3658</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3658</v>
      </c>
      <c r="C1376" s="2" t="s">
        <v>573</v>
      </c>
      <c r="D1376" s="2" t="str">
        <f t="shared" si="20"/>
        <v>Error?</v>
      </c>
    </row>
    <row r="1377" spans="1:4" x14ac:dyDescent="0.2">
      <c r="A1377" s="5">
        <v>1316</v>
      </c>
      <c r="B1377" s="138">
        <f>'Expenditures 15-22'!K182</f>
        <v>5041543</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5041543</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5041543</v>
      </c>
      <c r="C1388" s="2" t="s">
        <v>573</v>
      </c>
      <c r="D1388" s="2" t="str">
        <f t="shared" si="20"/>
        <v>Error?</v>
      </c>
    </row>
    <row r="1389" spans="1:4" x14ac:dyDescent="0.2">
      <c r="A1389" s="5">
        <v>1328</v>
      </c>
      <c r="B1389" s="138">
        <f>'Expenditures 15-22'!K211</f>
        <v>87111</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10254</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78551</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10408</v>
      </c>
      <c r="D1408" s="2" t="str">
        <f t="shared" si="21"/>
        <v>Error?</v>
      </c>
    </row>
    <row r="1409" spans="1:4" x14ac:dyDescent="0.2">
      <c r="A1409" s="5">
        <v>1348</v>
      </c>
      <c r="B1409" s="138">
        <f>'Expenditures 15-22'!D224</f>
        <v>12137</v>
      </c>
      <c r="D1409" s="2" t="str">
        <f t="shared" si="21"/>
        <v>Error?</v>
      </c>
    </row>
    <row r="1410" spans="1:4" x14ac:dyDescent="0.2">
      <c r="A1410" s="5">
        <v>1349</v>
      </c>
      <c r="B1410" s="138">
        <f>'Expenditures 15-22'!D229</f>
        <v>965012</v>
      </c>
      <c r="C1410" s="2" t="s">
        <v>573</v>
      </c>
      <c r="D1410" s="2" t="str">
        <f t="shared" si="21"/>
        <v>Error?</v>
      </c>
    </row>
    <row r="1411" spans="1:4" x14ac:dyDescent="0.2">
      <c r="A1411" s="5">
        <v>1350</v>
      </c>
      <c r="B1411" s="138">
        <f>'Expenditures 15-22'!D232</f>
        <v>16106</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184011</v>
      </c>
      <c r="D1413" s="2" t="str">
        <f t="shared" si="21"/>
        <v>Error?</v>
      </c>
    </row>
    <row r="1414" spans="1:4" x14ac:dyDescent="0.2">
      <c r="A1414" s="5">
        <v>1353</v>
      </c>
      <c r="B1414" s="138">
        <f>'Expenditures 15-22'!D235</f>
        <v>7874</v>
      </c>
      <c r="D1414" s="2" t="str">
        <f t="shared" si="21"/>
        <v>Error?</v>
      </c>
    </row>
    <row r="1415" spans="1:4" x14ac:dyDescent="0.2">
      <c r="A1415" s="5">
        <v>1354</v>
      </c>
      <c r="B1415" s="138">
        <f>'Expenditures 15-22'!D236</f>
        <v>14303</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222294</v>
      </c>
      <c r="C1417" s="2" t="s">
        <v>573</v>
      </c>
      <c r="D1417" s="2" t="str">
        <f t="shared" si="21"/>
        <v>Error?</v>
      </c>
    </row>
    <row r="1418" spans="1:4" x14ac:dyDescent="0.2">
      <c r="A1418" s="5">
        <v>1357</v>
      </c>
      <c r="B1418" s="138">
        <f>'Expenditures 15-22'!D240</f>
        <v>24458</v>
      </c>
      <c r="D1418" s="2" t="str">
        <f t="shared" si="21"/>
        <v>Error?</v>
      </c>
    </row>
    <row r="1419" spans="1:4" x14ac:dyDescent="0.2">
      <c r="A1419" s="5">
        <v>1358</v>
      </c>
      <c r="B1419" s="138">
        <f>'Expenditures 15-22'!D241</f>
        <v>48600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73058</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31208</v>
      </c>
      <c r="D1423" s="2" t="str">
        <f t="shared" si="21"/>
        <v>Error?</v>
      </c>
    </row>
    <row r="1424" spans="1:4" x14ac:dyDescent="0.2">
      <c r="A1424" s="5">
        <v>1363</v>
      </c>
      <c r="B1424" s="138">
        <f>'Expenditures 15-22'!D257</f>
        <v>71106</v>
      </c>
      <c r="C1424" s="2" t="s">
        <v>573</v>
      </c>
      <c r="D1424" s="2" t="str">
        <f t="shared" si="21"/>
        <v>Error?</v>
      </c>
    </row>
    <row r="1425" spans="1:4" x14ac:dyDescent="0.2">
      <c r="A1425" s="5">
        <v>1364</v>
      </c>
      <c r="B1425" s="138">
        <f>'Expenditures 15-22'!D259</f>
        <v>145771</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145771</v>
      </c>
      <c r="C1427" s="2" t="s">
        <v>573</v>
      </c>
      <c r="D1427" s="2" t="str">
        <f t="shared" si="21"/>
        <v>Error?</v>
      </c>
    </row>
    <row r="1428" spans="1:4" x14ac:dyDescent="0.2">
      <c r="A1428" s="5">
        <v>1367</v>
      </c>
      <c r="B1428" s="138">
        <f>'Expenditures 15-22'!D263</f>
        <v>3091</v>
      </c>
      <c r="D1428" s="2" t="str">
        <f t="shared" si="21"/>
        <v>Error?</v>
      </c>
    </row>
    <row r="1429" spans="1:4" x14ac:dyDescent="0.2">
      <c r="A1429" s="5">
        <v>1368</v>
      </c>
      <c r="B1429" s="138">
        <f>'Expenditures 15-22'!D264</f>
        <v>101271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328242</v>
      </c>
      <c r="D1431" s="2" t="str">
        <f t="shared" si="21"/>
        <v>Error?</v>
      </c>
    </row>
    <row r="1432" spans="1:4" x14ac:dyDescent="0.2">
      <c r="A1432" s="5">
        <v>1371</v>
      </c>
      <c r="B1432" s="138">
        <f>'Expenditures 15-22'!D267</f>
        <v>473719</v>
      </c>
      <c r="D1432" s="2" t="str">
        <f t="shared" si="21"/>
        <v>Error?</v>
      </c>
    </row>
    <row r="1433" spans="1:4" x14ac:dyDescent="0.2">
      <c r="A1433" s="5">
        <v>1372</v>
      </c>
      <c r="B1433" s="138">
        <f>'Expenditures 15-22'!D268</f>
        <v>6262</v>
      </c>
      <c r="D1433" s="2" t="str">
        <f t="shared" si="21"/>
        <v>Error?</v>
      </c>
    </row>
    <row r="1434" spans="1:4" x14ac:dyDescent="0.2">
      <c r="A1434" s="5">
        <v>1373</v>
      </c>
      <c r="B1434" s="138">
        <f>'Expenditures 15-22'!D269</f>
        <v>9067</v>
      </c>
      <c r="D1434" s="2" t="str">
        <f t="shared" si="21"/>
        <v>Error?</v>
      </c>
    </row>
    <row r="1435" spans="1:4" x14ac:dyDescent="0.2">
      <c r="A1435" s="10">
        <v>1374</v>
      </c>
      <c r="D1435" s="2" t="str">
        <f t="shared" si="21"/>
        <v>OK</v>
      </c>
    </row>
    <row r="1436" spans="1:4" x14ac:dyDescent="0.2">
      <c r="A1436" s="5">
        <v>1375</v>
      </c>
      <c r="B1436" s="138">
        <f>'Expenditures 15-22'!D270</f>
        <v>921652</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14937</v>
      </c>
      <c r="D1439" s="2" t="str">
        <f t="shared" si="21"/>
        <v>Error?</v>
      </c>
    </row>
    <row r="1440" spans="1:4" x14ac:dyDescent="0.2">
      <c r="A1440" s="5">
        <v>1379</v>
      </c>
      <c r="B1440" s="138">
        <f>'Expenditures 15-22'!D275</f>
        <v>57720</v>
      </c>
      <c r="D1440" s="2" t="str">
        <f t="shared" si="21"/>
        <v>Error?</v>
      </c>
    </row>
    <row r="1441" spans="1:4" x14ac:dyDescent="0.2">
      <c r="A1441" s="10">
        <v>1380</v>
      </c>
      <c r="D1441" s="2" t="str">
        <f t="shared" si="21"/>
        <v>OK</v>
      </c>
    </row>
    <row r="1442" spans="1:4" x14ac:dyDescent="0.2">
      <c r="A1442" s="5">
        <v>1381</v>
      </c>
      <c r="B1442" s="138">
        <f>'Expenditures 15-22'!D276</f>
        <v>176918</v>
      </c>
      <c r="D1442" s="2" t="str">
        <f t="shared" si="21"/>
        <v>Error?</v>
      </c>
    </row>
    <row r="1443" spans="1:4" x14ac:dyDescent="0.2">
      <c r="A1443" s="10">
        <v>1382</v>
      </c>
      <c r="D1443" s="2" t="str">
        <f t="shared" si="21"/>
        <v>OK</v>
      </c>
    </row>
    <row r="1444" spans="1:4" x14ac:dyDescent="0.2">
      <c r="A1444" s="5">
        <v>1383</v>
      </c>
      <c r="B1444" s="138">
        <f>'Expenditures 15-22'!D277</f>
        <v>249575</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1683456</v>
      </c>
      <c r="C1446" s="2" t="s">
        <v>573</v>
      </c>
      <c r="D1446" s="2" t="str">
        <f t="shared" si="21"/>
        <v>Error?</v>
      </c>
    </row>
    <row r="1447" spans="1:4" x14ac:dyDescent="0.2">
      <c r="A1447" s="5">
        <v>1386</v>
      </c>
      <c r="B1447" s="138">
        <f>'Expenditures 15-22'!D280</f>
        <v>6801</v>
      </c>
      <c r="D1447" s="2" t="str">
        <f t="shared" si="21"/>
        <v>Error?</v>
      </c>
    </row>
    <row r="1448" spans="1:4" x14ac:dyDescent="0.2">
      <c r="A1448" s="5">
        <v>1387</v>
      </c>
      <c r="B1448" s="138">
        <f>'Expenditures 15-22'!D295</f>
        <v>2770562</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10254</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78551</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10408</v>
      </c>
      <c r="C1472" s="2" t="s">
        <v>573</v>
      </c>
      <c r="D1472" s="2" t="str">
        <f t="shared" si="22"/>
        <v>Error?</v>
      </c>
    </row>
    <row r="1473" spans="1:4" x14ac:dyDescent="0.2">
      <c r="A1473" s="5">
        <v>1412</v>
      </c>
      <c r="B1473" s="138">
        <f>'Expenditures 15-22'!K224</f>
        <v>12137</v>
      </c>
      <c r="C1473" s="2" t="s">
        <v>573</v>
      </c>
      <c r="D1473" s="2" t="str">
        <f t="shared" si="22"/>
        <v>Error?</v>
      </c>
    </row>
    <row r="1474" spans="1:4" x14ac:dyDescent="0.2">
      <c r="A1474" s="5">
        <v>1413</v>
      </c>
      <c r="B1474" s="138">
        <f>'Expenditures 15-22'!K229</f>
        <v>965012</v>
      </c>
      <c r="C1474" s="2" t="s">
        <v>573</v>
      </c>
      <c r="D1474" s="2" t="str">
        <f t="shared" si="22"/>
        <v>Error?</v>
      </c>
    </row>
    <row r="1475" spans="1:4" x14ac:dyDescent="0.2">
      <c r="A1475" s="5">
        <v>1414</v>
      </c>
      <c r="B1475" s="138">
        <f>'Expenditures 15-22'!K232</f>
        <v>16106</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184011</v>
      </c>
      <c r="C1477" s="2" t="s">
        <v>573</v>
      </c>
      <c r="D1477" s="2" t="str">
        <f t="shared" si="22"/>
        <v>Error?</v>
      </c>
    </row>
    <row r="1478" spans="1:4" x14ac:dyDescent="0.2">
      <c r="A1478" s="5">
        <v>1417</v>
      </c>
      <c r="B1478" s="138">
        <f>'Expenditures 15-22'!K235</f>
        <v>7874</v>
      </c>
      <c r="C1478" s="2" t="s">
        <v>573</v>
      </c>
      <c r="D1478" s="2" t="str">
        <f t="shared" si="22"/>
        <v>Error?</v>
      </c>
    </row>
    <row r="1479" spans="1:4" x14ac:dyDescent="0.2">
      <c r="A1479" s="5">
        <v>1418</v>
      </c>
      <c r="B1479" s="138">
        <f>'Expenditures 15-22'!K236</f>
        <v>14303</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222294</v>
      </c>
      <c r="C1481" s="2" t="s">
        <v>573</v>
      </c>
      <c r="D1481" s="2" t="str">
        <f t="shared" si="22"/>
        <v>Error?</v>
      </c>
    </row>
    <row r="1482" spans="1:4" x14ac:dyDescent="0.2">
      <c r="A1482" s="5">
        <v>1421</v>
      </c>
      <c r="B1482" s="138">
        <f>'Expenditures 15-22'!K240</f>
        <v>24458</v>
      </c>
      <c r="C1482" s="2" t="s">
        <v>573</v>
      </c>
      <c r="D1482" s="2" t="str">
        <f t="shared" si="22"/>
        <v>Error?</v>
      </c>
    </row>
    <row r="1483" spans="1:4" x14ac:dyDescent="0.2">
      <c r="A1483" s="5">
        <v>1422</v>
      </c>
      <c r="B1483" s="138">
        <f>'Expenditures 15-22'!K241</f>
        <v>48600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73058</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31208</v>
      </c>
      <c r="C1487" s="2" t="s">
        <v>573</v>
      </c>
      <c r="D1487" s="2" t="str">
        <f t="shared" si="22"/>
        <v>Error?</v>
      </c>
    </row>
    <row r="1488" spans="1:4" x14ac:dyDescent="0.2">
      <c r="A1488" s="5">
        <v>1427</v>
      </c>
      <c r="B1488" s="138">
        <f>'Expenditures 15-22'!K257</f>
        <v>71106</v>
      </c>
      <c r="C1488" s="2" t="s">
        <v>573</v>
      </c>
      <c r="D1488" s="2" t="str">
        <f t="shared" si="22"/>
        <v>Error?</v>
      </c>
    </row>
    <row r="1489" spans="1:4" x14ac:dyDescent="0.2">
      <c r="A1489" s="5">
        <v>1428</v>
      </c>
      <c r="B1489" s="138">
        <f>'Expenditures 15-22'!K259</f>
        <v>145771</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145771</v>
      </c>
      <c r="C1491" s="2" t="s">
        <v>573</v>
      </c>
      <c r="D1491" s="2" t="str">
        <f t="shared" si="22"/>
        <v>Error?</v>
      </c>
    </row>
    <row r="1492" spans="1:4" x14ac:dyDescent="0.2">
      <c r="A1492" s="5">
        <v>1431</v>
      </c>
      <c r="B1492" s="138">
        <f>'Expenditures 15-22'!K263</f>
        <v>3091</v>
      </c>
      <c r="C1492" s="2" t="s">
        <v>573</v>
      </c>
      <c r="D1492" s="2" t="str">
        <f t="shared" si="22"/>
        <v>Error?</v>
      </c>
    </row>
    <row r="1493" spans="1:4" x14ac:dyDescent="0.2">
      <c r="A1493" s="5">
        <v>1432</v>
      </c>
      <c r="B1493" s="138">
        <f>'Expenditures 15-22'!K264</f>
        <v>101271</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328242</v>
      </c>
      <c r="C1495" s="2" t="s">
        <v>573</v>
      </c>
      <c r="D1495" s="2" t="str">
        <f t="shared" si="22"/>
        <v>Error?</v>
      </c>
    </row>
    <row r="1496" spans="1:4" x14ac:dyDescent="0.2">
      <c r="A1496" s="5">
        <v>1435</v>
      </c>
      <c r="B1496" s="138">
        <f>'Expenditures 15-22'!K267</f>
        <v>473719</v>
      </c>
      <c r="C1496" s="2" t="s">
        <v>573</v>
      </c>
      <c r="D1496" s="2" t="str">
        <f t="shared" si="22"/>
        <v>Error?</v>
      </c>
    </row>
    <row r="1497" spans="1:4" x14ac:dyDescent="0.2">
      <c r="A1497" s="5">
        <v>1436</v>
      </c>
      <c r="B1497" s="138">
        <f>'Expenditures 15-22'!K268</f>
        <v>6262</v>
      </c>
      <c r="C1497" s="2" t="s">
        <v>573</v>
      </c>
      <c r="D1497" s="2" t="str">
        <f t="shared" si="22"/>
        <v>Error?</v>
      </c>
    </row>
    <row r="1498" spans="1:4" x14ac:dyDescent="0.2">
      <c r="A1498" s="5">
        <v>1437</v>
      </c>
      <c r="B1498" s="138">
        <f>'Expenditures 15-22'!K269</f>
        <v>9067</v>
      </c>
      <c r="C1498" s="2" t="s">
        <v>573</v>
      </c>
      <c r="D1498" s="2" t="str">
        <f t="shared" si="22"/>
        <v>Error?</v>
      </c>
    </row>
    <row r="1499" spans="1:4" x14ac:dyDescent="0.2">
      <c r="A1499" s="10">
        <v>1438</v>
      </c>
      <c r="D1499" s="2" t="str">
        <f t="shared" si="22"/>
        <v>OK</v>
      </c>
    </row>
    <row r="1500" spans="1:4" x14ac:dyDescent="0.2">
      <c r="A1500" s="5">
        <v>1439</v>
      </c>
      <c r="B1500" s="138">
        <f>'Expenditures 15-22'!K270</f>
        <v>921652</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14937</v>
      </c>
      <c r="C1503" s="2" t="s">
        <v>573</v>
      </c>
      <c r="D1503" s="2" t="str">
        <f t="shared" si="22"/>
        <v>Error?</v>
      </c>
    </row>
    <row r="1504" spans="1:4" x14ac:dyDescent="0.2">
      <c r="A1504" s="5">
        <v>1443</v>
      </c>
      <c r="B1504" s="138">
        <f>'Expenditures 15-22'!K275</f>
        <v>57720</v>
      </c>
      <c r="C1504" s="2" t="s">
        <v>573</v>
      </c>
      <c r="D1504" s="2" t="str">
        <f t="shared" si="22"/>
        <v>Error?</v>
      </c>
    </row>
    <row r="1505" spans="1:4" x14ac:dyDescent="0.2">
      <c r="A1505" s="10">
        <v>1444</v>
      </c>
      <c r="D1505" s="2" t="str">
        <f t="shared" si="22"/>
        <v>OK</v>
      </c>
    </row>
    <row r="1506" spans="1:4" x14ac:dyDescent="0.2">
      <c r="A1506" s="5">
        <v>1445</v>
      </c>
      <c r="B1506" s="138">
        <f>'Expenditures 15-22'!K276</f>
        <v>176918</v>
      </c>
      <c r="C1506" s="2" t="s">
        <v>573</v>
      </c>
      <c r="D1506" s="2" t="str">
        <f t="shared" si="22"/>
        <v>Error?</v>
      </c>
    </row>
    <row r="1507" spans="1:4" x14ac:dyDescent="0.2">
      <c r="A1507" s="10">
        <v>1446</v>
      </c>
      <c r="D1507" s="2" t="str">
        <f t="shared" si="22"/>
        <v>OK</v>
      </c>
    </row>
    <row r="1508" spans="1:4" x14ac:dyDescent="0.2">
      <c r="A1508" s="5">
        <v>1447</v>
      </c>
      <c r="B1508" s="138">
        <f>'Expenditures 15-22'!K277</f>
        <v>249575</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1683456</v>
      </c>
      <c r="C1510" s="2" t="s">
        <v>573</v>
      </c>
      <c r="D1510" s="2" t="str">
        <f t="shared" si="22"/>
        <v>Error?</v>
      </c>
    </row>
    <row r="1511" spans="1:4" x14ac:dyDescent="0.2">
      <c r="A1511" s="5">
        <v>1450</v>
      </c>
      <c r="B1511" s="138">
        <f>'Expenditures 15-22'!K280</f>
        <v>6801</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2770562</v>
      </c>
      <c r="C1517" s="2" t="s">
        <v>573</v>
      </c>
      <c r="D1517" s="2" t="str">
        <f t="shared" si="22"/>
        <v>Error?</v>
      </c>
    </row>
    <row r="1518" spans="1:4" x14ac:dyDescent="0.2">
      <c r="A1518" s="5">
        <v>1457</v>
      </c>
      <c r="B1518" s="138">
        <f>'Expenditures 15-22'!K296</f>
        <v>72187</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1561</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1561</v>
      </c>
      <c r="C1535" s="2" t="s">
        <v>573</v>
      </c>
      <c r="D1535" s="2" t="str">
        <f t="shared" ref="D1535:D1598" si="23">IF(ISBLANK(B1535),"OK",IF(A1535-B1535=0,"OK","Error?"))</f>
        <v>Error?</v>
      </c>
    </row>
    <row r="1536" spans="1:4" x14ac:dyDescent="0.2">
      <c r="A1536" s="5">
        <v>1475</v>
      </c>
      <c r="B1536" s="138">
        <f>'Expenditures 15-22'!E312</f>
        <v>1561</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4746985</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4746985</v>
      </c>
      <c r="C1547" s="2" t="s">
        <v>573</v>
      </c>
      <c r="D1547" s="2" t="str">
        <f t="shared" si="23"/>
        <v>Error?</v>
      </c>
    </row>
    <row r="1548" spans="1:4" x14ac:dyDescent="0.2">
      <c r="A1548" s="5">
        <v>1487</v>
      </c>
      <c r="B1548" s="138">
        <f>'Expenditures 15-22'!G312</f>
        <v>4746985</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4748546</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4748546</v>
      </c>
      <c r="C1559" s="2" t="s">
        <v>573</v>
      </c>
      <c r="D1559" s="2" t="str">
        <f t="shared" si="23"/>
        <v>Error?</v>
      </c>
    </row>
    <row r="1560" spans="1:4" x14ac:dyDescent="0.2">
      <c r="A1560" s="5">
        <v>1499</v>
      </c>
      <c r="B1560" s="138">
        <f>'Expenditures 15-22'!K312</f>
        <v>4748546</v>
      </c>
      <c r="C1560" s="2" t="s">
        <v>573</v>
      </c>
      <c r="D1560" s="2" t="str">
        <f t="shared" si="23"/>
        <v>Error?</v>
      </c>
    </row>
    <row r="1561" spans="1:4" x14ac:dyDescent="0.2">
      <c r="A1561" s="5">
        <v>1500</v>
      </c>
      <c r="B1561" s="138">
        <f>'Expenditures 15-22'!K313</f>
        <v>-4688283</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21418677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18791646</v>
      </c>
      <c r="C1630" s="2" t="s">
        <v>573</v>
      </c>
      <c r="D1630" s="2" t="str">
        <f t="shared" si="24"/>
        <v>Error?</v>
      </c>
    </row>
    <row r="1631" spans="1:4" x14ac:dyDescent="0.2">
      <c r="A1631" s="5">
        <v>1570</v>
      </c>
      <c r="B1631" s="138">
        <f>'Acct Summary 7-8'!D79</f>
        <v>3492260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3476651</v>
      </c>
      <c r="C1644" s="2" t="s">
        <v>573</v>
      </c>
      <c r="D1644" s="2" t="str">
        <f t="shared" si="24"/>
        <v>Error?</v>
      </c>
    </row>
    <row r="1645" spans="1:4" x14ac:dyDescent="0.2">
      <c r="A1645" s="5">
        <v>1584</v>
      </c>
      <c r="B1645" s="138">
        <f>'Acct Summary 7-8'!E79</f>
        <v>4049312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2817348</v>
      </c>
      <c r="C1658" s="2" t="s">
        <v>573</v>
      </c>
      <c r="D1658" s="2" t="str">
        <f t="shared" si="24"/>
        <v>Error?</v>
      </c>
    </row>
    <row r="1659" spans="1:4" x14ac:dyDescent="0.2">
      <c r="A1659" s="5">
        <v>1598</v>
      </c>
      <c r="B1659" s="138">
        <f>'Acct Summary 7-8'!F79</f>
        <v>4539780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4626891</v>
      </c>
      <c r="C1672" s="2" t="s">
        <v>573</v>
      </c>
      <c r="D1672" s="2" t="str">
        <f t="shared" si="25"/>
        <v>Error?</v>
      </c>
    </row>
    <row r="1673" spans="1:4" x14ac:dyDescent="0.2">
      <c r="A1673" s="5">
        <v>1612</v>
      </c>
      <c r="B1673" s="138">
        <f>'Acct Summary 7-8'!G79</f>
        <v>1776623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1848810</v>
      </c>
      <c r="C1686" s="2" t="s">
        <v>573</v>
      </c>
      <c r="D1686" s="2" t="str">
        <f t="shared" si="25"/>
        <v>Error?</v>
      </c>
    </row>
    <row r="1687" spans="1:4" x14ac:dyDescent="0.2">
      <c r="A1687" s="5">
        <v>1626</v>
      </c>
      <c r="B1687" s="138">
        <f>'Acct Summary 7-8'!H79</f>
        <v>128850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551523</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48770998</v>
      </c>
      <c r="C1744" s="2" t="s">
        <v>573</v>
      </c>
      <c r="D1744" s="2" t="str">
        <f t="shared" si="26"/>
        <v>Error?</v>
      </c>
    </row>
    <row r="1745" spans="1:5" x14ac:dyDescent="0.2">
      <c r="A1745" s="5">
        <v>1684</v>
      </c>
      <c r="B1745" s="138">
        <f>'Tax Sched 23'!B5</f>
        <v>5384593</v>
      </c>
      <c r="C1745" s="2" t="s">
        <v>573</v>
      </c>
      <c r="D1745" s="2" t="str">
        <f t="shared" si="26"/>
        <v>Error?</v>
      </c>
    </row>
    <row r="1746" spans="1:5" x14ac:dyDescent="0.2">
      <c r="A1746" s="5">
        <v>1685</v>
      </c>
      <c r="B1746" s="138">
        <f>'Tax Sched 23'!B6</f>
        <v>4729642</v>
      </c>
      <c r="C1746" s="2" t="s">
        <v>573</v>
      </c>
      <c r="D1746" s="2" t="str">
        <f t="shared" si="26"/>
        <v>Error?</v>
      </c>
    </row>
    <row r="1747" spans="1:5" x14ac:dyDescent="0.2">
      <c r="A1747" s="5">
        <v>1686</v>
      </c>
      <c r="B1747" s="138">
        <f>'Tax Sched 23'!B7</f>
        <v>2171018</v>
      </c>
      <c r="C1747" s="2" t="s">
        <v>573</v>
      </c>
      <c r="D1747" s="2" t="str">
        <f t="shared" si="26"/>
        <v>Error?</v>
      </c>
    </row>
    <row r="1748" spans="1:5" x14ac:dyDescent="0.2">
      <c r="A1748" s="5">
        <v>1687</v>
      </c>
      <c r="B1748" s="138">
        <f>'Tax Sched 23'!B8</f>
        <v>1297498</v>
      </c>
      <c r="C1748" s="2" t="s">
        <v>573</v>
      </c>
      <c r="D1748" s="2" t="str">
        <f t="shared" si="26"/>
        <v>Error?</v>
      </c>
    </row>
    <row r="1749" spans="1:5" x14ac:dyDescent="0.2">
      <c r="A1749" s="5">
        <v>1688</v>
      </c>
      <c r="B1749" s="138">
        <f>'Tax Sched 23'!B10</f>
        <v>19500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18971</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1390048</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65187961</v>
      </c>
      <c r="C1759" s="2" t="s">
        <v>573</v>
      </c>
      <c r="D1759" s="2" t="str">
        <f t="shared" si="26"/>
        <v>Error?</v>
      </c>
    </row>
    <row r="1760" spans="1:5" x14ac:dyDescent="0.2">
      <c r="A1760" s="5">
        <v>1699</v>
      </c>
      <c r="B1760" s="138">
        <f>'Tax Sched 23'!D4</f>
        <v>22633982</v>
      </c>
      <c r="C1760" s="2" t="s">
        <v>573</v>
      </c>
      <c r="D1760" s="2" t="str">
        <f t="shared" si="26"/>
        <v>Error?</v>
      </c>
    </row>
    <row r="1761" spans="1:5" x14ac:dyDescent="0.2">
      <c r="A1761" s="5">
        <v>1700</v>
      </c>
      <c r="B1761" s="138">
        <f>'Tax Sched 23'!D5</f>
        <v>2466322</v>
      </c>
      <c r="C1761" s="2" t="s">
        <v>573</v>
      </c>
      <c r="D1761" s="2" t="str">
        <f t="shared" si="26"/>
        <v>Error?</v>
      </c>
    </row>
    <row r="1762" spans="1:5" s="8" customFormat="1" x14ac:dyDescent="0.2">
      <c r="A1762" s="5">
        <v>1701</v>
      </c>
      <c r="B1762" s="138">
        <f>'Tax Sched 23'!D6</f>
        <v>2152039</v>
      </c>
      <c r="C1762" s="2" t="s">
        <v>573</v>
      </c>
      <c r="D1762" s="2" t="str">
        <f t="shared" si="26"/>
        <v>Error?</v>
      </c>
      <c r="E1762" s="9"/>
    </row>
    <row r="1763" spans="1:5" x14ac:dyDescent="0.2">
      <c r="A1763" s="5">
        <v>1702</v>
      </c>
      <c r="B1763" s="138">
        <f>'Tax Sched 23'!D7</f>
        <v>1031910</v>
      </c>
      <c r="C1763" s="2" t="s">
        <v>573</v>
      </c>
      <c r="D1763" s="2" t="str">
        <f t="shared" si="26"/>
        <v>Error?</v>
      </c>
    </row>
    <row r="1764" spans="1:5" x14ac:dyDescent="0.2">
      <c r="A1764" s="5">
        <v>1703</v>
      </c>
      <c r="B1764" s="138">
        <f>'Tax Sched 23'!D8</f>
        <v>549068</v>
      </c>
      <c r="C1764" s="2" t="s">
        <v>573</v>
      </c>
      <c r="D1764" s="2" t="str">
        <f t="shared" si="26"/>
        <v>Error?</v>
      </c>
    </row>
    <row r="1765" spans="1:5" x14ac:dyDescent="0.2">
      <c r="A1765" s="5">
        <v>1704</v>
      </c>
      <c r="B1765" s="138">
        <f>'Tax Sched 23'!D10</f>
        <v>9037</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9007</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644342</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30095444</v>
      </c>
      <c r="C1775" s="2" t="s">
        <v>573</v>
      </c>
      <c r="D1775" s="2" t="str">
        <f t="shared" si="26"/>
        <v>Error?</v>
      </c>
    </row>
    <row r="1776" spans="1:5" x14ac:dyDescent="0.2">
      <c r="A1776" s="5">
        <v>1715</v>
      </c>
      <c r="B1776" s="138">
        <f>'Tax Sched 23'!C4</f>
        <v>26137016</v>
      </c>
      <c r="D1776" s="2" t="str">
        <f t="shared" si="26"/>
        <v>Error?</v>
      </c>
    </row>
    <row r="1777" spans="1:4" x14ac:dyDescent="0.2">
      <c r="A1777" s="5">
        <v>1716</v>
      </c>
      <c r="B1777" s="138">
        <f>'Tax Sched 23'!C5</f>
        <v>2918271</v>
      </c>
      <c r="D1777" s="2" t="str">
        <f t="shared" si="26"/>
        <v>Error?</v>
      </c>
    </row>
    <row r="1778" spans="1:4" x14ac:dyDescent="0.2">
      <c r="A1778" s="5">
        <v>1717</v>
      </c>
      <c r="B1778" s="138">
        <f>'Tax Sched 23'!C6</f>
        <v>2577603</v>
      </c>
      <c r="D1778" s="2" t="str">
        <f t="shared" si="26"/>
        <v>Error?</v>
      </c>
    </row>
    <row r="1779" spans="1:4" x14ac:dyDescent="0.2">
      <c r="A1779" s="5">
        <v>1718</v>
      </c>
      <c r="B1779" s="138">
        <f>'Tax Sched 23'!C7</f>
        <v>1139108</v>
      </c>
      <c r="D1779" s="2" t="str">
        <f t="shared" si="26"/>
        <v>Error?</v>
      </c>
    </row>
    <row r="1780" spans="1:4" x14ac:dyDescent="0.2">
      <c r="A1780" s="5">
        <v>1719</v>
      </c>
      <c r="B1780" s="138">
        <f>'Tax Sched 23'!C8</f>
        <v>748430</v>
      </c>
      <c r="D1780" s="2" t="str">
        <f t="shared" si="26"/>
        <v>Error?</v>
      </c>
    </row>
    <row r="1781" spans="1:4" x14ac:dyDescent="0.2">
      <c r="A1781" s="5">
        <v>1720</v>
      </c>
      <c r="B1781" s="138">
        <f>'Tax Sched 23'!C10</f>
        <v>10463</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9964</v>
      </c>
      <c r="D1784" s="2" t="str">
        <f t="shared" si="26"/>
        <v>Error?</v>
      </c>
    </row>
    <row r="1785" spans="1:4" x14ac:dyDescent="0.2">
      <c r="A1785" s="5">
        <v>1724</v>
      </c>
      <c r="B1785" s="138">
        <f>'Tax Sched 23'!C12</f>
        <v>0</v>
      </c>
      <c r="D1785" s="2" t="str">
        <f t="shared" si="26"/>
        <v>Error?</v>
      </c>
    </row>
    <row r="1786" spans="1:4" x14ac:dyDescent="0.2">
      <c r="A1786" s="5">
        <v>1725</v>
      </c>
      <c r="B1786" s="138">
        <f>'Tax Sched 23'!C14</f>
        <v>745706</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35092517</v>
      </c>
      <c r="C1791" s="2" t="s">
        <v>573</v>
      </c>
      <c r="D1791" s="2" t="str">
        <f t="shared" ref="D1791:D1854" si="27">IF(ISBLANK(B1791),"OK",IF(A1791-B1791=0,"OK","Error?"))</f>
        <v>Error?</v>
      </c>
    </row>
    <row r="1792" spans="1:4" x14ac:dyDescent="0.2">
      <c r="A1792" s="5">
        <v>1731</v>
      </c>
      <c r="B1792" s="138">
        <f>'Tax Sched 23'!F4</f>
        <v>26258670</v>
      </c>
      <c r="C1792" s="2" t="s">
        <v>573</v>
      </c>
      <c r="D1792" s="2" t="str">
        <f t="shared" si="27"/>
        <v>Error?</v>
      </c>
    </row>
    <row r="1793" spans="1:4" x14ac:dyDescent="0.2">
      <c r="A1793" s="5">
        <v>1732</v>
      </c>
      <c r="B1793" s="138">
        <f>'Tax Sched 23'!F5</f>
        <v>2931853</v>
      </c>
      <c r="C1793" s="2" t="s">
        <v>573</v>
      </c>
      <c r="D1793" s="2" t="str">
        <f t="shared" si="27"/>
        <v>Error?</v>
      </c>
    </row>
    <row r="1794" spans="1:4" x14ac:dyDescent="0.2">
      <c r="A1794" s="5">
        <v>1733</v>
      </c>
      <c r="B1794" s="138">
        <f>'Tax Sched 23'!F6</f>
        <v>2589600</v>
      </c>
      <c r="C1794" s="2" t="s">
        <v>573</v>
      </c>
      <c r="D1794" s="2" t="str">
        <f t="shared" si="27"/>
        <v>Error?</v>
      </c>
    </row>
    <row r="1795" spans="1:4" x14ac:dyDescent="0.2">
      <c r="A1795" s="5">
        <v>1734</v>
      </c>
      <c r="B1795" s="138">
        <f>'Tax Sched 23'!F7</f>
        <v>1144411</v>
      </c>
      <c r="C1795" s="2" t="s">
        <v>573</v>
      </c>
      <c r="D1795" s="2" t="str">
        <f t="shared" si="27"/>
        <v>Error?</v>
      </c>
    </row>
    <row r="1796" spans="1:4" x14ac:dyDescent="0.2">
      <c r="A1796" s="5">
        <v>1735</v>
      </c>
      <c r="B1796" s="138">
        <f>'Tax Sched 23'!F8</f>
        <v>751913</v>
      </c>
      <c r="C1796" s="2" t="s">
        <v>573</v>
      </c>
      <c r="D1796" s="2" t="str">
        <f t="shared" si="27"/>
        <v>Error?</v>
      </c>
    </row>
    <row r="1797" spans="1:4" x14ac:dyDescent="0.2">
      <c r="A1797" s="5">
        <v>1736</v>
      </c>
      <c r="B1797" s="138">
        <f>'Tax Sched 23'!F10</f>
        <v>10512</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10010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749176</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35255851</v>
      </c>
      <c r="C1807" s="2" t="s">
        <v>573</v>
      </c>
      <c r="D1807" s="2" t="str">
        <f t="shared" si="27"/>
        <v>Error?</v>
      </c>
    </row>
    <row r="1808" spans="1:4" x14ac:dyDescent="0.2">
      <c r="A1808" s="5">
        <v>1747</v>
      </c>
      <c r="B1808" s="138">
        <f>'Tax Sched 23'!E4</f>
        <v>52395686</v>
      </c>
      <c r="D1808" s="2" t="str">
        <f t="shared" si="27"/>
        <v>Error?</v>
      </c>
    </row>
    <row r="1809" spans="1:4" x14ac:dyDescent="0.2">
      <c r="A1809" s="5">
        <v>1748</v>
      </c>
      <c r="B1809" s="138">
        <f>'Tax Sched 23'!E5</f>
        <v>5850124</v>
      </c>
      <c r="D1809" s="2" t="str">
        <f t="shared" si="27"/>
        <v>Error?</v>
      </c>
    </row>
    <row r="1810" spans="1:4" x14ac:dyDescent="0.2">
      <c r="A1810" s="5">
        <v>1749</v>
      </c>
      <c r="B1810" s="138">
        <f>'Tax Sched 23'!E6</f>
        <v>5167203</v>
      </c>
      <c r="D1810" s="2" t="str">
        <f t="shared" si="27"/>
        <v>Error?</v>
      </c>
    </row>
    <row r="1811" spans="1:4" x14ac:dyDescent="0.2">
      <c r="A1811" s="5">
        <v>1750</v>
      </c>
      <c r="B1811" s="138">
        <f>'Tax Sched 23'!E7</f>
        <v>2283519</v>
      </c>
      <c r="D1811" s="2" t="str">
        <f t="shared" si="27"/>
        <v>Error?</v>
      </c>
    </row>
    <row r="1812" spans="1:4" x14ac:dyDescent="0.2">
      <c r="A1812" s="5">
        <v>1751</v>
      </c>
      <c r="B1812" s="138">
        <f>'Tax Sched 23'!E8</f>
        <v>1500343</v>
      </c>
      <c r="D1812" s="2" t="str">
        <f t="shared" si="27"/>
        <v>Error?</v>
      </c>
    </row>
    <row r="1813" spans="1:4" x14ac:dyDescent="0.2">
      <c r="A1813" s="5">
        <v>1752</v>
      </c>
      <c r="B1813" s="138">
        <f>'Tax Sched 23'!E10</f>
        <v>20975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19974</v>
      </c>
      <c r="D1816" s="2" t="str">
        <f t="shared" si="27"/>
        <v>Error?</v>
      </c>
    </row>
    <row r="1817" spans="1:4" x14ac:dyDescent="0.2">
      <c r="A1817" s="5">
        <v>1756</v>
      </c>
      <c r="B1817" s="138">
        <f>'Tax Sched 23'!E12</f>
        <v>0</v>
      </c>
      <c r="D1817" s="2" t="str">
        <f t="shared" si="27"/>
        <v>Error?</v>
      </c>
    </row>
    <row r="1818" spans="1:4" x14ac:dyDescent="0.2">
      <c r="A1818" s="5">
        <v>1757</v>
      </c>
      <c r="B1818" s="138">
        <f>'Tax Sched 23'!E14</f>
        <v>1494882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70348368</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70437520</v>
      </c>
      <c r="C1939" s="2" t="s">
        <v>573</v>
      </c>
      <c r="D1939" s="2" t="str">
        <f t="shared" si="29"/>
        <v>Error?</v>
      </c>
    </row>
    <row r="1940" spans="1:5" x14ac:dyDescent="0.2">
      <c r="A1940" s="5">
        <v>1879</v>
      </c>
      <c r="B1940" s="138">
        <f>'Short-Term Long-Term Debt 24'!F49</f>
        <v>518996</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1390048</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1390048</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1390048</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4072993</v>
      </c>
      <c r="D2008" s="2" t="str">
        <f t="shared" si="30"/>
        <v>Error?</v>
      </c>
    </row>
    <row r="2009" spans="1:4" x14ac:dyDescent="0.2">
      <c r="A2009" s="5">
        <v>1948</v>
      </c>
      <c r="B2009" s="138">
        <f>'Cap Outlay Deprec 26'!C8</f>
        <v>134556308</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8748336</v>
      </c>
      <c r="D2011" s="2" t="str">
        <f t="shared" si="30"/>
        <v>Error?</v>
      </c>
    </row>
    <row r="2012" spans="1:4" x14ac:dyDescent="0.2">
      <c r="A2012" s="5">
        <v>1951</v>
      </c>
      <c r="B2012" s="138">
        <f>'Cap Outlay Deprec 26'!C13</f>
        <v>485887</v>
      </c>
      <c r="D2012" s="2" t="str">
        <f t="shared" si="30"/>
        <v>Error?</v>
      </c>
    </row>
    <row r="2013" spans="1:4" x14ac:dyDescent="0.2">
      <c r="A2013" s="5">
        <v>1952</v>
      </c>
      <c r="B2013" s="138">
        <f>'Cap Outlay Deprec 26'!C16</f>
        <v>147863524</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253636</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1291718</v>
      </c>
      <c r="D2017" s="2" t="str">
        <f t="shared" si="30"/>
        <v>Error?</v>
      </c>
    </row>
    <row r="2018" spans="1:4" x14ac:dyDescent="0.2">
      <c r="A2018" s="5">
        <v>1957</v>
      </c>
      <c r="B2018" s="138">
        <f>'Cap Outlay Deprec 26'!D13</f>
        <v>41665</v>
      </c>
      <c r="D2018" s="2" t="str">
        <f t="shared" si="30"/>
        <v>Error?</v>
      </c>
    </row>
    <row r="2019" spans="1:4" x14ac:dyDescent="0.2">
      <c r="A2019" s="5">
        <v>1958</v>
      </c>
      <c r="B2019" s="138">
        <f>'Cap Outlay Deprec 26'!D16</f>
        <v>5415752</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894483</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4679103</v>
      </c>
      <c r="D2023" s="2" t="str">
        <f t="shared" si="30"/>
        <v>Error?</v>
      </c>
    </row>
    <row r="2024" spans="1:4" x14ac:dyDescent="0.2">
      <c r="A2024" s="5">
        <v>1963</v>
      </c>
      <c r="B2024" s="138">
        <f>'Cap Outlay Deprec 26'!E13</f>
        <v>168371</v>
      </c>
      <c r="D2024" s="2" t="str">
        <f t="shared" si="30"/>
        <v>Error?</v>
      </c>
    </row>
    <row r="2025" spans="1:4" x14ac:dyDescent="0.2">
      <c r="A2025" s="5">
        <v>1964</v>
      </c>
      <c r="B2025" s="138">
        <f>'Cap Outlay Deprec 26'!E16</f>
        <v>5741957</v>
      </c>
      <c r="C2025" s="2" t="s">
        <v>573</v>
      </c>
      <c r="D2025" s="2" t="str">
        <f t="shared" si="30"/>
        <v>Error?</v>
      </c>
    </row>
    <row r="2026" spans="1:4" x14ac:dyDescent="0.2">
      <c r="A2026" s="5">
        <v>1965</v>
      </c>
      <c r="B2026" s="138">
        <f>'Cap Outlay Deprec 26'!F5</f>
        <v>4072993</v>
      </c>
      <c r="C2026" s="2" t="s">
        <v>573</v>
      </c>
      <c r="D2026" s="2" t="str">
        <f t="shared" si="30"/>
        <v>Error?</v>
      </c>
    </row>
    <row r="2027" spans="1:4" x14ac:dyDescent="0.2">
      <c r="A2027" s="5">
        <v>1966</v>
      </c>
      <c r="B2027" s="138">
        <f>'Cap Outlay Deprec 26'!F8</f>
        <v>133915461</v>
      </c>
      <c r="C2027" s="2" t="s">
        <v>573</v>
      </c>
      <c r="D2027" s="2" t="str">
        <f t="shared" si="30"/>
        <v>Error?</v>
      </c>
    </row>
    <row r="2028" spans="1:4" x14ac:dyDescent="0.2">
      <c r="A2028" s="5">
        <v>1967</v>
      </c>
      <c r="B2028" s="138">
        <f>'Cap Outlay Deprec 26'!F10</f>
        <v>0</v>
      </c>
      <c r="C2028" s="2" t="s">
        <v>573</v>
      </c>
      <c r="D2028" s="2" t="str">
        <f t="shared" si="30"/>
        <v>Error?</v>
      </c>
    </row>
    <row r="2029" spans="1:4" x14ac:dyDescent="0.2">
      <c r="A2029" s="5">
        <v>1968</v>
      </c>
      <c r="B2029" s="138">
        <f>'Cap Outlay Deprec 26'!F12</f>
        <v>5360951</v>
      </c>
      <c r="C2029" s="2" t="s">
        <v>573</v>
      </c>
      <c r="D2029" s="2" t="str">
        <f t="shared" si="30"/>
        <v>Error?</v>
      </c>
    </row>
    <row r="2030" spans="1:4" x14ac:dyDescent="0.2">
      <c r="A2030" s="5">
        <v>1969</v>
      </c>
      <c r="B2030" s="138">
        <f>'Cap Outlay Deprec 26'!F13</f>
        <v>359181</v>
      </c>
      <c r="C2030" s="2" t="s">
        <v>573</v>
      </c>
      <c r="D2030" s="2" t="str">
        <f t="shared" si="30"/>
        <v>Error?</v>
      </c>
    </row>
    <row r="2031" spans="1:4" x14ac:dyDescent="0.2">
      <c r="A2031" s="5">
        <v>1970</v>
      </c>
      <c r="B2031" s="138">
        <f>'Cap Outlay Deprec 26'!F16</f>
        <v>147537319</v>
      </c>
      <c r="C2031" s="2" t="s">
        <v>573</v>
      </c>
      <c r="D2031" s="2" t="str">
        <f t="shared" si="30"/>
        <v>Error?</v>
      </c>
    </row>
    <row r="2032" spans="1:4" x14ac:dyDescent="0.2">
      <c r="A2032" s="10">
        <v>1971</v>
      </c>
      <c r="D2032" s="2" t="str">
        <f t="shared" si="30"/>
        <v>OK</v>
      </c>
    </row>
    <row r="2033" spans="1:4" x14ac:dyDescent="0.2">
      <c r="A2033" s="5">
        <v>1972</v>
      </c>
      <c r="B2033" s="138">
        <f>'Cap Outlay Deprec 26'!H8</f>
        <v>54374466</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6096898</v>
      </c>
      <c r="D2035" s="2" t="str">
        <f t="shared" si="30"/>
        <v>Error?</v>
      </c>
    </row>
    <row r="2036" spans="1:4" x14ac:dyDescent="0.2">
      <c r="A2036" s="5">
        <v>1975</v>
      </c>
      <c r="B2036" s="138">
        <f>'Cap Outlay Deprec 26'!H13</f>
        <v>175512</v>
      </c>
      <c r="D2036" s="2" t="str">
        <f t="shared" si="30"/>
        <v>Error?</v>
      </c>
    </row>
    <row r="2037" spans="1:4" x14ac:dyDescent="0.2">
      <c r="A2037" s="5">
        <v>1976</v>
      </c>
      <c r="B2037" s="138">
        <f>'Cap Outlay Deprec 26'!H16</f>
        <v>60646876</v>
      </c>
      <c r="C2037" s="2" t="s">
        <v>573</v>
      </c>
      <c r="D2037" s="2" t="str">
        <f t="shared" si="30"/>
        <v>Error?</v>
      </c>
    </row>
    <row r="2038" spans="1:4" x14ac:dyDescent="0.2">
      <c r="A2038" s="10">
        <v>1977</v>
      </c>
      <c r="D2038" s="2" t="str">
        <f t="shared" si="30"/>
        <v>OK</v>
      </c>
    </row>
    <row r="2039" spans="1:4" x14ac:dyDescent="0.2">
      <c r="A2039" s="5">
        <v>1978</v>
      </c>
      <c r="B2039" s="138">
        <f>'Cap Outlay Deprec 26'!I8</f>
        <v>3570246</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734098</v>
      </c>
      <c r="D2041" s="2" t="str">
        <f t="shared" si="30"/>
        <v>Error?</v>
      </c>
    </row>
    <row r="2042" spans="1:4" x14ac:dyDescent="0.2">
      <c r="A2042" s="5">
        <v>1981</v>
      </c>
      <c r="B2042" s="138">
        <f>'Cap Outlay Deprec 26'!I13</f>
        <v>25541</v>
      </c>
      <c r="D2042" s="2" t="str">
        <f t="shared" si="30"/>
        <v>Error?</v>
      </c>
    </row>
    <row r="2043" spans="1:4" x14ac:dyDescent="0.2">
      <c r="A2043" s="5">
        <v>1982</v>
      </c>
      <c r="B2043" s="138">
        <f>'Cap Outlay Deprec 26'!I16</f>
        <v>4329885</v>
      </c>
      <c r="C2043" s="2" t="s">
        <v>573</v>
      </c>
      <c r="D2043" s="2" t="str">
        <f t="shared" si="30"/>
        <v>Error?</v>
      </c>
    </row>
    <row r="2044" spans="1:4" x14ac:dyDescent="0.2">
      <c r="A2044" s="10">
        <v>1983</v>
      </c>
      <c r="D2044" s="2" t="str">
        <f t="shared" si="30"/>
        <v>OK</v>
      </c>
    </row>
    <row r="2045" spans="1:4" x14ac:dyDescent="0.2">
      <c r="A2045" s="5">
        <v>1984</v>
      </c>
      <c r="B2045" s="138">
        <f>'Cap Outlay Deprec 26'!J8</f>
        <v>26580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4401147</v>
      </c>
      <c r="D2047" s="2" t="str">
        <f t="shared" ref="D2047:D2110" si="31">IF(ISBLANK(B2047),"OK",IF(A2047-B2047=0,"OK","Error?"))</f>
        <v>Error?</v>
      </c>
    </row>
    <row r="2048" spans="1:4" x14ac:dyDescent="0.2">
      <c r="A2048" s="5">
        <v>1987</v>
      </c>
      <c r="B2048" s="138">
        <f>'Cap Outlay Deprec 26'!J13</f>
        <v>37695</v>
      </c>
      <c r="D2048" s="2" t="str">
        <f t="shared" si="31"/>
        <v>Error?</v>
      </c>
    </row>
    <row r="2049" spans="1:4" x14ac:dyDescent="0.2">
      <c r="A2049" s="5">
        <v>1988</v>
      </c>
      <c r="B2049" s="138">
        <f>'Cap Outlay Deprec 26'!J16</f>
        <v>4465422</v>
      </c>
      <c r="C2049" s="2" t="s">
        <v>573</v>
      </c>
      <c r="D2049" s="2" t="str">
        <f t="shared" si="31"/>
        <v>Error?</v>
      </c>
    </row>
    <row r="2050" spans="1:4" x14ac:dyDescent="0.2">
      <c r="A2050" s="10">
        <v>1989</v>
      </c>
      <c r="D2050" s="2" t="str">
        <f t="shared" si="31"/>
        <v>OK</v>
      </c>
    </row>
    <row r="2051" spans="1:4" x14ac:dyDescent="0.2">
      <c r="A2051" s="5">
        <v>1990</v>
      </c>
      <c r="B2051" s="138">
        <f>'Cap Outlay Deprec 26'!K8</f>
        <v>57918132</v>
      </c>
      <c r="C2051" s="2" t="s">
        <v>573</v>
      </c>
      <c r="D2051" s="2" t="str">
        <f t="shared" si="31"/>
        <v>Error?</v>
      </c>
    </row>
    <row r="2052" spans="1:4" x14ac:dyDescent="0.2">
      <c r="A2052" s="5">
        <v>1991</v>
      </c>
      <c r="B2052" s="138">
        <f>'Cap Outlay Deprec 26'!K10</f>
        <v>0</v>
      </c>
      <c r="C2052" s="2" t="s">
        <v>573</v>
      </c>
      <c r="D2052" s="2" t="str">
        <f t="shared" si="31"/>
        <v>Error?</v>
      </c>
    </row>
    <row r="2053" spans="1:4" x14ac:dyDescent="0.2">
      <c r="A2053" s="5">
        <v>1992</v>
      </c>
      <c r="B2053" s="138">
        <f>'Cap Outlay Deprec 26'!K12</f>
        <v>2429849</v>
      </c>
      <c r="C2053" s="2" t="s">
        <v>573</v>
      </c>
      <c r="D2053" s="2" t="str">
        <f t="shared" si="31"/>
        <v>Error?</v>
      </c>
    </row>
    <row r="2054" spans="1:4" x14ac:dyDescent="0.2">
      <c r="A2054" s="5">
        <v>1993</v>
      </c>
      <c r="B2054" s="138">
        <f>'Cap Outlay Deprec 26'!K13</f>
        <v>163358</v>
      </c>
      <c r="C2054" s="2" t="s">
        <v>573</v>
      </c>
      <c r="D2054" s="2" t="str">
        <f t="shared" si="31"/>
        <v>Error?</v>
      </c>
    </row>
    <row r="2055" spans="1:4" x14ac:dyDescent="0.2">
      <c r="A2055" s="5">
        <v>1994</v>
      </c>
      <c r="B2055" s="138">
        <f>'Cap Outlay Deprec 26'!K16</f>
        <v>60511339</v>
      </c>
      <c r="C2055" s="2" t="s">
        <v>573</v>
      </c>
      <c r="D2055" s="2" t="str">
        <f t="shared" si="31"/>
        <v>Error?</v>
      </c>
    </row>
    <row r="2056" spans="1:4" x14ac:dyDescent="0.2">
      <c r="A2056" s="5">
        <v>1995</v>
      </c>
      <c r="B2056" s="138">
        <f>'Cap Outlay Deprec 26'!L5</f>
        <v>4072993</v>
      </c>
      <c r="C2056" s="2" t="s">
        <v>573</v>
      </c>
      <c r="D2056" s="2" t="str">
        <f t="shared" si="31"/>
        <v>Error?</v>
      </c>
    </row>
    <row r="2057" spans="1:4" x14ac:dyDescent="0.2">
      <c r="A2057" s="5">
        <v>1996</v>
      </c>
      <c r="B2057" s="138">
        <f>'Cap Outlay Deprec 26'!L8</f>
        <v>75997329</v>
      </c>
      <c r="C2057" s="2" t="s">
        <v>573</v>
      </c>
      <c r="D2057" s="2" t="str">
        <f t="shared" si="31"/>
        <v>Error?</v>
      </c>
    </row>
    <row r="2058" spans="1:4" x14ac:dyDescent="0.2">
      <c r="A2058" s="5">
        <v>1997</v>
      </c>
      <c r="B2058" s="138">
        <f>'Cap Outlay Deprec 26'!L10</f>
        <v>0</v>
      </c>
      <c r="C2058" s="2" t="s">
        <v>573</v>
      </c>
      <c r="D2058" s="2" t="str">
        <f t="shared" si="31"/>
        <v>Error?</v>
      </c>
    </row>
    <row r="2059" spans="1:4" x14ac:dyDescent="0.2">
      <c r="A2059" s="5">
        <v>1998</v>
      </c>
      <c r="B2059" s="138">
        <f>'Cap Outlay Deprec 26'!L12</f>
        <v>2931102</v>
      </c>
      <c r="C2059" s="2" t="s">
        <v>573</v>
      </c>
      <c r="D2059" s="2" t="str">
        <f t="shared" si="31"/>
        <v>Error?</v>
      </c>
    </row>
    <row r="2060" spans="1:4" x14ac:dyDescent="0.2">
      <c r="A2060" s="5">
        <v>1999</v>
      </c>
      <c r="B2060" s="138">
        <f>'Cap Outlay Deprec 26'!L13</f>
        <v>195823</v>
      </c>
      <c r="C2060" s="2" t="s">
        <v>573</v>
      </c>
      <c r="D2060" s="2" t="str">
        <f t="shared" si="31"/>
        <v>Error?</v>
      </c>
    </row>
    <row r="2061" spans="1:4" x14ac:dyDescent="0.2">
      <c r="A2061" s="5">
        <v>2000</v>
      </c>
      <c r="B2061" s="138">
        <f>'Cap Outlay Deprec 26'!L16</f>
        <v>87025980</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84756</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307215</v>
      </c>
      <c r="C2088" s="2" t="s">
        <v>573</v>
      </c>
      <c r="D2088" s="2" t="str">
        <f t="shared" si="31"/>
        <v>Error?</v>
      </c>
    </row>
    <row r="2089" spans="1:4" x14ac:dyDescent="0.2">
      <c r="A2089" s="5">
        <v>2028</v>
      </c>
      <c r="B2089" s="138">
        <f>'Expenditures 15-22'!K92</f>
        <v>1443062</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52298741</v>
      </c>
      <c r="C2551" s="2" t="s">
        <v>573</v>
      </c>
      <c r="D2551" s="2" t="str">
        <f t="shared" si="38"/>
        <v>Error?</v>
      </c>
    </row>
    <row r="2552" spans="1:4" x14ac:dyDescent="0.2">
      <c r="A2552" s="10">
        <v>2491</v>
      </c>
      <c r="D2552" s="2" t="str">
        <f t="shared" si="38"/>
        <v>OK</v>
      </c>
    </row>
    <row r="2553" spans="1:4" x14ac:dyDescent="0.2">
      <c r="A2553" s="5">
        <v>2492</v>
      </c>
      <c r="B2553" s="138">
        <f>'Acct Summary 7-8'!C6</f>
        <v>6926027</v>
      </c>
      <c r="C2553" s="2" t="s">
        <v>573</v>
      </c>
      <c r="D2553" s="2" t="str">
        <f t="shared" si="38"/>
        <v>Error?</v>
      </c>
    </row>
    <row r="2554" spans="1:4" x14ac:dyDescent="0.2">
      <c r="A2554" s="5">
        <v>2493</v>
      </c>
      <c r="B2554" s="138">
        <f>'Acct Summary 7-8'!C7</f>
        <v>3256421</v>
      </c>
      <c r="C2554" s="2" t="s">
        <v>573</v>
      </c>
      <c r="D2554" s="2" t="str">
        <f t="shared" si="38"/>
        <v>Error?</v>
      </c>
    </row>
    <row r="2555" spans="1:4" x14ac:dyDescent="0.2">
      <c r="A2555" s="5">
        <v>2494</v>
      </c>
      <c r="B2555" s="138">
        <f>'Acct Summary 7-8'!C8</f>
        <v>62481189</v>
      </c>
      <c r="C2555" s="2" t="s">
        <v>573</v>
      </c>
      <c r="D2555" s="2" t="str">
        <f t="shared" si="38"/>
        <v>Error?</v>
      </c>
    </row>
    <row r="2556" spans="1:4" x14ac:dyDescent="0.2">
      <c r="A2556" s="5">
        <v>2495</v>
      </c>
      <c r="B2556" s="138">
        <f>'Acct Summary 7-8'!C12</f>
        <v>44877198</v>
      </c>
      <c r="C2556" s="2" t="s">
        <v>573</v>
      </c>
      <c r="D2556" s="2" t="str">
        <f t="shared" si="38"/>
        <v>Error?</v>
      </c>
    </row>
    <row r="2557" spans="1:4" x14ac:dyDescent="0.2">
      <c r="A2557" s="5">
        <v>2496</v>
      </c>
      <c r="B2557" s="138">
        <f>'Acct Summary 7-8'!C13</f>
        <v>18920872</v>
      </c>
      <c r="C2557" s="2" t="s">
        <v>573</v>
      </c>
      <c r="D2557" s="2" t="str">
        <f t="shared" si="38"/>
        <v>Error?</v>
      </c>
    </row>
    <row r="2558" spans="1:4" x14ac:dyDescent="0.2">
      <c r="A2558" s="5">
        <v>2497</v>
      </c>
      <c r="B2558" s="138">
        <f>'Acct Summary 7-8'!C14</f>
        <v>78869</v>
      </c>
      <c r="C2558" s="2" t="s">
        <v>573</v>
      </c>
      <c r="D2558" s="2" t="str">
        <f t="shared" si="38"/>
        <v>Error?</v>
      </c>
    </row>
    <row r="2559" spans="1:4" x14ac:dyDescent="0.2">
      <c r="A2559" s="5">
        <v>2498</v>
      </c>
      <c r="B2559" s="138">
        <f>'Acct Summary 7-8'!C15</f>
        <v>1750277</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65627216</v>
      </c>
      <c r="C2561" s="2" t="s">
        <v>573</v>
      </c>
      <c r="D2561" s="2" t="str">
        <f t="shared" si="39"/>
        <v>Error?</v>
      </c>
    </row>
    <row r="2562" spans="1:4" x14ac:dyDescent="0.2">
      <c r="A2562" s="5">
        <v>2501</v>
      </c>
      <c r="B2562" s="138">
        <f>'Acct Summary 7-8'!C20</f>
        <v>-3146027</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5665433</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5665433</v>
      </c>
      <c r="C2568" s="2" t="s">
        <v>573</v>
      </c>
      <c r="D2568" s="2" t="str">
        <f t="shared" si="39"/>
        <v>Error?</v>
      </c>
    </row>
    <row r="2569" spans="1:4" x14ac:dyDescent="0.2">
      <c r="A2569" s="5">
        <v>2508</v>
      </c>
      <c r="B2569" s="138">
        <f>'Acct Summary 7-8'!D13</f>
        <v>5681042</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5681042</v>
      </c>
      <c r="C2573" s="2" t="s">
        <v>573</v>
      </c>
      <c r="D2573" s="2" t="str">
        <f t="shared" si="39"/>
        <v>Error?</v>
      </c>
    </row>
    <row r="2574" spans="1:4" x14ac:dyDescent="0.2">
      <c r="A2574" s="5">
        <v>2513</v>
      </c>
      <c r="B2574" s="138">
        <f>'Acct Summary 7-8'!D20</f>
        <v>-15609</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2404182</v>
      </c>
      <c r="C2591" s="2" t="s">
        <v>573</v>
      </c>
      <c r="D2591" s="2" t="str">
        <f t="shared" si="39"/>
        <v>Error?</v>
      </c>
    </row>
    <row r="2592" spans="1:4" x14ac:dyDescent="0.2">
      <c r="A2592" s="10">
        <v>2531</v>
      </c>
      <c r="D2592" s="2" t="str">
        <f t="shared" si="39"/>
        <v>OK</v>
      </c>
    </row>
    <row r="2593" spans="1:4" x14ac:dyDescent="0.2">
      <c r="A2593" s="5">
        <v>2532</v>
      </c>
      <c r="B2593" s="138">
        <f>'Acct Summary 7-8'!F6</f>
        <v>2724472</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5128654</v>
      </c>
      <c r="C2595" s="2" t="s">
        <v>573</v>
      </c>
      <c r="D2595" s="2" t="str">
        <f t="shared" si="39"/>
        <v>Error?</v>
      </c>
    </row>
    <row r="2596" spans="1:4" x14ac:dyDescent="0.2">
      <c r="A2596" s="5">
        <v>2535</v>
      </c>
      <c r="B2596" s="138">
        <f>'Acct Summary 7-8'!F13</f>
        <v>5041543</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5041543</v>
      </c>
      <c r="C2600" s="2" t="s">
        <v>573</v>
      </c>
      <c r="D2600" s="2" t="str">
        <f t="shared" si="39"/>
        <v>Error?</v>
      </c>
    </row>
    <row r="2601" spans="1:4" x14ac:dyDescent="0.2">
      <c r="A2601" s="5">
        <v>2540</v>
      </c>
      <c r="B2601" s="138">
        <f>'Acct Summary 7-8'!F20</f>
        <v>87111</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2842749</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2842749</v>
      </c>
      <c r="C2606" s="2" t="s">
        <v>573</v>
      </c>
      <c r="D2606" s="2" t="str">
        <f t="shared" si="39"/>
        <v>Error?</v>
      </c>
    </row>
    <row r="2607" spans="1:4" x14ac:dyDescent="0.2">
      <c r="A2607" s="5">
        <v>2546</v>
      </c>
      <c r="B2607" s="138">
        <f>'Acct Summary 7-8'!G12</f>
        <v>965012</v>
      </c>
      <c r="C2607" s="2" t="s">
        <v>573</v>
      </c>
      <c r="D2607" s="2" t="str">
        <f t="shared" si="39"/>
        <v>Error?</v>
      </c>
    </row>
    <row r="2608" spans="1:4" x14ac:dyDescent="0.2">
      <c r="A2608" s="5">
        <v>2547</v>
      </c>
      <c r="B2608" s="138">
        <f>'Acct Summary 7-8'!G13</f>
        <v>1683456</v>
      </c>
      <c r="C2608" s="2" t="s">
        <v>573</v>
      </c>
      <c r="D2608" s="2" t="str">
        <f t="shared" si="39"/>
        <v>Error?</v>
      </c>
    </row>
    <row r="2609" spans="1:4" x14ac:dyDescent="0.2">
      <c r="A2609" s="5">
        <v>2548</v>
      </c>
      <c r="B2609" s="138">
        <f>'Acct Summary 7-8'!G14</f>
        <v>6801</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2770562</v>
      </c>
      <c r="C2612" s="2" t="s">
        <v>573</v>
      </c>
      <c r="D2612" s="2" t="str">
        <f t="shared" si="39"/>
        <v>Error?</v>
      </c>
    </row>
    <row r="2613" spans="1:4" x14ac:dyDescent="0.2">
      <c r="A2613" s="5">
        <v>2552</v>
      </c>
      <c r="B2613" s="138">
        <f>'Acct Summary 7-8'!G20</f>
        <v>72187</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4760381</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4760381</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6703009</v>
      </c>
      <c r="C2634" s="2" t="s">
        <v>573</v>
      </c>
      <c r="D2634" s="2" t="str">
        <f t="shared" si="40"/>
        <v>Error?</v>
      </c>
    </row>
    <row r="2635" spans="1:4" x14ac:dyDescent="0.2">
      <c r="A2635" s="5">
        <v>2574</v>
      </c>
      <c r="B2635" s="138">
        <f>'Acct Summary 7-8'!E17</f>
        <v>6703009</v>
      </c>
      <c r="C2635" s="2" t="s">
        <v>573</v>
      </c>
      <c r="D2635" s="2" t="str">
        <f t="shared" si="40"/>
        <v>Error?</v>
      </c>
    </row>
    <row r="2636" spans="1:4" x14ac:dyDescent="0.2">
      <c r="A2636" s="5">
        <v>2575</v>
      </c>
      <c r="B2636" s="138">
        <f>'Acct Summary 7-8'!E20</f>
        <v>-1942628</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60263</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60263</v>
      </c>
      <c r="C2658" s="2" t="s">
        <v>573</v>
      </c>
      <c r="D2658" s="2" t="str">
        <f t="shared" si="40"/>
        <v>Error?</v>
      </c>
    </row>
    <row r="2659" spans="1:4" x14ac:dyDescent="0.2">
      <c r="A2659" s="5">
        <v>2598</v>
      </c>
      <c r="B2659" s="138">
        <f>'Acct Summary 7-8'!H13</f>
        <v>4748546</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4748546</v>
      </c>
      <c r="C2661" s="2" t="s">
        <v>573</v>
      </c>
      <c r="D2661" s="2" t="str">
        <f t="shared" si="40"/>
        <v>Error?</v>
      </c>
    </row>
    <row r="2662" spans="1:4" x14ac:dyDescent="0.2">
      <c r="A2662" s="5">
        <v>2601</v>
      </c>
      <c r="B2662" s="138">
        <f>'Acct Summary 7-8'!H20</f>
        <v>-4688283</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1043223</v>
      </c>
      <c r="D2718" s="2" t="str">
        <f t="shared" si="41"/>
        <v>Error?</v>
      </c>
    </row>
    <row r="2719" spans="1:4" x14ac:dyDescent="0.2">
      <c r="A2719" s="5">
        <v>2658</v>
      </c>
      <c r="B2719" s="138">
        <f>'Expenditures 15-22'!D51</f>
        <v>40990</v>
      </c>
      <c r="D2719" s="2" t="str">
        <f t="shared" si="41"/>
        <v>Error?</v>
      </c>
    </row>
    <row r="2720" spans="1:4" x14ac:dyDescent="0.2">
      <c r="A2720" s="5">
        <v>2659</v>
      </c>
      <c r="B2720" s="138">
        <f>'Expenditures 15-22'!E51</f>
        <v>32594</v>
      </c>
      <c r="D2720" s="2" t="str">
        <f t="shared" si="41"/>
        <v>Error?</v>
      </c>
    </row>
    <row r="2721" spans="1:4" x14ac:dyDescent="0.2">
      <c r="A2721" s="5">
        <v>2660</v>
      </c>
      <c r="B2721" s="138">
        <f>'Expenditures 15-22'!F51</f>
        <v>6130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3021</v>
      </c>
      <c r="D2723" s="2" t="str">
        <f t="shared" si="41"/>
        <v>Error?</v>
      </c>
    </row>
    <row r="2724" spans="1:4" x14ac:dyDescent="0.2">
      <c r="A2724" s="5">
        <v>2663</v>
      </c>
      <c r="B2724" s="138">
        <f>'Expenditures 15-22'!K51</f>
        <v>1125958</v>
      </c>
      <c r="C2724" s="2" t="s">
        <v>573</v>
      </c>
      <c r="D2724" s="2" t="str">
        <f t="shared" si="41"/>
        <v>Error?</v>
      </c>
    </row>
    <row r="2725" spans="1:4" x14ac:dyDescent="0.2">
      <c r="A2725" s="5">
        <v>2664</v>
      </c>
      <c r="B2725" s="138">
        <f>'Expenditures 15-22'!D247</f>
        <v>39898</v>
      </c>
      <c r="D2725" s="2" t="str">
        <f t="shared" si="41"/>
        <v>Error?</v>
      </c>
    </row>
    <row r="2726" spans="1:4" x14ac:dyDescent="0.2">
      <c r="A2726" s="5">
        <v>2665</v>
      </c>
      <c r="B2726" s="138">
        <f>'Expenditures 15-22'!K247</f>
        <v>39898</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222459</v>
      </c>
      <c r="C2789" s="2" t="s">
        <v>573</v>
      </c>
      <c r="D2789" s="2" t="str">
        <f t="shared" si="42"/>
        <v>Error?</v>
      </c>
    </row>
    <row r="2790" spans="1:4" x14ac:dyDescent="0.2">
      <c r="A2790" s="5">
        <v>2729</v>
      </c>
      <c r="B2790" s="138">
        <f>'Expenditures 15-22'!E102</f>
        <v>222459</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3828733</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10302</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28602005</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192773</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9666</v>
      </c>
      <c r="D2908" s="2" t="str">
        <f t="shared" si="44"/>
        <v>Error?</v>
      </c>
    </row>
    <row r="2909" spans="1:4" x14ac:dyDescent="0.2">
      <c r="A2909" s="10">
        <v>2848</v>
      </c>
      <c r="D2909" s="2" t="str">
        <f t="shared" si="44"/>
        <v>OK</v>
      </c>
    </row>
    <row r="2910" spans="1:4" x14ac:dyDescent="0.2">
      <c r="A2910" s="5">
        <v>2849</v>
      </c>
      <c r="B2910" s="138">
        <f>'Assets-Liab 5-6'!I34</f>
        <v>9666</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28592339</v>
      </c>
      <c r="D2912" s="2" t="str">
        <f t="shared" si="44"/>
        <v>Error?</v>
      </c>
    </row>
    <row r="2913" spans="1:4" x14ac:dyDescent="0.2">
      <c r="A2913" s="5">
        <v>2852</v>
      </c>
      <c r="B2913" s="138">
        <f>'Assets-Liab 5-6'!I41</f>
        <v>28602005</v>
      </c>
      <c r="C2913" s="2" t="s">
        <v>573</v>
      </c>
      <c r="D2913" s="2" t="str">
        <f t="shared" si="44"/>
        <v>Error?</v>
      </c>
    </row>
    <row r="2914" spans="1:4" x14ac:dyDescent="0.2">
      <c r="A2914" s="5">
        <v>2853</v>
      </c>
      <c r="B2914" s="138">
        <f>'Assets-Liab 5-6'!L33</f>
        <v>192773</v>
      </c>
      <c r="D2914" s="2" t="str">
        <f t="shared" si="44"/>
        <v>Error?</v>
      </c>
    </row>
    <row r="2915" spans="1:4" x14ac:dyDescent="0.2">
      <c r="A2915" s="10">
        <v>2854</v>
      </c>
      <c r="D2915" s="2" t="str">
        <f t="shared" si="44"/>
        <v>OK</v>
      </c>
    </row>
    <row r="2916" spans="1:4" x14ac:dyDescent="0.2">
      <c r="A2916" s="5">
        <v>2855</v>
      </c>
      <c r="B2916" s="138">
        <f>'Assets-Liab 5-6'!L34</f>
        <v>192773</v>
      </c>
      <c r="C2916" s="2" t="s">
        <v>573</v>
      </c>
      <c r="D2916" s="2" t="str">
        <f t="shared" si="44"/>
        <v>Error?</v>
      </c>
    </row>
    <row r="2917" spans="1:4" x14ac:dyDescent="0.2">
      <c r="A2917" s="5">
        <v>2856</v>
      </c>
      <c r="B2917" s="138">
        <f>'Assets-Liab 5-6'!L41</f>
        <v>192773</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222459</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84756</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307215</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11627</v>
      </c>
      <c r="D3055" s="2" t="str">
        <f t="shared" si="46"/>
        <v>Error?</v>
      </c>
    </row>
    <row r="3056" spans="1:4" x14ac:dyDescent="0.2">
      <c r="A3056" s="5">
        <v>2995</v>
      </c>
      <c r="B3056" s="138">
        <f>'Expenditures 15-22'!D10</f>
        <v>1320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12947</v>
      </c>
      <c r="C3062" s="2" t="s">
        <v>573</v>
      </c>
      <c r="D3062" s="2" t="str">
        <f t="shared" si="46"/>
        <v>Error?</v>
      </c>
    </row>
    <row r="3063" spans="1:4" x14ac:dyDescent="0.2">
      <c r="A3063" s="10">
        <v>3002</v>
      </c>
      <c r="D3063" s="2" t="str">
        <f t="shared" si="46"/>
        <v>OK</v>
      </c>
    </row>
    <row r="3064" spans="1:4" x14ac:dyDescent="0.2">
      <c r="A3064" s="5">
        <v>3003</v>
      </c>
      <c r="B3064" s="138">
        <f>'Expenditures 15-22'!D219</f>
        <v>169</v>
      </c>
      <c r="D3064" s="2" t="str">
        <f t="shared" si="46"/>
        <v>Error?</v>
      </c>
    </row>
    <row r="3065" spans="1:4" x14ac:dyDescent="0.2">
      <c r="A3065" s="5">
        <v>3004</v>
      </c>
      <c r="B3065" s="138">
        <f>'Expenditures 15-22'!K219</f>
        <v>169</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657422</v>
      </c>
      <c r="C3225" s="2" t="s">
        <v>573</v>
      </c>
      <c r="D3225" s="2" t="str">
        <f t="shared" si="49"/>
        <v>Error?</v>
      </c>
    </row>
    <row r="3226" spans="1:4" x14ac:dyDescent="0.2">
      <c r="A3226" s="5">
        <v>3165</v>
      </c>
      <c r="B3226" s="138">
        <f>'Acct Summary 7-8'!I8</f>
        <v>657422</v>
      </c>
      <c r="C3226" s="2" t="s">
        <v>573</v>
      </c>
      <c r="D3226" s="2" t="str">
        <f t="shared" si="49"/>
        <v>Error?</v>
      </c>
    </row>
    <row r="3227" spans="1:4" x14ac:dyDescent="0.2">
      <c r="A3227" s="5">
        <v>3166</v>
      </c>
      <c r="B3227" s="138">
        <f>'Acct Summary 7-8'!I20</f>
        <v>657422</v>
      </c>
      <c r="C3227" s="2" t="s">
        <v>573</v>
      </c>
      <c r="D3227" s="2" t="str">
        <f t="shared" si="49"/>
        <v>Error?</v>
      </c>
    </row>
    <row r="3228" spans="1:4" x14ac:dyDescent="0.2">
      <c r="A3228" s="5">
        <v>3167</v>
      </c>
      <c r="B3228" s="138">
        <f>'Acct Summary 7-8'!C43</f>
        <v>518996</v>
      </c>
      <c r="D3228" s="2" t="str">
        <f t="shared" si="49"/>
        <v>Error?</v>
      </c>
    </row>
    <row r="3229" spans="1:4" x14ac:dyDescent="0.2">
      <c r="A3229" s="5">
        <v>3168</v>
      </c>
      <c r="B3229" s="138">
        <f>'Acct Summary 7-8'!C44</f>
        <v>518996</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518996</v>
      </c>
      <c r="C3232" s="2" t="s">
        <v>573</v>
      </c>
      <c r="D3232" s="2" t="str">
        <f t="shared" si="49"/>
        <v>Error?</v>
      </c>
    </row>
    <row r="3233" spans="1:4" x14ac:dyDescent="0.2">
      <c r="A3233" s="5">
        <v>3172</v>
      </c>
      <c r="B3233" s="138">
        <f>'Acct Summary 7-8'!C78</f>
        <v>-2627031</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-15609</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87111</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72187</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710664</v>
      </c>
      <c r="D3273" s="2" t="str">
        <f t="shared" si="50"/>
        <v>Error?</v>
      </c>
    </row>
    <row r="3274" spans="1:4" x14ac:dyDescent="0.2">
      <c r="A3274" s="5">
        <v>3213</v>
      </c>
      <c r="B3274" s="138">
        <f>'Acct Summary 7-8'!E44</f>
        <v>710664</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710664</v>
      </c>
      <c r="C3277" s="2" t="s">
        <v>573</v>
      </c>
      <c r="D3277" s="2" t="str">
        <f t="shared" si="50"/>
        <v>Error?</v>
      </c>
    </row>
    <row r="3278" spans="1:4" x14ac:dyDescent="0.2">
      <c r="A3278" s="5">
        <v>3217</v>
      </c>
      <c r="B3278" s="138">
        <f>'Acct Summary 7-8'!E78</f>
        <v>-1231964</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5110956</v>
      </c>
      <c r="D3295" s="2" t="str">
        <f t="shared" si="50"/>
        <v>Error?</v>
      </c>
    </row>
    <row r="3296" spans="1:4" x14ac:dyDescent="0.2">
      <c r="A3296" s="5">
        <v>3235</v>
      </c>
      <c r="B3296" s="138">
        <f>'Acct Summary 7-8'!H44</f>
        <v>5110956</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5110956</v>
      </c>
      <c r="C3299" s="2" t="s">
        <v>573</v>
      </c>
      <c r="D3299" s="2" t="str">
        <f t="shared" si="50"/>
        <v>Error?</v>
      </c>
    </row>
    <row r="3300" spans="1:4" x14ac:dyDescent="0.2">
      <c r="A3300" s="5">
        <v>3239</v>
      </c>
      <c r="B3300" s="138">
        <f>'Acct Summary 7-8'!H78</f>
        <v>422673</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5821620</v>
      </c>
      <c r="C3318" s="2" t="s">
        <v>573</v>
      </c>
      <c r="D3318" s="2" t="str">
        <f t="shared" si="50"/>
        <v>Error?</v>
      </c>
    </row>
    <row r="3319" spans="1:4" x14ac:dyDescent="0.2">
      <c r="A3319" s="5">
        <v>3258</v>
      </c>
      <c r="B3319" s="138">
        <f>'Acct Summary 7-8'!I77</f>
        <v>-5821620</v>
      </c>
      <c r="C3319" s="2" t="s">
        <v>573</v>
      </c>
      <c r="D3319" s="2" t="str">
        <f t="shared" si="50"/>
        <v>Error?</v>
      </c>
    </row>
    <row r="3320" spans="1:4" x14ac:dyDescent="0.2">
      <c r="A3320" s="5">
        <v>3259</v>
      </c>
      <c r="B3320" s="138">
        <f>'Acct Summary 7-8'!I78</f>
        <v>-5164198</v>
      </c>
      <c r="C3320" s="2" t="s">
        <v>573</v>
      </c>
      <c r="D3320" s="2" t="str">
        <f t="shared" si="50"/>
        <v>Error?</v>
      </c>
    </row>
    <row r="3321" spans="1:4" x14ac:dyDescent="0.2">
      <c r="A3321" s="5">
        <v>3260</v>
      </c>
      <c r="B3321" s="138">
        <f>'Acct Summary 7-8'!I79</f>
        <v>33756537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28592339</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5441133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1609393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23366</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57801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2170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7138344</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431834</v>
      </c>
      <c r="D3387" s="2" t="str">
        <f t="shared" si="51"/>
        <v>Error?</v>
      </c>
    </row>
    <row r="3388" spans="1:4" x14ac:dyDescent="0.2">
      <c r="A3388" s="5">
        <v>3327</v>
      </c>
      <c r="B3388" s="138">
        <f>'Expenditures 15-22'!D217</f>
        <v>362593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431834</v>
      </c>
      <c r="C3390" s="2" t="s">
        <v>573</v>
      </c>
      <c r="D3390" s="2" t="str">
        <f t="shared" si="51"/>
        <v>Error?</v>
      </c>
    </row>
    <row r="3391" spans="1:4" x14ac:dyDescent="0.2">
      <c r="A3391" s="5">
        <v>3330</v>
      </c>
      <c r="B3391" s="138">
        <f>'Expenditures 15-22'!K217</f>
        <v>362593</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18143613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3417273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2632952</v>
      </c>
      <c r="D3417" s="2" t="str">
        <f t="shared" si="52"/>
        <v>Error?</v>
      </c>
    </row>
    <row r="3418" spans="1:4" x14ac:dyDescent="0.2">
      <c r="A3418" s="10">
        <v>3357</v>
      </c>
      <c r="D3418" s="2" t="str">
        <f t="shared" si="52"/>
        <v>OK</v>
      </c>
    </row>
    <row r="3419" spans="1:4" x14ac:dyDescent="0.2">
      <c r="A3419" s="5">
        <v>3358</v>
      </c>
      <c r="B3419" s="138">
        <f>'Assets-Liab 5-6'!F4</f>
        <v>3968347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2033014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548617</v>
      </c>
      <c r="D3425" s="2" t="str">
        <f t="shared" si="52"/>
        <v>Error?</v>
      </c>
    </row>
    <row r="3426" spans="1:4" x14ac:dyDescent="0.2">
      <c r="A3426" s="10">
        <v>3365</v>
      </c>
      <c r="D3426" s="2" t="str">
        <f t="shared" si="52"/>
        <v>OK</v>
      </c>
    </row>
    <row r="3427" spans="1:4" x14ac:dyDescent="0.2">
      <c r="A3427" s="5">
        <v>3366</v>
      </c>
      <c r="B3427" s="138">
        <f>'Assets-Liab 5-6'!I4</f>
        <v>28325404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192773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1297498</v>
      </c>
      <c r="C3446" s="2" t="s">
        <v>573</v>
      </c>
      <c r="D3446" s="2" t="str">
        <f t="shared" si="52"/>
        <v>Error?</v>
      </c>
    </row>
    <row r="3447" spans="1:4" x14ac:dyDescent="0.2">
      <c r="A3447" s="5">
        <v>3386</v>
      </c>
      <c r="B3447" s="138">
        <f>'Tax Sched 23'!D16</f>
        <v>549068</v>
      </c>
      <c r="C3447" s="2" t="s">
        <v>573</v>
      </c>
      <c r="D3447" s="2" t="str">
        <f t="shared" si="52"/>
        <v>Error?</v>
      </c>
    </row>
    <row r="3448" spans="1:4" x14ac:dyDescent="0.2">
      <c r="A3448" s="5">
        <v>3387</v>
      </c>
      <c r="B3448" s="138">
        <f>'Tax Sched 23'!C16</f>
        <v>748430</v>
      </c>
      <c r="D3448" s="2" t="str">
        <f t="shared" si="52"/>
        <v>Error?</v>
      </c>
    </row>
    <row r="3449" spans="1:4" x14ac:dyDescent="0.2">
      <c r="A3449" s="5">
        <v>3388</v>
      </c>
      <c r="B3449" s="138">
        <f>'Tax Sched 23'!F16</f>
        <v>751913</v>
      </c>
      <c r="C3449" s="2" t="s">
        <v>573</v>
      </c>
      <c r="D3449" s="2" t="str">
        <f t="shared" si="52"/>
        <v>Error?</v>
      </c>
    </row>
    <row r="3450" spans="1:4" x14ac:dyDescent="0.2">
      <c r="A3450" s="5">
        <v>3389</v>
      </c>
      <c r="B3450" s="138">
        <f>'Tax Sched 23'!E16</f>
        <v>1500343</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3828733</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3828733</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3828733</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26764</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26764</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2005</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2022</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2022</v>
      </c>
      <c r="D3567" s="2" t="str">
        <f t="shared" si="54"/>
        <v>Error?</v>
      </c>
    </row>
    <row r="3568" spans="1:4" x14ac:dyDescent="0.2">
      <c r="A3568" s="5">
        <v>3507</v>
      </c>
      <c r="B3568" s="138">
        <f>'Assets-Liab 5-6'!K41</f>
        <v>2022</v>
      </c>
      <c r="C3568" s="2" t="s">
        <v>573</v>
      </c>
      <c r="D3568" s="2" t="str">
        <f t="shared" si="54"/>
        <v>Error?</v>
      </c>
    </row>
    <row r="3569" spans="1:4" x14ac:dyDescent="0.2">
      <c r="A3569" s="5">
        <v>3508</v>
      </c>
      <c r="B3569" s="138">
        <f>'Acct Summary 7-8'!K4</f>
        <v>4</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4</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4</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4</v>
      </c>
      <c r="C3588" s="2" t="s">
        <v>573</v>
      </c>
      <c r="D3588" s="2" t="str">
        <f t="shared" si="55"/>
        <v>Error?</v>
      </c>
    </row>
    <row r="3589" spans="1:4" x14ac:dyDescent="0.2">
      <c r="A3589" s="5">
        <v>3528</v>
      </c>
      <c r="B3589" s="138">
        <f>'Acct Summary 7-8'!K79</f>
        <v>2018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2022</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115293</v>
      </c>
      <c r="D3721" s="2" t="str">
        <f t="shared" si="57"/>
        <v>Error?</v>
      </c>
    </row>
    <row r="3722" spans="1:4" x14ac:dyDescent="0.2">
      <c r="A3722" s="5">
        <v>3661</v>
      </c>
      <c r="B3722" s="138">
        <f>'Expenditures 15-22'!D285</f>
        <v>115293</v>
      </c>
      <c r="C3722" s="2" t="s">
        <v>573</v>
      </c>
      <c r="D3722" s="2" t="str">
        <f t="shared" si="57"/>
        <v>Error?</v>
      </c>
    </row>
    <row r="3723" spans="1:4" x14ac:dyDescent="0.2">
      <c r="A3723" s="5">
        <v>3662</v>
      </c>
      <c r="B3723" s="138">
        <f>'Expenditures 15-22'!K283</f>
        <v>115293</v>
      </c>
      <c r="C3723" s="2" t="s">
        <v>573</v>
      </c>
      <c r="D3723" s="2" t="str">
        <f t="shared" si="57"/>
        <v>Error?</v>
      </c>
    </row>
    <row r="3724" spans="1:4" x14ac:dyDescent="0.2">
      <c r="A3724" s="5">
        <v>3663</v>
      </c>
      <c r="B3724" s="138">
        <f>'Expenditures 15-22'!K285</f>
        <v>115293</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108195</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50669</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57526</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57793</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115319</v>
      </c>
      <c r="D4111" s="2" t="str">
        <f t="shared" si="63"/>
        <v>Error?</v>
      </c>
    </row>
    <row r="4112" spans="1:4" x14ac:dyDescent="0.2">
      <c r="A4112" s="10">
        <v>4051</v>
      </c>
      <c r="D4112" s="2" t="str">
        <f t="shared" si="63"/>
        <v>OK</v>
      </c>
    </row>
    <row r="4113" spans="1:4" x14ac:dyDescent="0.2">
      <c r="A4113" s="5">
        <v>4052</v>
      </c>
      <c r="B4113" s="138">
        <f>'Acct Summary 7-8'!C9</f>
        <v>26038551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88519740</v>
      </c>
      <c r="C4122" s="2" t="s">
        <v>573</v>
      </c>
      <c r="D4122" s="2" t="str">
        <f t="shared" si="63"/>
        <v>Error?</v>
      </c>
    </row>
    <row r="4123" spans="1:4" x14ac:dyDescent="0.2">
      <c r="A4123" s="5">
        <v>4062</v>
      </c>
      <c r="B4123" s="138">
        <f>'Acct Summary 7-8'!D10</f>
        <v>5665433</v>
      </c>
      <c r="C4123" s="2" t="s">
        <v>573</v>
      </c>
      <c r="D4123" s="2" t="str">
        <f t="shared" si="63"/>
        <v>Error?</v>
      </c>
    </row>
    <row r="4124" spans="1:4" x14ac:dyDescent="0.2">
      <c r="A4124" s="5">
        <v>4063</v>
      </c>
      <c r="B4124" s="138">
        <f>'Acct Summary 7-8'!E10</f>
        <v>4760381</v>
      </c>
      <c r="C4124" s="2" t="s">
        <v>573</v>
      </c>
      <c r="D4124" s="2" t="str">
        <f t="shared" si="63"/>
        <v>Error?</v>
      </c>
    </row>
    <row r="4125" spans="1:4" x14ac:dyDescent="0.2">
      <c r="A4125" s="5">
        <v>4064</v>
      </c>
      <c r="B4125" s="138">
        <f>'Acct Summary 7-8'!F10</f>
        <v>5128654</v>
      </c>
      <c r="C4125" s="2" t="s">
        <v>573</v>
      </c>
      <c r="D4125" s="2" t="str">
        <f t="shared" si="63"/>
        <v>Error?</v>
      </c>
    </row>
    <row r="4126" spans="1:4" x14ac:dyDescent="0.2">
      <c r="A4126" s="5">
        <v>4065</v>
      </c>
      <c r="B4126" s="138">
        <f>'Acct Summary 7-8'!G10</f>
        <v>2842749</v>
      </c>
      <c r="C4126" s="2" t="s">
        <v>573</v>
      </c>
      <c r="D4126" s="2" t="str">
        <f t="shared" si="63"/>
        <v>Error?</v>
      </c>
    </row>
    <row r="4127" spans="1:4" x14ac:dyDescent="0.2">
      <c r="A4127" s="5">
        <v>4066</v>
      </c>
      <c r="B4127" s="138">
        <f>'Acct Summary 7-8'!H10</f>
        <v>60263</v>
      </c>
      <c r="C4127" s="2" t="s">
        <v>573</v>
      </c>
      <c r="D4127" s="2" t="str">
        <f t="shared" si="63"/>
        <v>Error?</v>
      </c>
    </row>
    <row r="4128" spans="1:4" x14ac:dyDescent="0.2">
      <c r="A4128" s="5">
        <v>4067</v>
      </c>
      <c r="B4128" s="138">
        <f>'Acct Summary 7-8'!I10</f>
        <v>657422</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4</v>
      </c>
      <c r="C4130" s="2" t="s">
        <v>573</v>
      </c>
      <c r="D4130" s="2" t="str">
        <f t="shared" si="63"/>
        <v>Error?</v>
      </c>
    </row>
    <row r="4131" spans="1:4" x14ac:dyDescent="0.2">
      <c r="A4131" s="5">
        <v>4070</v>
      </c>
      <c r="B4131" s="138">
        <f>'Acct Summary 7-8'!C18</f>
        <v>26038551</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91665767</v>
      </c>
      <c r="C4136" s="2" t="s">
        <v>573</v>
      </c>
      <c r="D4136" s="2" t="str">
        <f t="shared" si="63"/>
        <v>Error?</v>
      </c>
    </row>
    <row r="4137" spans="1:4" x14ac:dyDescent="0.2">
      <c r="A4137" s="5">
        <v>4076</v>
      </c>
      <c r="B4137" s="138">
        <f>'Acct Summary 7-8'!D19</f>
        <v>5681042</v>
      </c>
      <c r="C4137" s="2" t="s">
        <v>573</v>
      </c>
      <c r="D4137" s="2" t="str">
        <f t="shared" si="63"/>
        <v>Error?</v>
      </c>
    </row>
    <row r="4138" spans="1:4" x14ac:dyDescent="0.2">
      <c r="A4138" s="5">
        <v>4077</v>
      </c>
      <c r="B4138" s="138">
        <f>'Acct Summary 7-8'!E19</f>
        <v>6703009</v>
      </c>
      <c r="C4138" s="2" t="s">
        <v>573</v>
      </c>
      <c r="D4138" s="2" t="str">
        <f t="shared" si="63"/>
        <v>Error?</v>
      </c>
    </row>
    <row r="4139" spans="1:4" x14ac:dyDescent="0.2">
      <c r="A4139" s="5">
        <v>4078</v>
      </c>
      <c r="B4139" s="138">
        <f>'Acct Summary 7-8'!F19</f>
        <v>5041543</v>
      </c>
      <c r="C4139" s="2" t="s">
        <v>573</v>
      </c>
      <c r="D4139" s="2" t="str">
        <f t="shared" si="63"/>
        <v>Error?</v>
      </c>
    </row>
    <row r="4140" spans="1:4" x14ac:dyDescent="0.2">
      <c r="A4140" s="5">
        <v>4079</v>
      </c>
      <c r="B4140" s="138">
        <f>'Acct Summary 7-8'!G19</f>
        <v>2770562</v>
      </c>
      <c r="C4140" s="2" t="s">
        <v>573</v>
      </c>
      <c r="D4140" s="2" t="str">
        <f t="shared" si="63"/>
        <v>Error?</v>
      </c>
    </row>
    <row r="4141" spans="1:4" x14ac:dyDescent="0.2">
      <c r="A4141" s="5">
        <v>4080</v>
      </c>
      <c r="B4141" s="138">
        <f>'Acct Summary 7-8'!H19</f>
        <v>4748546</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67051378</v>
      </c>
      <c r="C4171" s="2" t="s">
        <v>573</v>
      </c>
      <c r="D4171" s="2" t="str">
        <f t="shared" si="64"/>
        <v>Error?</v>
      </c>
    </row>
    <row r="4172" spans="1:4" x14ac:dyDescent="0.2">
      <c r="A4172" s="5">
        <v>4111</v>
      </c>
      <c r="B4172" s="138">
        <f>'Short-Term Long-Term Debt 24'!J49</f>
        <v>64234030</v>
      </c>
      <c r="C4172" s="2" t="s">
        <v>573</v>
      </c>
      <c r="D4172" s="2" t="str">
        <f t="shared" si="64"/>
        <v>Error?</v>
      </c>
    </row>
    <row r="4173" spans="1:4" x14ac:dyDescent="0.2">
      <c r="A4173" s="5">
        <v>4112</v>
      </c>
      <c r="B4173" s="138">
        <f>'Short-Term Long-Term Debt 24'!H49</f>
        <v>3905138</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1936</v>
      </c>
    </row>
    <row r="4236" spans="1:5" x14ac:dyDescent="0.2">
      <c r="A4236" s="10">
        <v>4175</v>
      </c>
      <c r="D4236" s="2" t="str">
        <f t="shared" si="65"/>
        <v>OK</v>
      </c>
      <c r="E4236" s="4" t="s">
        <v>1936</v>
      </c>
    </row>
    <row r="4237" spans="1:5" x14ac:dyDescent="0.2">
      <c r="A4237" s="10">
        <v>4176</v>
      </c>
      <c r="D4237" s="2" t="str">
        <f t="shared" si="65"/>
        <v>OK</v>
      </c>
      <c r="E4237" s="4" t="s">
        <v>1936</v>
      </c>
    </row>
    <row r="4238" spans="1:5" x14ac:dyDescent="0.2">
      <c r="A4238" s="10">
        <v>4177</v>
      </c>
      <c r="D4238" s="2" t="str">
        <f t="shared" si="65"/>
        <v>OK</v>
      </c>
      <c r="E4238" s="4" t="s">
        <v>1936</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3195.0210000000002</v>
      </c>
      <c r="C4265" s="2" t="s">
        <v>573</v>
      </c>
      <c r="D4265" s="2" t="str">
        <f t="shared" si="65"/>
        <v>Error?</v>
      </c>
      <c r="E4265" s="128"/>
    </row>
    <row r="4266" spans="1:5" x14ac:dyDescent="0.2">
      <c r="A4266" s="12">
        <v>4205</v>
      </c>
      <c r="B4266" s="138">
        <f>('FP Info 3'!F10)*100000</f>
        <v>356.733</v>
      </c>
      <c r="C4266" s="2" t="s">
        <v>573</v>
      </c>
      <c r="D4266" s="2" t="str">
        <f t="shared" si="65"/>
        <v>Error?</v>
      </c>
      <c r="E4266" s="128"/>
    </row>
    <row r="4267" spans="1:5" x14ac:dyDescent="0.2">
      <c r="A4267" s="12">
        <v>4206</v>
      </c>
      <c r="B4267" s="138">
        <f>('FP Info 3'!H10)*100000</f>
        <v>139.24600000000001</v>
      </c>
      <c r="C4267" s="2" t="s">
        <v>573</v>
      </c>
      <c r="D4267" s="2" t="str">
        <f t="shared" si="65"/>
        <v>Error?</v>
      </c>
      <c r="E4267" s="128"/>
    </row>
    <row r="4268" spans="1:5" x14ac:dyDescent="0.2">
      <c r="A4268" s="12">
        <v>4207</v>
      </c>
      <c r="B4268" s="138">
        <f>('FP Info 3'!J10)*100000</f>
        <v>3691</v>
      </c>
      <c r="C4268" s="2" t="s">
        <v>573</v>
      </c>
      <c r="D4268" s="2" t="str">
        <f t="shared" si="65"/>
        <v>Error?</v>
      </c>
    </row>
    <row r="4269" spans="1:5" x14ac:dyDescent="0.2">
      <c r="A4269" s="12">
        <v>4208</v>
      </c>
      <c r="B4269" s="138">
        <f>'FP Info 3'!J16</f>
        <v>55487527</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13721</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81038</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566843</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1936</v>
      </c>
    </row>
    <row r="4400" spans="1:5" x14ac:dyDescent="0.2">
      <c r="A4400" s="10">
        <v>4339</v>
      </c>
      <c r="D4400" s="2" t="str">
        <f t="shared" si="67"/>
        <v>OK</v>
      </c>
      <c r="E4400" s="4" t="s">
        <v>1936</v>
      </c>
    </row>
    <row r="4401" spans="1:5" x14ac:dyDescent="0.2">
      <c r="A4401" s="10">
        <v>4340</v>
      </c>
      <c r="D4401" s="2" t="str">
        <f t="shared" si="67"/>
        <v>OK</v>
      </c>
      <c r="E4401" s="4" t="s">
        <v>1936</v>
      </c>
    </row>
    <row r="4402" spans="1:5" x14ac:dyDescent="0.2">
      <c r="A4402" s="10">
        <v>4341</v>
      </c>
      <c r="D4402" s="2" t="str">
        <f t="shared" si="67"/>
        <v>OK</v>
      </c>
      <c r="E4402" s="4" t="s">
        <v>1936</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113180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139272</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1.2789999999999999</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4067</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1639916781</v>
      </c>
      <c r="D4995" s="2" t="str">
        <f t="shared" si="77"/>
        <v>Error?</v>
      </c>
    </row>
    <row r="4996" spans="1:4" x14ac:dyDescent="0.2">
      <c r="A4996" s="12">
        <v>4935</v>
      </c>
      <c r="B4996" s="138">
        <f>'FP Info 3'!H31</f>
        <v>113154257.88900001</v>
      </c>
      <c r="D4996" s="2" t="str">
        <f t="shared" si="77"/>
        <v>Error?</v>
      </c>
    </row>
    <row r="4997" spans="1:4" x14ac:dyDescent="0.2">
      <c r="A4997" s="12">
        <v>4936</v>
      </c>
      <c r="B4997" s="138">
        <f>'FP Info 3'!H37</f>
        <v>67051378</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48770998</v>
      </c>
      <c r="D5061" s="2" t="str">
        <f t="shared" si="78"/>
        <v>Error?</v>
      </c>
    </row>
    <row r="5062" spans="1:4" x14ac:dyDescent="0.2">
      <c r="A5062" s="10">
        <v>5001</v>
      </c>
      <c r="D5062" s="2" t="str">
        <f t="shared" si="78"/>
        <v>OK</v>
      </c>
    </row>
    <row r="5063" spans="1:4" x14ac:dyDescent="0.2">
      <c r="A5063" s="5">
        <v>5002</v>
      </c>
      <c r="B5063" s="138">
        <f>'Revenues 9-14'!C7</f>
        <v>1390048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50161046</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282562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282562</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42395</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42395</v>
      </c>
      <c r="C5087" s="2" t="s">
        <v>573</v>
      </c>
      <c r="D5087" s="2" t="str">
        <f t="shared" si="78"/>
        <v>Error?</v>
      </c>
    </row>
    <row r="5088" spans="1:4" x14ac:dyDescent="0.2">
      <c r="A5088" s="5">
        <v>5027</v>
      </c>
      <c r="B5088" s="138">
        <f>'Revenues 9-14'!C65</f>
        <v>390677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390677</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697983</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20940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20940</v>
      </c>
      <c r="C5102" s="2" t="s">
        <v>573</v>
      </c>
      <c r="D5102" s="2" t="str">
        <f t="shared" si="78"/>
        <v>Error?</v>
      </c>
    </row>
    <row r="5103" spans="1:4" x14ac:dyDescent="0.2">
      <c r="A5103" s="5">
        <v>5042</v>
      </c>
      <c r="B5103" s="138">
        <f>'Revenues 9-14'!C84</f>
        <v>589992</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589992</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48571</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64575</v>
      </c>
      <c r="D5119" s="2" t="str">
        <f t="shared" ref="D5119:D5182" si="79">IF(ISBLANK(B5119),"OK",IF(A5119-B5119=0,"OK","Error?"))</f>
        <v>Error?</v>
      </c>
    </row>
    <row r="5120" spans="1:4" x14ac:dyDescent="0.2">
      <c r="A5120" s="5">
        <v>5059</v>
      </c>
      <c r="B5120" s="138">
        <f>'Revenues 9-14'!C108</f>
        <v>113146</v>
      </c>
      <c r="C5120" s="2" t="s">
        <v>573</v>
      </c>
      <c r="D5120" s="2" t="str">
        <f t="shared" si="79"/>
        <v>Error?</v>
      </c>
    </row>
    <row r="5121" spans="1:4" x14ac:dyDescent="0.2">
      <c r="A5121" s="5">
        <v>5060</v>
      </c>
      <c r="B5121" s="138">
        <f>'Revenues 9-14'!C109</f>
        <v>52298741</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5921716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5921716</v>
      </c>
      <c r="C5132" s="2" t="s">
        <v>573</v>
      </c>
      <c r="D5132" s="2" t="str">
        <f t="shared" si="79"/>
        <v>Error?</v>
      </c>
    </row>
    <row r="5133" spans="1:4" x14ac:dyDescent="0.2">
      <c r="A5133" s="5">
        <v>5072</v>
      </c>
      <c r="B5133" s="138">
        <f>'Revenues 9-14'!C125</f>
        <v>521442</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54062</v>
      </c>
      <c r="D5137" s="2" t="str">
        <f t="shared" si="79"/>
        <v>Error?</v>
      </c>
    </row>
    <row r="5138" spans="1:4" x14ac:dyDescent="0.2">
      <c r="A5138" s="10">
        <v>5077</v>
      </c>
      <c r="D5138" s="2" t="str">
        <f t="shared" si="79"/>
        <v>OK</v>
      </c>
    </row>
    <row r="5139" spans="1:4" x14ac:dyDescent="0.2">
      <c r="A5139" s="5">
        <v>5078</v>
      </c>
      <c r="B5139" s="138">
        <f>'Revenues 9-14'!C129</f>
        <v>2006</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577510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15031</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407703</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1936</v>
      </c>
    </row>
    <row r="5200" spans="1:5" x14ac:dyDescent="0.2">
      <c r="A5200" s="10">
        <v>5139</v>
      </c>
      <c r="D5200" s="2" t="str">
        <f t="shared" si="80"/>
        <v>OK</v>
      </c>
      <c r="E5200" s="4" t="s">
        <v>1936</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1004311</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6926027</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764912</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171931</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936843</v>
      </c>
      <c r="C5246" s="2" t="s">
        <v>573</v>
      </c>
      <c r="D5246" s="2" t="str">
        <f t="shared" si="80"/>
        <v>Error?</v>
      </c>
    </row>
    <row r="5247" spans="1:4" x14ac:dyDescent="0.2">
      <c r="A5247" s="5">
        <v>5186</v>
      </c>
      <c r="B5247" s="138">
        <f>'Revenues 9-14'!C200</f>
        <v>488170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1936</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501891</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44372</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827401</v>
      </c>
      <c r="D5278" s="2" t="str">
        <f t="shared" si="81"/>
        <v>Error?</v>
      </c>
    </row>
    <row r="5279" spans="1:4" x14ac:dyDescent="0.2">
      <c r="A5279" s="5">
        <v>5218</v>
      </c>
      <c r="B5279" s="138">
        <f>'Revenues 9-14'!C214</f>
        <v>44942</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916715</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639</v>
      </c>
      <c r="D5312" s="2" t="str">
        <f t="shared" si="82"/>
        <v>Error?</v>
      </c>
    </row>
    <row r="5313" spans="1:5" x14ac:dyDescent="0.2">
      <c r="A5313" s="10">
        <v>5252</v>
      </c>
      <c r="D5313" s="2" t="str">
        <f t="shared" si="82"/>
        <v>OK</v>
      </c>
      <c r="E5313" s="4" t="s">
        <v>1936</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3256421</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3256421</v>
      </c>
      <c r="C5326" s="2" t="s">
        <v>573</v>
      </c>
      <c r="D5326" s="2" t="str">
        <f t="shared" si="82"/>
        <v>Error?</v>
      </c>
    </row>
    <row r="5327" spans="1:5" x14ac:dyDescent="0.2">
      <c r="A5327" s="5">
        <v>5266</v>
      </c>
      <c r="B5327" s="138">
        <f>'Revenues 9-14'!C268</f>
        <v>62481189</v>
      </c>
      <c r="C5327" s="2" t="s">
        <v>573</v>
      </c>
      <c r="D5327" s="2" t="str">
        <f t="shared" si="82"/>
        <v>Error?</v>
      </c>
    </row>
    <row r="5328" spans="1:5" x14ac:dyDescent="0.2">
      <c r="A5328" s="5">
        <v>5267</v>
      </c>
      <c r="B5328" s="138">
        <f>'Revenues 9-14'!D5</f>
        <v>5384593</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5384593</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58629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58629</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155345</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66866</v>
      </c>
      <c r="D5354" s="2" t="str">
        <f t="shared" si="82"/>
        <v>Error?</v>
      </c>
    </row>
    <row r="5355" spans="1:4" x14ac:dyDescent="0.2">
      <c r="A5355" s="5">
        <v>5294</v>
      </c>
      <c r="B5355" s="138">
        <f>'Revenues 9-14'!D108</f>
        <v>222211</v>
      </c>
      <c r="C5355" s="2" t="s">
        <v>573</v>
      </c>
      <c r="D5355" s="2" t="str">
        <f t="shared" si="82"/>
        <v>Error?</v>
      </c>
    </row>
    <row r="5356" spans="1:4" x14ac:dyDescent="0.2">
      <c r="A5356" s="5">
        <v>5295</v>
      </c>
      <c r="B5356" s="138">
        <f>'Revenues 9-14'!D109</f>
        <v>5665433</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1936</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5665433</v>
      </c>
      <c r="C5508" s="2" t="s">
        <v>573</v>
      </c>
      <c r="D5508" s="2" t="str">
        <f t="shared" si="85"/>
        <v>Error?</v>
      </c>
    </row>
    <row r="5509" spans="1:4" x14ac:dyDescent="0.2">
      <c r="A5509" s="5">
        <v>5448</v>
      </c>
      <c r="B5509" s="138">
        <f>'Revenues 9-14'!E5</f>
        <v>4729642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4729642</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30739</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30739</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4760381</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4760381</v>
      </c>
      <c r="C5552" s="2" t="s">
        <v>573</v>
      </c>
      <c r="D5552" s="2" t="str">
        <f t="shared" si="85"/>
        <v>Error?</v>
      </c>
    </row>
    <row r="5553" spans="1:4" x14ac:dyDescent="0.2">
      <c r="A5553" s="5">
        <v>5492</v>
      </c>
      <c r="B5553" s="138">
        <f>'Revenues 9-14'!F5</f>
        <v>2171018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2171018</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143948</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143948</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17086</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17086</v>
      </c>
      <c r="C5579" s="2" t="s">
        <v>573</v>
      </c>
      <c r="D5579" s="2" t="str">
        <f t="shared" si="86"/>
        <v>Error?</v>
      </c>
    </row>
    <row r="5580" spans="1:4" x14ac:dyDescent="0.2">
      <c r="A5580" s="5">
        <v>5519</v>
      </c>
      <c r="B5580" s="138">
        <f>'Revenues 9-14'!F65</f>
        <v>71725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71725</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405</v>
      </c>
      <c r="D5586" s="2" t="str">
        <f t="shared" si="86"/>
        <v>Error?</v>
      </c>
    </row>
    <row r="5587" spans="1:4" x14ac:dyDescent="0.2">
      <c r="A5587" s="5">
        <v>5526</v>
      </c>
      <c r="B5587" s="138">
        <f>'Revenues 9-14'!F108</f>
        <v>405</v>
      </c>
      <c r="C5587" s="2" t="s">
        <v>573</v>
      </c>
      <c r="D5587" s="2" t="str">
        <f t="shared" si="86"/>
        <v>Error?</v>
      </c>
    </row>
    <row r="5588" spans="1:4" x14ac:dyDescent="0.2">
      <c r="A5588" s="5">
        <v>5527</v>
      </c>
      <c r="B5588" s="138">
        <f>'Revenues 9-14'!F109</f>
        <v>2404182</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1381432</v>
      </c>
      <c r="D5615" s="2" t="str">
        <f t="shared" si="86"/>
        <v>Error?</v>
      </c>
    </row>
    <row r="5616" spans="1:4" x14ac:dyDescent="0.2">
      <c r="A5616" s="10">
        <v>5555</v>
      </c>
      <c r="D5616" s="2" t="str">
        <f t="shared" si="86"/>
        <v>OK</v>
      </c>
    </row>
    <row r="5617" spans="1:5" x14ac:dyDescent="0.2">
      <c r="A5617" s="5">
        <v>5556</v>
      </c>
      <c r="B5617" s="138">
        <f>'Revenues 9-14'!F153</f>
        <v>1343040</v>
      </c>
      <c r="D5617" s="2" t="str">
        <f t="shared" si="86"/>
        <v>Error?</v>
      </c>
    </row>
    <row r="5618" spans="1:5" x14ac:dyDescent="0.2">
      <c r="A5618" s="5">
        <v>5557</v>
      </c>
      <c r="B5618" s="138">
        <f>'Revenues 9-14'!F155</f>
        <v>2724472</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1936</v>
      </c>
    </row>
    <row r="5631" spans="1:5" x14ac:dyDescent="0.2">
      <c r="A5631" s="10">
        <v>5570</v>
      </c>
      <c r="D5631" s="2" t="str">
        <f t="shared" ref="D5631:D5694" si="87">IF(ISBLANK(B5631),"OK",IF(A5631-B5631=0,"OK","Error?"))</f>
        <v>OK</v>
      </c>
      <c r="E5631" s="4" t="s">
        <v>1936</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2724472</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2724472</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1936</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1936</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5128654</v>
      </c>
      <c r="C5720" s="2" t="s">
        <v>573</v>
      </c>
      <c r="D5720" s="2" t="str">
        <f t="shared" si="88"/>
        <v>Error?</v>
      </c>
    </row>
    <row r="5721" spans="1:4" x14ac:dyDescent="0.2">
      <c r="A5721" s="5">
        <v>5660</v>
      </c>
      <c r="B5721" s="138">
        <f>'Revenues 9-14'!G5</f>
        <v>1297498</v>
      </c>
      <c r="D5721" s="2" t="str">
        <f t="shared" si="88"/>
        <v>Error?</v>
      </c>
    </row>
    <row r="5722" spans="1:4" x14ac:dyDescent="0.2">
      <c r="A5722" s="5">
        <v>5661</v>
      </c>
      <c r="B5722" s="138">
        <f>'Revenues 9-14'!G7</f>
        <v>0</v>
      </c>
      <c r="D5722" s="2" t="str">
        <f t="shared" si="88"/>
        <v>Error?</v>
      </c>
    </row>
    <row r="5723" spans="1:4" x14ac:dyDescent="0.2">
      <c r="A5723" s="5">
        <v>5662</v>
      </c>
      <c r="B5723" s="138">
        <f>'Revenues 9-14'!G8</f>
        <v>1297498</v>
      </c>
      <c r="D5723" s="2" t="str">
        <f t="shared" si="88"/>
        <v>Error?</v>
      </c>
    </row>
    <row r="5724" spans="1:4" x14ac:dyDescent="0.2">
      <c r="A5724" s="5">
        <v>5663</v>
      </c>
      <c r="B5724" s="138">
        <f>'Revenues 9-14'!G11</f>
        <v>108195</v>
      </c>
      <c r="D5724" s="2" t="str">
        <f t="shared" si="88"/>
        <v>Error?</v>
      </c>
    </row>
    <row r="5725" spans="1:4" x14ac:dyDescent="0.2">
      <c r="A5725" s="5">
        <v>5664</v>
      </c>
      <c r="B5725" s="138">
        <f>'Revenues 9-14'!G12</f>
        <v>2703191</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106628</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106628</v>
      </c>
      <c r="C5730" s="2" t="s">
        <v>573</v>
      </c>
      <c r="D5730" s="2" t="str">
        <f t="shared" si="88"/>
        <v>Error?</v>
      </c>
    </row>
    <row r="5731" spans="1:4" x14ac:dyDescent="0.2">
      <c r="A5731" s="5">
        <v>5670</v>
      </c>
      <c r="B5731" s="138">
        <f>'Revenues 9-14'!G65</f>
        <v>32930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32930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1936</v>
      </c>
    </row>
    <row r="5768" spans="1:5" x14ac:dyDescent="0.2">
      <c r="A5768" s="10">
        <v>5707</v>
      </c>
      <c r="D5768" s="2" t="str">
        <f t="shared" si="89"/>
        <v>OK</v>
      </c>
      <c r="E5768" s="4" t="s">
        <v>1936</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1936</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1936</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2842749</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48537</v>
      </c>
      <c r="D5879" s="2" t="str">
        <f t="shared" si="90"/>
        <v>Error?</v>
      </c>
    </row>
    <row r="5880" spans="1:4" x14ac:dyDescent="0.2">
      <c r="A5880" s="5">
        <v>5819</v>
      </c>
      <c r="B5880" s="138">
        <f>'Revenues 9-14'!H66</f>
        <v>0</v>
      </c>
      <c r="D5880" s="2" t="str">
        <f t="shared" si="90"/>
        <v>Error?</v>
      </c>
    </row>
    <row r="5881" spans="1:4" x14ac:dyDescent="0.2">
      <c r="A5881" s="5">
        <v>5820</v>
      </c>
      <c r="B5881" s="138">
        <f>'Revenues 9-14'!H67</f>
        <v>48537</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11726</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60263</v>
      </c>
      <c r="C5915" s="2" t="s">
        <v>573</v>
      </c>
      <c r="D5915" s="2" t="str">
        <f t="shared" si="91"/>
        <v>Error?</v>
      </c>
    </row>
    <row r="5916" spans="1:4" x14ac:dyDescent="0.2">
      <c r="A5916" s="5">
        <v>5855</v>
      </c>
      <c r="B5916" s="138">
        <f>'Revenues 9-14'!I5</f>
        <v>19500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19500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637922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637922</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657422</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4</v>
      </c>
      <c r="D5993" s="2" t="str">
        <f t="shared" si="92"/>
        <v>Error?</v>
      </c>
    </row>
    <row r="5994" spans="1:4" x14ac:dyDescent="0.2">
      <c r="A5994" s="5">
        <v>5933</v>
      </c>
      <c r="B5994" s="138">
        <f>'Revenues 9-14'!K66</f>
        <v>0</v>
      </c>
      <c r="D5994" s="2" t="str">
        <f t="shared" si="92"/>
        <v>Error?</v>
      </c>
    </row>
    <row r="5995" spans="1:4" x14ac:dyDescent="0.2">
      <c r="A5995" s="5">
        <v>5934</v>
      </c>
      <c r="B5995" s="138">
        <f>'Revenues 9-14'!K67</f>
        <v>4</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4</v>
      </c>
      <c r="C6023" s="2" t="s">
        <v>573</v>
      </c>
      <c r="D6023" s="2" t="str">
        <f t="shared" si="93"/>
        <v>Error?</v>
      </c>
    </row>
    <row r="6024" spans="1:5" x14ac:dyDescent="0.2">
      <c r="A6024" s="5">
        <v>5963</v>
      </c>
      <c r="B6024" s="138">
        <f>'Revenues 9-14'!G109</f>
        <v>2842749</v>
      </c>
      <c r="C6024" s="2" t="s">
        <v>573</v>
      </c>
      <c r="D6024" s="2" t="str">
        <f t="shared" si="93"/>
        <v>Error?</v>
      </c>
    </row>
    <row r="6025" spans="1:5" x14ac:dyDescent="0.2">
      <c r="A6025" s="5">
        <v>5964</v>
      </c>
      <c r="B6025" s="138">
        <f>'Revenues 9-14'!H109</f>
        <v>60263</v>
      </c>
      <c r="C6025" s="2" t="s">
        <v>573</v>
      </c>
      <c r="D6025" s="2" t="str">
        <f t="shared" si="93"/>
        <v>Error?</v>
      </c>
    </row>
    <row r="6026" spans="1:5" x14ac:dyDescent="0.2">
      <c r="A6026" s="5">
        <v>5965</v>
      </c>
      <c r="B6026" s="138">
        <f>'Revenues 9-14'!I109</f>
        <v>657422</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4</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697983</v>
      </c>
      <c r="D6031" s="2" t="str">
        <f t="shared" si="93"/>
        <v>Error?</v>
      </c>
    </row>
    <row r="6032" spans="1:5" x14ac:dyDescent="0.2">
      <c r="A6032" s="5">
        <v>5971</v>
      </c>
      <c r="B6032" s="138">
        <f>'Acct Summary 7-8'!G15</f>
        <v>115293</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131126</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5372.7</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700528</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676141</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163690</v>
      </c>
      <c r="D6099" s="2" t="str">
        <f t="shared" si="94"/>
        <v>Error?</v>
      </c>
      <c r="E6099" s="2" t="s">
        <v>190</v>
      </c>
    </row>
    <row r="6100" spans="1:5" x14ac:dyDescent="0.2">
      <c r="A6100">
        <v>6039</v>
      </c>
      <c r="B6100" s="138">
        <f>'Assets-Liab 5-6'!D9</f>
        <v>29391</v>
      </c>
      <c r="D6100" s="2" t="str">
        <f t="shared" si="94"/>
        <v>Error?</v>
      </c>
      <c r="E6100" s="2" t="s">
        <v>190</v>
      </c>
    </row>
    <row r="6101" spans="1:5" x14ac:dyDescent="0.2">
      <c r="A6101">
        <v>6040</v>
      </c>
      <c r="B6101" s="138">
        <f>'Assets-Liab 5-6'!E9</f>
        <v>27617</v>
      </c>
      <c r="D6101" s="2" t="str">
        <f t="shared" si="94"/>
        <v>Error?</v>
      </c>
      <c r="E6101" s="2" t="s">
        <v>190</v>
      </c>
    </row>
    <row r="6102" spans="1:5" x14ac:dyDescent="0.2">
      <c r="A6102">
        <v>6041</v>
      </c>
      <c r="B6102" s="138">
        <f>'Assets-Liab 5-6'!F9</f>
        <v>33225</v>
      </c>
      <c r="D6102" s="2" t="str">
        <f t="shared" si="94"/>
        <v>Error?</v>
      </c>
      <c r="E6102" s="2" t="s">
        <v>190</v>
      </c>
    </row>
    <row r="6103" spans="1:5" x14ac:dyDescent="0.2">
      <c r="A6103">
        <f>A6102+1</f>
        <v>6042</v>
      </c>
      <c r="B6103" s="138">
        <f>'Assets-Liab 5-6'!G9</f>
        <v>17029</v>
      </c>
      <c r="D6103" s="2" t="str">
        <f t="shared" si="94"/>
        <v>Error?</v>
      </c>
      <c r="E6103" s="2" t="s">
        <v>190</v>
      </c>
    </row>
    <row r="6104" spans="1:5" x14ac:dyDescent="0.2">
      <c r="A6104">
        <v>6043</v>
      </c>
      <c r="B6104" s="138">
        <f>'Assets-Liab 5-6'!H9</f>
        <v>2906</v>
      </c>
      <c r="D6104" s="2" t="str">
        <f t="shared" si="94"/>
        <v>Error?</v>
      </c>
      <c r="E6104" s="2" t="s">
        <v>190</v>
      </c>
    </row>
    <row r="6105" spans="1:5" x14ac:dyDescent="0.2">
      <c r="A6105">
        <v>6044</v>
      </c>
      <c r="B6105" s="138">
        <f>'Assets-Liab 5-6'!I9</f>
        <v>266299</v>
      </c>
      <c r="D6105" s="2" t="str">
        <f t="shared" si="94"/>
        <v>Error?</v>
      </c>
      <c r="E6105" s="2" t="s">
        <v>190</v>
      </c>
    </row>
    <row r="6106" spans="1:5" x14ac:dyDescent="0.2">
      <c r="A6106">
        <v>6045</v>
      </c>
      <c r="B6106" s="138">
        <f>'Assets-Liab 5-6'!J9</f>
        <v>7</v>
      </c>
      <c r="D6106" s="2" t="str">
        <f t="shared" si="94"/>
        <v>Error?</v>
      </c>
      <c r="E6106" s="2" t="s">
        <v>190</v>
      </c>
    </row>
    <row r="6107" spans="1:5" x14ac:dyDescent="0.2">
      <c r="A6107">
        <v>6046</v>
      </c>
      <c r="B6107" s="138">
        <f>'Assets-Liab 5-6'!K9</f>
        <v>17</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10103</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141362</v>
      </c>
      <c r="D6142" s="2" t="str">
        <f t="shared" si="94"/>
        <v>Error?</v>
      </c>
      <c r="E6142" s="2" t="s">
        <v>190</v>
      </c>
    </row>
    <row r="6143" spans="1:5" x14ac:dyDescent="0.2">
      <c r="A6143">
        <v>6082</v>
      </c>
      <c r="B6143" s="138">
        <f>'Assets-Liab 5-6'!D27</f>
        <v>111704</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33118</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25153</v>
      </c>
      <c r="D6169" s="2" t="str">
        <f t="shared" si="95"/>
        <v>Error?</v>
      </c>
      <c r="E6169" s="2" t="s">
        <v>190</v>
      </c>
    </row>
    <row r="6170" spans="1:5" x14ac:dyDescent="0.2">
      <c r="A6170">
        <v>6109</v>
      </c>
      <c r="B6170" s="138">
        <f>'Assets-Liab 5-6'!D30</f>
        <v>6958</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18221</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9205</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9205</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898</v>
      </c>
      <c r="D6215" s="2" t="str">
        <f t="shared" si="96"/>
        <v>Error?</v>
      </c>
      <c r="E6215" s="2" t="s">
        <v>190</v>
      </c>
    </row>
    <row r="6216" spans="1:5" x14ac:dyDescent="0.2">
      <c r="A6216">
        <v>6155</v>
      </c>
      <c r="B6216" s="138">
        <f>'Assets-Liab 5-6'!J41</f>
        <v>10103</v>
      </c>
      <c r="D6216" s="2" t="str">
        <f t="shared" si="96"/>
        <v>Error?</v>
      </c>
      <c r="E6216" s="2" t="s">
        <v>190</v>
      </c>
    </row>
    <row r="6217" spans="1:5" x14ac:dyDescent="0.2">
      <c r="A6217">
        <v>6156</v>
      </c>
      <c r="B6217" s="138">
        <f>'Assets-Liab 5-6'!J4</f>
        <v>285</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9811</v>
      </c>
      <c r="D6219" s="2" t="str">
        <f t="shared" si="96"/>
        <v>Error?</v>
      </c>
      <c r="E6219" s="2" t="s">
        <v>190</v>
      </c>
    </row>
    <row r="6220" spans="1:5" x14ac:dyDescent="0.2">
      <c r="A6220">
        <v>6159</v>
      </c>
      <c r="B6220" s="138">
        <f>'Acct Summary 7-8'!J4</f>
        <v>18889</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18889</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18889</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20486</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20486</v>
      </c>
      <c r="D6229" s="2" t="str">
        <f t="shared" si="96"/>
        <v>Error?</v>
      </c>
      <c r="E6229" s="2" t="s">
        <v>190</v>
      </c>
    </row>
    <row r="6230" spans="1:5" x14ac:dyDescent="0.2">
      <c r="A6230">
        <v>6169</v>
      </c>
      <c r="B6230" s="138">
        <f>'Acct Summary 7-8'!J20</f>
        <v>-1597</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5821620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-1597</v>
      </c>
      <c r="D6263" s="2" t="str">
        <f t="shared" si="96"/>
        <v>Error?</v>
      </c>
      <c r="E6263" s="2" t="s">
        <v>190</v>
      </c>
    </row>
    <row r="6264" spans="1:5" x14ac:dyDescent="0.2">
      <c r="A6264">
        <v>6203</v>
      </c>
      <c r="B6264" s="138">
        <f>'Acct Summary 7-8'!J79</f>
        <v>2495</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898</v>
      </c>
      <c r="D6266" s="2" t="str">
        <f t="shared" si="96"/>
        <v>Error?</v>
      </c>
      <c r="E6266" s="2" t="s">
        <v>190</v>
      </c>
    </row>
    <row r="6267" spans="1:5" x14ac:dyDescent="0.2">
      <c r="A6267">
        <v>6206</v>
      </c>
      <c r="B6267" s="138">
        <f>'Acct Summary 7-8'!C82</f>
        <v>-2627031</v>
      </c>
      <c r="D6267" s="2" t="str">
        <f t="shared" si="96"/>
        <v>Error?</v>
      </c>
      <c r="E6267" s="2" t="s">
        <v>190</v>
      </c>
    </row>
    <row r="6268" spans="1:5" x14ac:dyDescent="0.2">
      <c r="A6268">
        <v>6207</v>
      </c>
      <c r="B6268" s="138">
        <f>'Acct Summary 7-8'!D82</f>
        <v>-15609</v>
      </c>
      <c r="D6268" s="2" t="str">
        <f t="shared" si="96"/>
        <v>Error?</v>
      </c>
      <c r="E6268" s="2" t="s">
        <v>190</v>
      </c>
    </row>
    <row r="6269" spans="1:5" x14ac:dyDescent="0.2">
      <c r="A6269">
        <v>6208</v>
      </c>
      <c r="B6269" s="138">
        <f>'Acct Summary 7-8'!E82</f>
        <v>-1231964</v>
      </c>
      <c r="D6269" s="2" t="str">
        <f t="shared" si="96"/>
        <v>Error?</v>
      </c>
      <c r="E6269" s="2" t="s">
        <v>190</v>
      </c>
    </row>
    <row r="6270" spans="1:5" x14ac:dyDescent="0.2">
      <c r="A6270">
        <v>6209</v>
      </c>
      <c r="B6270" s="138">
        <f>'Acct Summary 7-8'!F82</f>
        <v>87111</v>
      </c>
      <c r="D6270" s="2" t="str">
        <f t="shared" si="96"/>
        <v>Error?</v>
      </c>
      <c r="E6270" s="2" t="s">
        <v>190</v>
      </c>
    </row>
    <row r="6271" spans="1:5" x14ac:dyDescent="0.2">
      <c r="A6271">
        <v>6210</v>
      </c>
      <c r="B6271" s="138">
        <f>'Acct Summary 7-8'!G82</f>
        <v>72187</v>
      </c>
      <c r="D6271" s="2" t="str">
        <f t="shared" ref="D6271:D6334" si="97">IF(ISBLANK(B6271),"OK",IF(A6271-B6271=0,"OK","Error?"))</f>
        <v>Error?</v>
      </c>
      <c r="E6271" s="2" t="s">
        <v>190</v>
      </c>
    </row>
    <row r="6272" spans="1:5" x14ac:dyDescent="0.2">
      <c r="A6272">
        <v>6211</v>
      </c>
      <c r="B6272" s="138">
        <f>'Acct Summary 7-8'!H82</f>
        <v>422673</v>
      </c>
      <c r="D6272" s="2" t="str">
        <f t="shared" si="97"/>
        <v>Error?</v>
      </c>
      <c r="E6272" s="2" t="s">
        <v>190</v>
      </c>
    </row>
    <row r="6273" spans="1:5" x14ac:dyDescent="0.2">
      <c r="A6273">
        <v>6212</v>
      </c>
      <c r="B6273" s="138">
        <f>'Acct Summary 7-8'!I82</f>
        <v>-5164198</v>
      </c>
      <c r="D6273" s="2" t="str">
        <f t="shared" si="97"/>
        <v>Error?</v>
      </c>
      <c r="E6273" s="2" t="s">
        <v>190</v>
      </c>
    </row>
    <row r="6274" spans="1:5" x14ac:dyDescent="0.2">
      <c r="A6274">
        <v>6213</v>
      </c>
      <c r="B6274" s="138">
        <f>'Acct Summary 7-8'!J82</f>
        <v>-1597</v>
      </c>
      <c r="D6274" s="2" t="str">
        <f t="shared" si="97"/>
        <v>Error?</v>
      </c>
      <c r="E6274" s="2" t="s">
        <v>190</v>
      </c>
    </row>
    <row r="6275" spans="1:5" x14ac:dyDescent="0.2">
      <c r="A6275">
        <v>6214</v>
      </c>
      <c r="B6275" s="138">
        <f>'Acct Summary 7-8'!K82</f>
        <v>4</v>
      </c>
      <c r="D6275" s="2" t="str">
        <f t="shared" si="97"/>
        <v>Error?</v>
      </c>
      <c r="E6275" s="2" t="s">
        <v>190</v>
      </c>
    </row>
    <row r="6276" spans="1:5" x14ac:dyDescent="0.2">
      <c r="A6276">
        <v>6215</v>
      </c>
      <c r="B6276" s="138">
        <f>'Acct Summary 7-8'!C83</f>
        <v>-0.13979781228318158</v>
      </c>
      <c r="D6276" s="2" t="str">
        <f t="shared" si="97"/>
        <v>Error?</v>
      </c>
      <c r="E6276" s="2" t="s">
        <v>190</v>
      </c>
    </row>
    <row r="6277" spans="1:5" x14ac:dyDescent="0.2">
      <c r="A6277">
        <v>6216</v>
      </c>
      <c r="B6277" s="138">
        <f>'Acct Summary 7-8'!D83</f>
        <v>-4.489665485549168E-3</v>
      </c>
      <c r="D6277" s="2" t="str">
        <f t="shared" si="97"/>
        <v>Error?</v>
      </c>
      <c r="E6277" s="2" t="s">
        <v>190</v>
      </c>
    </row>
    <row r="6278" spans="1:5" x14ac:dyDescent="0.2">
      <c r="A6278">
        <v>6217</v>
      </c>
      <c r="B6278" s="138">
        <f>'Acct Summary 7-8'!E83</f>
        <v>-0.43727789396269118</v>
      </c>
      <c r="D6278" s="2" t="str">
        <f t="shared" si="97"/>
        <v>Error?</v>
      </c>
      <c r="E6278" s="2" t="s">
        <v>190</v>
      </c>
    </row>
    <row r="6279" spans="1:5" x14ac:dyDescent="0.2">
      <c r="A6279">
        <v>6218</v>
      </c>
      <c r="B6279" s="138">
        <f>'Acct Summary 7-8'!F83</f>
        <v>1.8827113065771377E-2</v>
      </c>
      <c r="D6279" s="2" t="str">
        <f t="shared" si="97"/>
        <v>Error?</v>
      </c>
      <c r="E6279" s="2" t="s">
        <v>190</v>
      </c>
    </row>
    <row r="6280" spans="1:5" x14ac:dyDescent="0.2">
      <c r="A6280">
        <v>6219</v>
      </c>
      <c r="B6280" s="138">
        <f>'Acct Summary 7-8'!G83</f>
        <v>3.9045115506731357E-2</v>
      </c>
      <c r="D6280" s="2" t="str">
        <f t="shared" si="97"/>
        <v>Error?</v>
      </c>
      <c r="E6280" s="2" t="s">
        <v>190</v>
      </c>
    </row>
    <row r="6281" spans="1:5" x14ac:dyDescent="0.2">
      <c r="A6281">
        <v>6220</v>
      </c>
      <c r="B6281" s="138">
        <f>'Acct Summary 7-8'!H83</f>
        <v>0.76637420379567123</v>
      </c>
      <c r="D6281" s="2" t="str">
        <f t="shared" si="97"/>
        <v>Error?</v>
      </c>
      <c r="E6281" s="2" t="s">
        <v>190</v>
      </c>
    </row>
    <row r="6282" spans="1:5" x14ac:dyDescent="0.2">
      <c r="A6282">
        <v>6221</v>
      </c>
      <c r="B6282" s="138">
        <f>'Acct Summary 7-8'!I83</f>
        <v>-0.18061474439009695</v>
      </c>
      <c r="D6282" s="2" t="str">
        <f t="shared" si="97"/>
        <v>Error?</v>
      </c>
      <c r="E6282" s="2" t="s">
        <v>190</v>
      </c>
    </row>
    <row r="6283" spans="1:5" x14ac:dyDescent="0.2">
      <c r="A6283">
        <v>6222</v>
      </c>
      <c r="B6283" s="138">
        <f>'Acct Summary 7-8'!J83</f>
        <v>-1.7783964365256124</v>
      </c>
      <c r="D6283" s="2" t="str">
        <f t="shared" si="97"/>
        <v>Error?</v>
      </c>
      <c r="E6283" s="2" t="s">
        <v>190</v>
      </c>
    </row>
    <row r="6284" spans="1:5" x14ac:dyDescent="0.2">
      <c r="A6284">
        <v>6223</v>
      </c>
      <c r="B6284" s="138">
        <f>'Acct Summary 7-8'!K83</f>
        <v>1.9782393669634025E-3</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18971</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18971</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-82</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-82</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11726</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18889</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1935</v>
      </c>
    </row>
    <row r="6383" spans="1:6" x14ac:dyDescent="0.2">
      <c r="A6383" s="129">
        <v>6322</v>
      </c>
      <c r="D6383" s="2" t="str">
        <f t="shared" si="98"/>
        <v>OK</v>
      </c>
      <c r="E6383" s="2" t="s">
        <v>190</v>
      </c>
      <c r="F6383" s="1" t="s">
        <v>1935</v>
      </c>
    </row>
    <row r="6384" spans="1:6" x14ac:dyDescent="0.2">
      <c r="A6384" s="129">
        <v>6323</v>
      </c>
      <c r="D6384" s="2" t="str">
        <f t="shared" si="98"/>
        <v>OK</v>
      </c>
      <c r="E6384" s="2" t="s">
        <v>190</v>
      </c>
      <c r="F6384" s="1" t="s">
        <v>1935</v>
      </c>
    </row>
    <row r="6385" spans="1:6" x14ac:dyDescent="0.2">
      <c r="A6385" s="129">
        <v>6324</v>
      </c>
      <c r="D6385" s="2" t="str">
        <f t="shared" si="98"/>
        <v>OK</v>
      </c>
      <c r="E6385" s="2" t="s">
        <v>190</v>
      </c>
      <c r="F6385" s="1" t="s">
        <v>1935</v>
      </c>
    </row>
    <row r="6386" spans="1:6" x14ac:dyDescent="0.2">
      <c r="A6386" s="129">
        <v>6325</v>
      </c>
      <c r="D6386" s="2" t="str">
        <f t="shared" si="98"/>
        <v>OK</v>
      </c>
      <c r="E6386" s="2" t="s">
        <v>190</v>
      </c>
      <c r="F6386" s="1" t="s">
        <v>1935</v>
      </c>
    </row>
    <row r="6387" spans="1:6" x14ac:dyDescent="0.2">
      <c r="A6387" s="129">
        <v>6326</v>
      </c>
      <c r="D6387" s="2" t="str">
        <f t="shared" si="98"/>
        <v>OK</v>
      </c>
      <c r="E6387" s="2" t="s">
        <v>190</v>
      </c>
      <c r="F6387" s="1" t="s">
        <v>1935</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1935</v>
      </c>
    </row>
    <row r="6411" spans="1:6" x14ac:dyDescent="0.2">
      <c r="A6411" s="129">
        <v>6350</v>
      </c>
      <c r="D6411" s="2" t="str">
        <f t="shared" si="99"/>
        <v>OK</v>
      </c>
      <c r="E6411" s="2" t="s">
        <v>190</v>
      </c>
      <c r="F6411" s="1" t="s">
        <v>1935</v>
      </c>
    </row>
    <row r="6412" spans="1:6" x14ac:dyDescent="0.2">
      <c r="A6412" s="129">
        <v>6351</v>
      </c>
      <c r="D6412" s="2" t="str">
        <f t="shared" si="99"/>
        <v>OK</v>
      </c>
      <c r="E6412" s="2" t="s">
        <v>190</v>
      </c>
      <c r="F6412" s="1" t="s">
        <v>1935</v>
      </c>
    </row>
    <row r="6413" spans="1:6" x14ac:dyDescent="0.2">
      <c r="A6413" s="129">
        <v>6352</v>
      </c>
      <c r="D6413" s="2" t="str">
        <f t="shared" si="99"/>
        <v>OK</v>
      </c>
      <c r="E6413" s="2" t="s">
        <v>190</v>
      </c>
      <c r="F6413" s="1" t="s">
        <v>1935</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266503</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1935</v>
      </c>
    </row>
    <row r="6842" spans="1:5" x14ac:dyDescent="0.2">
      <c r="A6842" s="129">
        <v>6781</v>
      </c>
      <c r="D6842" s="2" t="str">
        <f t="shared" si="105"/>
        <v>OK</v>
      </c>
      <c r="E6842" s="1" t="s">
        <v>1935</v>
      </c>
    </row>
    <row r="6843" spans="1:5" x14ac:dyDescent="0.2">
      <c r="A6843" s="129">
        <v>6782</v>
      </c>
      <c r="D6843" s="2" t="str">
        <f t="shared" si="105"/>
        <v>OK</v>
      </c>
      <c r="E6843" s="1" t="s">
        <v>1935</v>
      </c>
    </row>
    <row r="6844" spans="1:5" x14ac:dyDescent="0.2">
      <c r="A6844">
        <v>6783</v>
      </c>
      <c r="B6844" s="138">
        <f>'Expenditures 15-22'!I5</f>
        <v>34356</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421461</v>
      </c>
      <c r="D6848" s="2" t="str">
        <f t="shared" si="106"/>
        <v>Error?</v>
      </c>
    </row>
    <row r="6849" spans="1:4" x14ac:dyDescent="0.2">
      <c r="A6849">
        <v>6788</v>
      </c>
      <c r="B6849" s="138">
        <f>'Expenditures 15-22'!I8</f>
        <v>4481</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1923</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568772</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1101326</v>
      </c>
      <c r="D6880" s="2" t="str">
        <f t="shared" si="106"/>
        <v>Error?</v>
      </c>
    </row>
    <row r="6881" spans="1:4" x14ac:dyDescent="0.2">
      <c r="A6881">
        <v>6820</v>
      </c>
      <c r="B6881" s="138">
        <f>'Expenditures 15-22'!K22</f>
        <v>1101326</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40760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3045</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3045</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1294901</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1294901</v>
      </c>
      <c r="D6940" s="2" t="str">
        <f t="shared" si="107"/>
        <v>Error?</v>
      </c>
    </row>
    <row r="6941" spans="1:4" x14ac:dyDescent="0.2">
      <c r="A6941">
        <v>6880</v>
      </c>
      <c r="B6941" s="138">
        <f>'Expenditures 15-22'!L52</f>
        <v>1251063</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4510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4510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12990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12990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720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94106</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94826</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115371</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1443062</v>
      </c>
      <c r="D6983" s="2" t="str">
        <f t="shared" si="108"/>
        <v>Error?</v>
      </c>
    </row>
    <row r="6984" spans="1:4" x14ac:dyDescent="0.2">
      <c r="A6984">
        <v>6923</v>
      </c>
      <c r="B6984" s="138">
        <f>'Expenditures 15-22'!K86</f>
        <v>1443062</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1443062</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156131</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10638</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10638</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10638</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20486</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10638</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18889</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279</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279</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279</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20588</v>
      </c>
      <c r="D7073" s="2" t="str">
        <f t="shared" si="109"/>
        <v>Error?</v>
      </c>
    </row>
    <row r="7074" spans="1:4" x14ac:dyDescent="0.2">
      <c r="A7074">
        <v>7013</v>
      </c>
      <c r="B7074" s="138">
        <f>'Expenditures 15-22'!K216</f>
        <v>20588</v>
      </c>
      <c r="D7074" s="2" t="str">
        <f t="shared" si="109"/>
        <v>Error?</v>
      </c>
    </row>
    <row r="7075" spans="1:4" x14ac:dyDescent="0.2">
      <c r="A7075">
        <v>7014</v>
      </c>
      <c r="B7075" s="138">
        <f>'Expenditures 15-22'!D218</f>
        <v>38478</v>
      </c>
      <c r="D7075" s="2" t="str">
        <f t="shared" si="109"/>
        <v>Error?</v>
      </c>
    </row>
    <row r="7076" spans="1:4" x14ac:dyDescent="0.2">
      <c r="A7076">
        <v>7015</v>
      </c>
      <c r="B7076" s="138">
        <f>'Expenditures 15-22'!K218</f>
        <v>38478</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20486</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20486</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20486</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20486</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20486</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20486</v>
      </c>
      <c r="D7224" s="2" t="str">
        <f t="shared" si="111"/>
        <v>Error?</v>
      </c>
    </row>
    <row r="7225" spans="1:4" x14ac:dyDescent="0.2">
      <c r="A7225">
        <v>7164</v>
      </c>
      <c r="B7225" s="138">
        <f>'Expenditures 15-22'!K343</f>
        <v>-1597</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128105</v>
      </c>
      <c r="D7246" s="2" t="str">
        <f t="shared" si="112"/>
        <v>Error?</v>
      </c>
    </row>
    <row r="7247" spans="1:4" x14ac:dyDescent="0.2">
      <c r="A7247">
        <f t="shared" si="113"/>
        <v>7186</v>
      </c>
      <c r="B7247" s="138">
        <f>'Expenditures 15-22'!E7</f>
        <v>109</v>
      </c>
      <c r="D7247" s="2" t="str">
        <f t="shared" si="112"/>
        <v>Error?</v>
      </c>
    </row>
    <row r="7248" spans="1:4" x14ac:dyDescent="0.2">
      <c r="A7248">
        <f t="shared" si="113"/>
        <v>7187</v>
      </c>
      <c r="B7248" s="138">
        <f>'Expenditures 15-22'!F7</f>
        <v>26744</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421488</v>
      </c>
      <c r="D7251" s="2" t="str">
        <f t="shared" si="112"/>
        <v>Error?</v>
      </c>
    </row>
    <row r="7252" spans="1:4" x14ac:dyDescent="0.2">
      <c r="A7252">
        <f t="shared" si="113"/>
        <v>7191</v>
      </c>
      <c r="B7252" s="138">
        <f>'Expenditures 15-22'!D9</f>
        <v>140749</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4612</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167048</v>
      </c>
      <c r="D7624" s="2" t="str">
        <f t="shared" si="124"/>
        <v>Error?</v>
      </c>
      <c r="E7624" s="2" t="s">
        <v>19</v>
      </c>
    </row>
    <row r="7625" spans="1:5" x14ac:dyDescent="0.2">
      <c r="A7625">
        <f t="shared" si="123"/>
        <v>7564</v>
      </c>
      <c r="B7625" s="138">
        <f>'Cap Outlay Deprec 26'!I17</f>
        <v>16704.8</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4346589.8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1390048</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3245914</v>
      </c>
      <c r="D7759" s="2" t="str">
        <f t="shared" si="127"/>
        <v>Error?</v>
      </c>
      <c r="E7759" s="4" t="s">
        <v>1333</v>
      </c>
    </row>
    <row r="7760" spans="1:6" x14ac:dyDescent="0.2">
      <c r="A7760">
        <v>7699</v>
      </c>
      <c r="B7760" s="138">
        <f>'Aud Quest 2'!J90</f>
        <v>3245914</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1852</v>
      </c>
    </row>
    <row r="7775" spans="1:5" x14ac:dyDescent="0.2">
      <c r="A7775">
        <v>7714</v>
      </c>
      <c r="B7775" s="138">
        <f>'Expenditures 15-22'!H133</f>
        <v>0</v>
      </c>
      <c r="D7775" s="2" t="str">
        <f t="shared" si="127"/>
        <v>Error?</v>
      </c>
      <c r="E7775" s="4" t="s">
        <v>1852</v>
      </c>
    </row>
    <row r="7776" spans="1:5" x14ac:dyDescent="0.2">
      <c r="A7776">
        <v>7715</v>
      </c>
      <c r="B7776" s="138">
        <f>'Expenditures 15-22'!K133</f>
        <v>0</v>
      </c>
      <c r="D7776" s="2" t="str">
        <f t="shared" si="127"/>
        <v>Error?</v>
      </c>
      <c r="E7776" s="4" t="s">
        <v>1852</v>
      </c>
    </row>
    <row r="7777" spans="1:5" x14ac:dyDescent="0.2">
      <c r="A7777">
        <v>7716</v>
      </c>
      <c r="B7777" s="138">
        <f>'Expenditures 15-22'!H157</f>
        <v>0</v>
      </c>
      <c r="D7777" s="2" t="str">
        <f t="shared" si="127"/>
        <v>Error?</v>
      </c>
      <c r="E7777" s="4" t="s">
        <v>1852</v>
      </c>
    </row>
    <row r="7778" spans="1:5" x14ac:dyDescent="0.2">
      <c r="A7778">
        <v>7717</v>
      </c>
      <c r="B7778" s="138">
        <f>'Expenditures 15-22'!K157</f>
        <v>0</v>
      </c>
      <c r="D7778" s="2" t="str">
        <f t="shared" si="127"/>
        <v>Error?</v>
      </c>
      <c r="E7778" s="4" t="s">
        <v>1852</v>
      </c>
    </row>
    <row r="7779" spans="1:5" x14ac:dyDescent="0.2">
      <c r="A7779">
        <v>7718</v>
      </c>
      <c r="B7779" s="138">
        <f>'Expenditures 15-22'!H158</f>
        <v>0</v>
      </c>
      <c r="D7779" s="2" t="str">
        <f t="shared" si="127"/>
        <v>Error?</v>
      </c>
      <c r="E7779" s="4" t="s">
        <v>1852</v>
      </c>
    </row>
    <row r="7780" spans="1:5" x14ac:dyDescent="0.2">
      <c r="A7780">
        <v>7719</v>
      </c>
      <c r="B7780" s="138">
        <f>'Expenditures 15-22'!K158</f>
        <v>0</v>
      </c>
      <c r="D7780" s="2" t="str">
        <f t="shared" si="127"/>
        <v>Error?</v>
      </c>
      <c r="E7780" s="4" t="s">
        <v>1852</v>
      </c>
    </row>
    <row r="7781" spans="1:5" x14ac:dyDescent="0.2">
      <c r="A7781">
        <v>7720</v>
      </c>
      <c r="B7781" s="138">
        <f>'Expenditures 15-22'!H159</f>
        <v>0</v>
      </c>
      <c r="D7781" s="2" t="str">
        <f t="shared" si="127"/>
        <v>Error?</v>
      </c>
      <c r="E7781" s="4" t="s">
        <v>1852</v>
      </c>
    </row>
    <row r="7782" spans="1:5" x14ac:dyDescent="0.2">
      <c r="A7782">
        <v>7721</v>
      </c>
      <c r="B7782" s="138">
        <f>'Expenditures 15-22'!K159</f>
        <v>0</v>
      </c>
      <c r="D7782" s="2" t="str">
        <f t="shared" si="127"/>
        <v>Error?</v>
      </c>
      <c r="E7782" s="4" t="s">
        <v>1852</v>
      </c>
    </row>
    <row r="7783" spans="1:5" x14ac:dyDescent="0.2">
      <c r="A7783">
        <v>7722</v>
      </c>
      <c r="B7783" s="138">
        <f>'Expenditures 15-22'!D282</f>
        <v>0</v>
      </c>
      <c r="D7783" s="2" t="str">
        <f t="shared" si="127"/>
        <v>Error?</v>
      </c>
      <c r="E7783" s="4" t="s">
        <v>1852</v>
      </c>
    </row>
    <row r="7784" spans="1:5" x14ac:dyDescent="0.2">
      <c r="A7784">
        <v>7723</v>
      </c>
      <c r="B7784" s="138">
        <f>'Expenditures 15-22'!K282</f>
        <v>0</v>
      </c>
      <c r="D7784" s="2" t="str">
        <f t="shared" si="127"/>
        <v>Error?</v>
      </c>
      <c r="E7784" s="4" t="s">
        <v>1852</v>
      </c>
    </row>
    <row r="7785" spans="1:5" x14ac:dyDescent="0.2">
      <c r="A7785">
        <v>7724</v>
      </c>
      <c r="B7785" s="138">
        <f>'Expenditures 15-22'!H332</f>
        <v>0</v>
      </c>
      <c r="D7785" s="2" t="str">
        <f t="shared" si="127"/>
        <v>Error?</v>
      </c>
      <c r="E7785" s="4" t="s">
        <v>1852</v>
      </c>
    </row>
    <row r="7786" spans="1:5" x14ac:dyDescent="0.2">
      <c r="A7786">
        <v>7725</v>
      </c>
      <c r="B7786" s="138">
        <f>'Expenditures 15-22'!K332</f>
        <v>0</v>
      </c>
      <c r="D7786" s="2" t="str">
        <f t="shared" si="127"/>
        <v>Error?</v>
      </c>
      <c r="E7786" s="4" t="s">
        <v>1852</v>
      </c>
    </row>
    <row r="7787" spans="1:5" x14ac:dyDescent="0.2">
      <c r="A7787">
        <v>7726</v>
      </c>
      <c r="B7787" s="138">
        <f>'Expenditures 15-22'!H333</f>
        <v>0</v>
      </c>
      <c r="D7787" s="2" t="str">
        <f t="shared" si="127"/>
        <v>Error?</v>
      </c>
      <c r="E7787" s="4" t="s">
        <v>1852</v>
      </c>
    </row>
    <row r="7788" spans="1:5" x14ac:dyDescent="0.2">
      <c r="A7788">
        <v>7727</v>
      </c>
      <c r="B7788" s="138">
        <f>'Expenditures 15-22'!K333</f>
        <v>0</v>
      </c>
      <c r="D7788" s="2" t="str">
        <f t="shared" si="127"/>
        <v>Error?</v>
      </c>
      <c r="E7788" s="4" t="s">
        <v>1852</v>
      </c>
    </row>
    <row r="7789" spans="1:5" x14ac:dyDescent="0.2">
      <c r="A7789">
        <v>7728</v>
      </c>
      <c r="B7789" s="138">
        <f>'Expenditures 15-22'!H334</f>
        <v>0</v>
      </c>
      <c r="D7789" s="2" t="str">
        <f t="shared" si="127"/>
        <v>Error?</v>
      </c>
      <c r="E7789" s="4" t="s">
        <v>1852</v>
      </c>
    </row>
    <row r="7790" spans="1:5" x14ac:dyDescent="0.2">
      <c r="A7790">
        <v>7729</v>
      </c>
      <c r="B7790" s="138">
        <f>'Expenditures 15-22'!K334</f>
        <v>0</v>
      </c>
      <c r="D7790" s="2" t="str">
        <f t="shared" si="127"/>
        <v>Error?</v>
      </c>
      <c r="E7790" s="4" t="s">
        <v>1852</v>
      </c>
    </row>
    <row r="7791" spans="1:5" x14ac:dyDescent="0.2">
      <c r="A7791">
        <v>7730</v>
      </c>
      <c r="B7791" s="138">
        <f>'Expenditures 15-22'!H354</f>
        <v>0</v>
      </c>
      <c r="D7791" s="2" t="str">
        <f t="shared" si="127"/>
        <v>Error?</v>
      </c>
      <c r="E7791" s="4" t="s">
        <v>1852</v>
      </c>
    </row>
    <row r="7792" spans="1:5" x14ac:dyDescent="0.2">
      <c r="A7792">
        <v>7731</v>
      </c>
      <c r="B7792" s="138">
        <f>'Expenditures 15-22'!K354</f>
        <v>0</v>
      </c>
      <c r="D7792" s="2" t="str">
        <f t="shared" si="127"/>
        <v>Error?</v>
      </c>
      <c r="E7792" s="4" t="s">
        <v>1852</v>
      </c>
    </row>
    <row r="7793" spans="1:5" x14ac:dyDescent="0.2">
      <c r="A7793">
        <v>7732</v>
      </c>
      <c r="B7793" s="138">
        <f>'Expenditures 15-22'!H355</f>
        <v>0</v>
      </c>
      <c r="D7793" s="2" t="str">
        <f t="shared" si="127"/>
        <v>Error?</v>
      </c>
      <c r="E7793" s="4" t="s">
        <v>1852</v>
      </c>
    </row>
    <row r="7794" spans="1:5" x14ac:dyDescent="0.2">
      <c r="A7794">
        <v>7733</v>
      </c>
      <c r="B7794" s="138">
        <f>'Expenditures 15-22'!K355</f>
        <v>0</v>
      </c>
      <c r="D7794" s="2" t="str">
        <f t="shared" si="127"/>
        <v>Error?</v>
      </c>
      <c r="E7794" s="4" t="s">
        <v>1852</v>
      </c>
    </row>
    <row r="7795" spans="1:5" x14ac:dyDescent="0.2">
      <c r="A7795">
        <v>7734</v>
      </c>
      <c r="B7795" s="138">
        <f>'Expenditures 15-22'!E138</f>
        <v>0</v>
      </c>
      <c r="D7795" s="2" t="str">
        <f t="shared" si="127"/>
        <v>Error?</v>
      </c>
      <c r="E7795" s="4" t="s">
        <v>1852</v>
      </c>
    </row>
    <row r="7796" spans="1:5" x14ac:dyDescent="0.2">
      <c r="A7796">
        <v>7735</v>
      </c>
      <c r="B7796" s="138">
        <f>'Acct Summary 7-8'!J15</f>
        <v>0</v>
      </c>
      <c r="D7796" s="2" t="str">
        <f t="shared" si="127"/>
        <v>Error?</v>
      </c>
      <c r="E7796" s="4" t="s">
        <v>1852</v>
      </c>
    </row>
    <row r="7797" spans="1:5" x14ac:dyDescent="0.2">
      <c r="A7797">
        <v>7736</v>
      </c>
      <c r="B7797" s="138">
        <f>'Contracts Paid in CY 29'!D142</f>
        <v>4469377.88</v>
      </c>
      <c r="D7797" s="2" t="str">
        <f t="shared" si="127"/>
        <v>Error?</v>
      </c>
      <c r="E7797" s="4" t="s">
        <v>1901</v>
      </c>
    </row>
    <row r="7798" spans="1:5" x14ac:dyDescent="0.2">
      <c r="A7798">
        <v>7737</v>
      </c>
      <c r="B7798" s="138">
        <f>'Contracts Paid in CY 29'!F142</f>
        <v>657125.77</v>
      </c>
      <c r="D7798" s="2" t="str">
        <f t="shared" si="127"/>
        <v>Error?</v>
      </c>
      <c r="E7798" s="4" t="s">
        <v>1901</v>
      </c>
    </row>
    <row r="7799" spans="1:5" x14ac:dyDescent="0.2">
      <c r="A7799">
        <v>7738</v>
      </c>
      <c r="B7799" s="138">
        <f>'Contracts Paid in CY 29'!G142</f>
        <v>3812252.11</v>
      </c>
      <c r="D7799" s="2" t="str">
        <f t="shared" si="127"/>
        <v>Error?</v>
      </c>
      <c r="E7799" s="4" t="s">
        <v>1901</v>
      </c>
    </row>
    <row r="7800" spans="1:5" x14ac:dyDescent="0.2">
      <c r="A7800">
        <v>7739</v>
      </c>
      <c r="D7800" s="2" t="str">
        <f t="shared" si="127"/>
        <v>OK</v>
      </c>
    </row>
    <row r="7801" spans="1:5" x14ac:dyDescent="0.2">
      <c r="A7801">
        <v>7740</v>
      </c>
      <c r="B7801" s="138">
        <f>'Revenues 9-14'!C120</f>
        <v>0</v>
      </c>
      <c r="D7801" s="2" t="str">
        <f t="shared" si="127"/>
        <v>Error?</v>
      </c>
      <c r="E7801" s="4" t="s">
        <v>1937</v>
      </c>
    </row>
    <row r="7802" spans="1:5" x14ac:dyDescent="0.2">
      <c r="A7802">
        <v>7741</v>
      </c>
      <c r="B7802" s="138">
        <f>'Revenues 9-14'!D120</f>
        <v>0</v>
      </c>
      <c r="D7802" s="2" t="str">
        <f t="shared" si="127"/>
        <v>Error?</v>
      </c>
      <c r="E7802" s="4" t="s">
        <v>1937</v>
      </c>
    </row>
    <row r="7803" spans="1:5" x14ac:dyDescent="0.2">
      <c r="A7803">
        <v>7742</v>
      </c>
      <c r="B7803" s="138">
        <f>'Revenues 9-14'!E120</f>
        <v>0</v>
      </c>
      <c r="D7803" s="2" t="str">
        <f t="shared" si="127"/>
        <v>Error?</v>
      </c>
      <c r="E7803" s="4" t="s">
        <v>1937</v>
      </c>
    </row>
    <row r="7804" spans="1:5" x14ac:dyDescent="0.2">
      <c r="A7804">
        <v>7743</v>
      </c>
      <c r="B7804" s="138">
        <f>'Revenues 9-14'!F120</f>
        <v>0</v>
      </c>
      <c r="D7804" s="2" t="str">
        <f t="shared" si="127"/>
        <v>Error?</v>
      </c>
      <c r="E7804" s="4" t="s">
        <v>1937</v>
      </c>
    </row>
    <row r="7805" spans="1:5" x14ac:dyDescent="0.2">
      <c r="A7805">
        <v>7744</v>
      </c>
      <c r="B7805" s="138">
        <f>'Revenues 9-14'!G120</f>
        <v>0</v>
      </c>
      <c r="D7805" s="2" t="str">
        <f t="shared" si="127"/>
        <v>Error?</v>
      </c>
      <c r="E7805" s="4" t="s">
        <v>1937</v>
      </c>
    </row>
    <row r="7806" spans="1:5" x14ac:dyDescent="0.2">
      <c r="A7806">
        <v>7745</v>
      </c>
      <c r="B7806" s="138">
        <f>'Revenues 9-14'!H120</f>
        <v>0</v>
      </c>
      <c r="D7806" s="2" t="str">
        <f t="shared" si="127"/>
        <v>Error?</v>
      </c>
      <c r="E7806" s="4" t="s">
        <v>1937</v>
      </c>
    </row>
    <row r="7807" spans="1:5" x14ac:dyDescent="0.2">
      <c r="A7807">
        <v>7746</v>
      </c>
      <c r="B7807" s="138">
        <f>'Revenues 9-14'!J120</f>
        <v>0</v>
      </c>
      <c r="D7807" s="2" t="str">
        <f t="shared" ref="D7807:D7816" si="128">IF(ISBLANK(B7807),"OK",IF(A7807-B7807=0,"OK","Error?"))</f>
        <v>Error?</v>
      </c>
      <c r="E7807" s="4" t="s">
        <v>1937</v>
      </c>
    </row>
    <row r="7808" spans="1:5" x14ac:dyDescent="0.2">
      <c r="A7808">
        <v>7747</v>
      </c>
      <c r="B7808" s="138">
        <f>'Revenues 9-14'!K120</f>
        <v>0</v>
      </c>
      <c r="D7808" s="2" t="str">
        <f t="shared" si="128"/>
        <v>Error?</v>
      </c>
      <c r="E7808" s="4" t="s">
        <v>1937</v>
      </c>
    </row>
    <row r="7809" spans="1:5" x14ac:dyDescent="0.2">
      <c r="A7809">
        <v>7748</v>
      </c>
      <c r="B7809" s="138">
        <f>'Revenues 9-14'!C261</f>
        <v>0</v>
      </c>
      <c r="D7809" s="2" t="str">
        <f t="shared" si="128"/>
        <v>Error?</v>
      </c>
      <c r="E7809" s="4" t="s">
        <v>1938</v>
      </c>
    </row>
    <row r="7810" spans="1:5" x14ac:dyDescent="0.2">
      <c r="A7810">
        <v>7749</v>
      </c>
      <c r="B7810" s="138">
        <f>'Revenues 9-14'!D261</f>
        <v>0</v>
      </c>
      <c r="D7810" s="2" t="str">
        <f t="shared" si="128"/>
        <v>Error?</v>
      </c>
      <c r="E7810" s="4" t="s">
        <v>1938</v>
      </c>
    </row>
    <row r="7811" spans="1:5" x14ac:dyDescent="0.2">
      <c r="A7811">
        <v>7750</v>
      </c>
      <c r="B7811" s="138">
        <f>'Revenues 9-14'!F261</f>
        <v>0</v>
      </c>
      <c r="D7811" s="2" t="str">
        <f t="shared" si="128"/>
        <v>Error?</v>
      </c>
      <c r="E7811" s="4" t="s">
        <v>1938</v>
      </c>
    </row>
    <row r="7812" spans="1:5" x14ac:dyDescent="0.2">
      <c r="A7812">
        <v>7751</v>
      </c>
      <c r="B7812" s="138">
        <f>'Revenues 9-14'!G261</f>
        <v>0</v>
      </c>
      <c r="D7812" s="2" t="str">
        <f t="shared" si="128"/>
        <v>Error?</v>
      </c>
      <c r="E7812" s="4" t="s">
        <v>1938</v>
      </c>
    </row>
    <row r="7813" spans="1:5" x14ac:dyDescent="0.2">
      <c r="A7813">
        <v>7752</v>
      </c>
      <c r="B7813" s="138">
        <f>'Revenues 9-14'!C262</f>
        <v>0</v>
      </c>
      <c r="D7813" s="2" t="str">
        <f t="shared" si="128"/>
        <v>Error?</v>
      </c>
      <c r="E7813" s="4" t="s">
        <v>1939</v>
      </c>
    </row>
    <row r="7814" spans="1:5" x14ac:dyDescent="0.2">
      <c r="A7814">
        <v>7753</v>
      </c>
      <c r="B7814" s="138">
        <f>'Revenues 9-14'!D262</f>
        <v>0</v>
      </c>
      <c r="D7814" s="2" t="str">
        <f t="shared" si="128"/>
        <v>Error?</v>
      </c>
      <c r="E7814" s="4" t="s">
        <v>1939</v>
      </c>
    </row>
    <row r="7815" spans="1:5" x14ac:dyDescent="0.2">
      <c r="A7815">
        <v>7754</v>
      </c>
      <c r="B7815" s="138">
        <f>'Revenues 9-14'!F262</f>
        <v>0</v>
      </c>
      <c r="D7815" s="2" t="str">
        <f t="shared" si="128"/>
        <v>Error?</v>
      </c>
      <c r="E7815" s="4" t="s">
        <v>1939</v>
      </c>
    </row>
    <row r="7816" spans="1:5" x14ac:dyDescent="0.2">
      <c r="A7816">
        <v>7755</v>
      </c>
      <c r="B7816" s="138">
        <f>'Revenues 9-14'!G262</f>
        <v>0</v>
      </c>
      <c r="D7816" s="2" t="str">
        <f t="shared" si="128"/>
        <v>Error?</v>
      </c>
      <c r="E7816" s="4" t="s">
        <v>1939</v>
      </c>
    </row>
  </sheetData>
  <sheetProtection password="F60E"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28"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90" t="s">
        <v>1191</v>
      </c>
      <c r="B2" s="2390"/>
      <c r="C2" s="2390"/>
      <c r="D2" s="2390"/>
      <c r="E2" s="2390"/>
      <c r="F2" s="2390"/>
      <c r="G2" s="2390"/>
      <c r="H2" s="2390"/>
      <c r="I2" s="2390"/>
      <c r="J2" s="2390"/>
      <c r="K2" s="2390"/>
      <c r="L2" s="2390"/>
    </row>
    <row r="3" spans="1:29" ht="13.5" customHeight="1" x14ac:dyDescent="0.2">
      <c r="A3" s="2421" t="s">
        <v>1190</v>
      </c>
      <c r="B3" s="2421"/>
      <c r="C3" s="2421"/>
      <c r="D3" s="2421"/>
      <c r="E3" s="2421"/>
      <c r="F3" s="2421"/>
      <c r="G3" s="2421"/>
      <c r="H3" s="2421"/>
      <c r="I3" s="2421"/>
      <c r="J3" s="2421"/>
      <c r="K3" s="2421"/>
      <c r="L3" s="2421"/>
    </row>
    <row r="4" spans="1:29" ht="13.5" customHeight="1" x14ac:dyDescent="0.2">
      <c r="A4" s="2390" t="s">
        <v>1985</v>
      </c>
      <c r="B4" s="2411"/>
      <c r="C4" s="2411"/>
      <c r="D4" s="2411"/>
      <c r="E4" s="2411"/>
      <c r="F4" s="2411"/>
      <c r="G4" s="2411"/>
      <c r="H4" s="2411"/>
      <c r="I4" s="2411"/>
      <c r="J4" s="2411"/>
      <c r="K4" s="2411"/>
      <c r="L4" s="2411"/>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12" t="str">
        <f>COVER!A17</f>
        <v>Woodland CCSD 50</v>
      </c>
      <c r="B7" s="2413"/>
      <c r="C7" s="2413"/>
      <c r="D7" s="2414"/>
      <c r="E7" s="2415">
        <f>COVER!A13</f>
        <v>34049050004</v>
      </c>
      <c r="F7" s="2416"/>
      <c r="G7" s="2422">
        <f>COVER!T23</f>
        <v>66.005340000000004</v>
      </c>
      <c r="H7" s="2423"/>
      <c r="I7" s="2423"/>
      <c r="J7" s="2423"/>
      <c r="K7" s="2423"/>
      <c r="L7" s="2424"/>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25"/>
      <c r="B9" s="2426"/>
      <c r="C9" s="2426"/>
      <c r="D9" s="2426"/>
      <c r="E9" s="2426"/>
      <c r="F9" s="2427"/>
      <c r="G9" s="2396" t="str">
        <f>COVER!T13</f>
        <v>EVANS, MARSHALL &amp; PEASE, P.C.</v>
      </c>
      <c r="H9" s="2428"/>
      <c r="I9" s="2428"/>
      <c r="J9" s="2428"/>
      <c r="K9" s="2428"/>
      <c r="L9" s="2429"/>
    </row>
    <row r="10" spans="1:29" ht="13.5" customHeight="1" x14ac:dyDescent="0.2">
      <c r="A10" s="2402">
        <f>COVER!A38</f>
        <v>0</v>
      </c>
      <c r="B10" s="2403"/>
      <c r="C10" s="2403"/>
      <c r="D10" s="2403"/>
      <c r="E10" s="2403"/>
      <c r="F10" s="2404"/>
      <c r="G10" s="2396" t="str">
        <f>COVER!T17</f>
        <v>1875 HICKS ROAD</v>
      </c>
      <c r="H10" s="2397"/>
      <c r="I10" s="2397"/>
      <c r="J10" s="2397"/>
      <c r="K10" s="2397"/>
      <c r="L10" s="2398"/>
    </row>
    <row r="11" spans="1:29" ht="13.5" customHeight="1" x14ac:dyDescent="0.2">
      <c r="A11" s="1184" t="s">
        <v>1519</v>
      </c>
      <c r="B11" s="1185"/>
      <c r="C11" s="1186"/>
      <c r="D11" s="1191"/>
      <c r="E11" s="1186"/>
      <c r="F11" s="1190"/>
      <c r="G11" s="2396" t="str">
        <f>COVER!T19</f>
        <v>ROLLING MEADOWS</v>
      </c>
      <c r="H11" s="2397"/>
      <c r="I11" s="2397"/>
      <c r="J11" s="2397"/>
      <c r="K11" s="2397"/>
      <c r="L11" s="2398"/>
    </row>
    <row r="12" spans="1:29" ht="13.5" customHeight="1" x14ac:dyDescent="0.2">
      <c r="A12" s="2405" t="s">
        <v>1518</v>
      </c>
      <c r="B12" s="2406"/>
      <c r="C12" s="2406"/>
      <c r="D12" s="2406"/>
      <c r="E12" s="2406"/>
      <c r="F12" s="2407"/>
      <c r="G12" s="2399"/>
      <c r="H12" s="2400"/>
      <c r="I12" s="2400"/>
      <c r="J12" s="2400"/>
      <c r="K12" s="2400"/>
      <c r="L12" s="2401"/>
    </row>
    <row r="13" spans="1:29" ht="13.5" customHeight="1" x14ac:dyDescent="0.2">
      <c r="A13" s="2396"/>
      <c r="B13" s="2397"/>
      <c r="C13" s="2397"/>
      <c r="D13" s="2397"/>
      <c r="E13" s="2397"/>
      <c r="F13" s="2398"/>
      <c r="G13" s="2391" t="s">
        <v>1520</v>
      </c>
      <c r="H13" s="2392"/>
      <c r="I13" s="2408" t="str">
        <f>COVER!T25</f>
        <v>CHRIS@EMPCPA.COM</v>
      </c>
      <c r="J13" s="2409"/>
      <c r="K13" s="2409"/>
      <c r="L13" s="2410"/>
    </row>
    <row r="14" spans="1:29" ht="13.5" customHeight="1" x14ac:dyDescent="0.2">
      <c r="A14" s="2396" t="str">
        <f>COVER!A19</f>
        <v>1105 NORTH HUNT CLUB ROAD</v>
      </c>
      <c r="B14" s="2397"/>
      <c r="C14" s="2397"/>
      <c r="D14" s="2397"/>
      <c r="E14" s="2397"/>
      <c r="F14" s="2398"/>
      <c r="G14" s="1195" t="s">
        <v>1185</v>
      </c>
      <c r="H14" s="1193"/>
      <c r="I14" s="1193"/>
      <c r="J14" s="1193"/>
      <c r="K14" s="1193"/>
      <c r="L14" s="1194"/>
    </row>
    <row r="15" spans="1:29" ht="13.5" customHeight="1" x14ac:dyDescent="0.2">
      <c r="A15" s="2396" t="str">
        <f>COVER!A21</f>
        <v>GURNEE</v>
      </c>
      <c r="B15" s="2397"/>
      <c r="C15" s="2397"/>
      <c r="D15" s="2397"/>
      <c r="E15" s="2397"/>
      <c r="F15" s="2398"/>
      <c r="G15" s="2393" t="str">
        <f>COVER!T15</f>
        <v>CHRISTOPHER M. SCALET, CPA</v>
      </c>
      <c r="H15" s="2394"/>
      <c r="I15" s="2394"/>
      <c r="J15" s="2394"/>
      <c r="K15" s="2394"/>
      <c r="L15" s="2395"/>
    </row>
    <row r="16" spans="1:29" ht="12.2" customHeight="1" x14ac:dyDescent="0.2">
      <c r="A16" s="2418">
        <f>COVER!A25</f>
        <v>600131</v>
      </c>
      <c r="B16" s="2419"/>
      <c r="C16" s="2419"/>
      <c r="D16" s="2419"/>
      <c r="E16" s="2419"/>
      <c r="F16" s="2420"/>
      <c r="G16" s="2430"/>
      <c r="H16" s="2431"/>
      <c r="I16" s="2431"/>
      <c r="J16" s="2431"/>
      <c r="K16" s="2431"/>
      <c r="L16" s="2432"/>
    </row>
    <row r="17" spans="1:13" ht="12.2" customHeight="1" x14ac:dyDescent="0.2">
      <c r="A17" s="2433"/>
      <c r="B17" s="2419"/>
      <c r="C17" s="2419"/>
      <c r="D17" s="2419"/>
      <c r="E17" s="2419"/>
      <c r="F17" s="2420"/>
      <c r="G17" s="1195" t="s">
        <v>1184</v>
      </c>
      <c r="H17" s="1193"/>
      <c r="I17" s="1193"/>
      <c r="J17" s="1193"/>
      <c r="K17" s="1197" t="s">
        <v>1183</v>
      </c>
      <c r="L17" s="1190"/>
      <c r="M17" s="1183"/>
    </row>
    <row r="18" spans="1:13" ht="12.2" customHeight="1" x14ac:dyDescent="0.2">
      <c r="A18" s="2402"/>
      <c r="B18" s="2403"/>
      <c r="C18" s="2403"/>
      <c r="D18" s="2403"/>
      <c r="E18" s="2403"/>
      <c r="F18" s="2404"/>
      <c r="G18" s="2412" t="str">
        <f>COVER!T21</f>
        <v>847-221-5700</v>
      </c>
      <c r="H18" s="2413"/>
      <c r="I18" s="2413"/>
      <c r="J18" s="2413"/>
      <c r="K18" s="2412" t="str">
        <f>COVER!X21</f>
        <v>847-221-5701</v>
      </c>
      <c r="L18" s="2417"/>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1834</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3"/>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5&amp;R&amp;8Page 5</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7"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34" t="str">
        <f>'Single Audit Cover'!A7</f>
        <v>Woodland CCSD 50</v>
      </c>
      <c r="B1" s="2411"/>
      <c r="C1" s="2411"/>
      <c r="D1" s="2411"/>
    </row>
    <row r="2" spans="1:11" s="1212" customFormat="1" ht="12.75" x14ac:dyDescent="0.2">
      <c r="A2" s="2435">
        <f>'Single Audit Cover'!E7</f>
        <v>34049050004</v>
      </c>
      <c r="B2" s="2436"/>
      <c r="C2" s="2436"/>
      <c r="D2" s="2436"/>
    </row>
    <row r="3" spans="1:11" s="1212" customFormat="1" ht="12.75" x14ac:dyDescent="0.2">
      <c r="A3" s="2434" t="s">
        <v>1513</v>
      </c>
      <c r="B3" s="2411"/>
      <c r="C3" s="2411"/>
      <c r="D3" s="2411"/>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1835</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topLeftCell="A7" zoomScale="110" zoomScaleNormal="110" zoomScaleSheetLayoutView="100" workbookViewId="0">
      <selection activeCell="D36" sqref="D36"/>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8" t="str">
        <f>'Single Audit Cover'!A7</f>
        <v>Woodland CCSD 50</v>
      </c>
      <c r="B1" s="2438"/>
      <c r="C1" s="2438"/>
      <c r="D1" s="2438"/>
      <c r="E1" s="2438"/>
    </row>
    <row r="2" spans="1:5" x14ac:dyDescent="0.2">
      <c r="A2" s="2439">
        <f>'Single Audit Cover'!E7</f>
        <v>34049050004</v>
      </c>
      <c r="B2" s="2439"/>
      <c r="C2" s="2439"/>
      <c r="D2" s="2439"/>
      <c r="E2" s="2439"/>
    </row>
    <row r="3" spans="1:5" ht="4.5" customHeight="1" x14ac:dyDescent="0.2"/>
    <row r="4" spans="1:5" x14ac:dyDescent="0.2">
      <c r="A4" s="2438" t="s">
        <v>1245</v>
      </c>
      <c r="B4" s="2438"/>
      <c r="C4" s="2438"/>
      <c r="D4" s="2438"/>
      <c r="E4" s="2438"/>
    </row>
    <row r="5" spans="1:5" x14ac:dyDescent="0.2">
      <c r="A5" s="2441" t="str">
        <f>'Single Audit Cover'!A4</f>
        <v>Year Ending June 30, 2019</v>
      </c>
      <c r="B5" s="2441"/>
      <c r="C5" s="2441"/>
      <c r="D5" s="2441"/>
      <c r="E5" s="2441"/>
    </row>
    <row r="6" spans="1:5" x14ac:dyDescent="0.2">
      <c r="A6" s="2438" t="s">
        <v>1244</v>
      </c>
      <c r="B6" s="2438"/>
      <c r="C6" s="2438"/>
      <c r="D6" s="2438"/>
      <c r="E6" s="2438"/>
    </row>
    <row r="8" spans="1:5" x14ac:dyDescent="0.2">
      <c r="A8" s="1257" t="s">
        <v>1243</v>
      </c>
    </row>
    <row r="10" spans="1:5" x14ac:dyDescent="0.2">
      <c r="A10" s="1258" t="s">
        <v>1242</v>
      </c>
      <c r="B10" s="1259" t="s">
        <v>1241</v>
      </c>
      <c r="C10" s="1259"/>
      <c r="D10" s="1260">
        <f>SUM('Acct Summary 7-8'!C7:K7)</f>
        <v>3256421</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131126</v>
      </c>
    </row>
    <row r="15" spans="1:5" x14ac:dyDescent="0.2">
      <c r="A15" s="1258"/>
      <c r="B15" s="1259"/>
      <c r="C15" s="1259"/>
    </row>
    <row r="16" spans="1:5" x14ac:dyDescent="0.2">
      <c r="A16" s="1258" t="s">
        <v>1841</v>
      </c>
      <c r="B16" s="1259"/>
      <c r="C16" s="1259"/>
    </row>
    <row r="17" spans="1:4" x14ac:dyDescent="0.2">
      <c r="A17" s="1258" t="s">
        <v>2057</v>
      </c>
      <c r="B17" s="1259" t="s">
        <v>1236</v>
      </c>
      <c r="C17" s="1259"/>
      <c r="D17" s="1261">
        <f>-SUM('Revenues 9-14'!C264:D264,'Revenues 9-14'!F264:G264)</f>
        <v>-566843</v>
      </c>
    </row>
    <row r="19" spans="1:4" ht="13.5" thickBot="1" x14ac:dyDescent="0.25">
      <c r="A19" s="1262" t="s">
        <v>1235</v>
      </c>
      <c r="D19" s="1263">
        <f>SUM(D10:D17)</f>
        <v>2820704</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40"/>
      <c r="B24" s="2440"/>
      <c r="D24" s="1265"/>
    </row>
    <row r="25" spans="1:4" x14ac:dyDescent="0.2">
      <c r="A25" s="2437"/>
      <c r="B25" s="2437"/>
      <c r="D25" s="1265"/>
    </row>
    <row r="26" spans="1:4" x14ac:dyDescent="0.2">
      <c r="A26" s="2437"/>
      <c r="B26" s="2437"/>
      <c r="D26" s="1265"/>
    </row>
    <row r="27" spans="1:4" x14ac:dyDescent="0.2">
      <c r="A27" s="2437"/>
      <c r="B27" s="2437"/>
      <c r="D27" s="1265"/>
    </row>
    <row r="28" spans="1:4" x14ac:dyDescent="0.2">
      <c r="A28" s="2437"/>
      <c r="B28" s="2437"/>
      <c r="D28" s="1265"/>
    </row>
    <row r="29" spans="1:4" x14ac:dyDescent="0.2">
      <c r="A29" s="2437"/>
      <c r="B29" s="2437"/>
      <c r="D29" s="1265"/>
    </row>
    <row r="30" spans="1:4" x14ac:dyDescent="0.2">
      <c r="A30" s="2437"/>
      <c r="B30" s="2437"/>
      <c r="D30" s="1265"/>
    </row>
    <row r="32" spans="1:4" x14ac:dyDescent="0.2">
      <c r="A32" s="1257" t="s">
        <v>1233</v>
      </c>
      <c r="D32" s="1260">
        <f>SUM(D19:D30)</f>
        <v>2820704</v>
      </c>
    </row>
    <row r="33" spans="1:4" x14ac:dyDescent="0.2">
      <c r="D33" s="1266"/>
    </row>
    <row r="34" spans="1:4" x14ac:dyDescent="0.2">
      <c r="A34" s="317" t="s">
        <v>1232</v>
      </c>
    </row>
    <row r="35" spans="1:4" x14ac:dyDescent="0.2">
      <c r="A35" s="317" t="s">
        <v>1231</v>
      </c>
      <c r="B35" s="1255" t="s">
        <v>1230</v>
      </c>
      <c r="D35" s="1267">
        <v>2820704</v>
      </c>
    </row>
    <row r="37" spans="1:4" x14ac:dyDescent="0.2">
      <c r="A37" s="1257" t="s">
        <v>1229</v>
      </c>
    </row>
    <row r="39" spans="1:4" ht="13.35" customHeight="1" x14ac:dyDescent="0.2">
      <c r="A39" s="1264" t="s">
        <v>1228</v>
      </c>
    </row>
    <row r="40" spans="1:4" x14ac:dyDescent="0.2">
      <c r="A40" s="2437"/>
      <c r="B40" s="2437"/>
      <c r="D40" s="1265"/>
    </row>
    <row r="41" spans="1:4" x14ac:dyDescent="0.2">
      <c r="A41" s="2437"/>
      <c r="B41" s="2437"/>
      <c r="D41" s="1268"/>
    </row>
    <row r="42" spans="1:4" x14ac:dyDescent="0.2">
      <c r="A42" s="2437"/>
      <c r="B42" s="2437"/>
      <c r="D42" s="1268"/>
    </row>
    <row r="43" spans="1:4" x14ac:dyDescent="0.2">
      <c r="A43" s="2437"/>
      <c r="B43" s="2437"/>
      <c r="D43" s="1268"/>
    </row>
    <row r="44" spans="1:4" x14ac:dyDescent="0.2">
      <c r="A44" s="2437"/>
      <c r="B44" s="2437"/>
      <c r="D44" s="1268"/>
    </row>
    <row r="45" spans="1:4" x14ac:dyDescent="0.2">
      <c r="A45" s="2437"/>
      <c r="B45" s="2437"/>
      <c r="D45" s="1268"/>
    </row>
    <row r="47" spans="1:4" x14ac:dyDescent="0.2">
      <c r="B47" s="1269" t="s">
        <v>1227</v>
      </c>
      <c r="C47" s="1269"/>
      <c r="D47" s="1270">
        <f>SUM(D35:D45)</f>
        <v>2820704</v>
      </c>
    </row>
    <row r="49" spans="2:4" x14ac:dyDescent="0.2">
      <c r="B49" s="1269" t="s">
        <v>1226</v>
      </c>
      <c r="C49" s="1269"/>
      <c r="D49" s="1270">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16"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21" t="str">
        <f>'Single Audit Cover'!A7</f>
        <v>Woodland CCSD 50</v>
      </c>
      <c r="C1" s="2442"/>
      <c r="D1" s="2442"/>
      <c r="E1" s="2442"/>
      <c r="F1" s="2442"/>
      <c r="G1" s="2442"/>
      <c r="H1" s="2442"/>
      <c r="I1" s="2442"/>
      <c r="J1" s="2442"/>
      <c r="K1" s="2442"/>
      <c r="L1" s="2442"/>
      <c r="M1" s="2442"/>
    </row>
    <row r="2" spans="2:14" ht="15" x14ac:dyDescent="0.2">
      <c r="B2" s="2443">
        <f>'Single Audit Cover'!E7</f>
        <v>34049050004</v>
      </c>
      <c r="C2" s="2443"/>
      <c r="D2" s="2443"/>
      <c r="E2" s="2443"/>
      <c r="F2" s="2443"/>
      <c r="G2" s="2443"/>
      <c r="H2" s="2443"/>
      <c r="I2" s="2443"/>
      <c r="J2" s="2443"/>
      <c r="K2" s="2443"/>
      <c r="L2" s="2443"/>
      <c r="M2" s="2443"/>
      <c r="N2" s="1299"/>
    </row>
    <row r="3" spans="2:14" ht="15" x14ac:dyDescent="0.2">
      <c r="B3" s="2444" t="s">
        <v>1219</v>
      </c>
      <c r="C3" s="2444"/>
      <c r="D3" s="2444"/>
      <c r="E3" s="2444"/>
      <c r="F3" s="2444"/>
      <c r="G3" s="2444"/>
      <c r="H3" s="2444"/>
      <c r="I3" s="2444"/>
      <c r="J3" s="2444"/>
      <c r="K3" s="2444"/>
      <c r="L3" s="2444"/>
      <c r="M3" s="2444"/>
      <c r="N3" s="1299"/>
    </row>
    <row r="4" spans="2:14" ht="15" x14ac:dyDescent="0.2">
      <c r="B4" s="2445" t="str">
        <f>'Single Audit Cover'!A4</f>
        <v>Year Ending June 30, 2019</v>
      </c>
      <c r="C4" s="2445"/>
      <c r="D4" s="2445"/>
      <c r="E4" s="2445"/>
      <c r="F4" s="2445"/>
      <c r="G4" s="2445"/>
      <c r="H4" s="2445"/>
      <c r="I4" s="2445"/>
      <c r="J4" s="2445"/>
      <c r="K4" s="2445"/>
      <c r="L4" s="2445"/>
      <c r="M4" s="2445"/>
      <c r="N4" s="1299"/>
    </row>
    <row r="6" spans="2:14" x14ac:dyDescent="0.2">
      <c r="B6" s="1300"/>
      <c r="C6" s="1301"/>
      <c r="D6" s="1302" t="s">
        <v>1265</v>
      </c>
      <c r="E6" s="1303" t="s">
        <v>527</v>
      </c>
      <c r="F6" s="1304"/>
      <c r="G6" s="1305" t="s">
        <v>1732</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1837</v>
      </c>
      <c r="I8" s="1316" t="s">
        <v>1262</v>
      </c>
      <c r="J8" s="1315" t="s">
        <v>1986</v>
      </c>
      <c r="K8" s="1316" t="s">
        <v>1261</v>
      </c>
      <c r="L8" s="1317" t="s">
        <v>1257</v>
      </c>
      <c r="M8" s="1318" t="s">
        <v>30</v>
      </c>
    </row>
    <row r="9" spans="2:14" ht="14.25" x14ac:dyDescent="0.2">
      <c r="B9" s="1322" t="s">
        <v>1259</v>
      </c>
      <c r="C9" s="1310" t="s">
        <v>1733</v>
      </c>
      <c r="D9" s="1311" t="s">
        <v>1734</v>
      </c>
      <c r="E9" s="1319" t="s">
        <v>1837</v>
      </c>
      <c r="F9" s="1320" t="s">
        <v>1986</v>
      </c>
      <c r="G9" s="1321" t="s">
        <v>1837</v>
      </c>
      <c r="H9" s="1314" t="s">
        <v>1582</v>
      </c>
      <c r="I9" s="1316" t="s">
        <v>1986</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944" t="s">
        <v>2170</v>
      </c>
      <c r="C11" s="1335"/>
      <c r="D11" s="1336"/>
      <c r="E11" s="1337"/>
      <c r="F11" s="1337"/>
      <c r="G11" s="1337"/>
      <c r="H11" s="1337"/>
      <c r="I11" s="1337"/>
      <c r="J11" s="1337"/>
      <c r="K11" s="1337"/>
      <c r="L11" s="1337"/>
      <c r="M11" s="1337"/>
    </row>
    <row r="12" spans="2:14" ht="20.100000000000001" customHeight="1" x14ac:dyDescent="0.2">
      <c r="B12" s="1945" t="s">
        <v>2171</v>
      </c>
      <c r="C12" s="1338"/>
      <c r="D12" s="1339"/>
      <c r="E12" s="1340"/>
      <c r="F12" s="1340"/>
      <c r="G12" s="1340"/>
      <c r="H12" s="1340"/>
      <c r="I12" s="1340"/>
      <c r="J12" s="1340"/>
      <c r="K12" s="1340"/>
      <c r="L12" s="1337"/>
      <c r="M12" s="1340"/>
    </row>
    <row r="13" spans="2:14" ht="20.100000000000001" customHeight="1" x14ac:dyDescent="0.2">
      <c r="B13" s="1334" t="s">
        <v>2172</v>
      </c>
      <c r="C13" s="1338">
        <v>84.01</v>
      </c>
      <c r="D13" s="1339" t="s">
        <v>2173</v>
      </c>
      <c r="E13" s="1340">
        <v>518408</v>
      </c>
      <c r="F13" s="1340">
        <v>41896</v>
      </c>
      <c r="G13" s="1340">
        <v>518408</v>
      </c>
      <c r="H13" s="1340"/>
      <c r="I13" s="1340">
        <v>41896</v>
      </c>
      <c r="J13" s="1340"/>
      <c r="K13" s="1340"/>
      <c r="L13" s="1337">
        <f t="shared" ref="L13:L27" si="0">+G13+I13+K13</f>
        <v>560304</v>
      </c>
      <c r="M13" s="1340">
        <v>575651</v>
      </c>
    </row>
    <row r="14" spans="2:14" ht="20.100000000000001" customHeight="1" x14ac:dyDescent="0.2">
      <c r="B14" s="1334" t="s">
        <v>2172</v>
      </c>
      <c r="C14" s="1338">
        <v>84.01</v>
      </c>
      <c r="D14" s="1339" t="s">
        <v>2174</v>
      </c>
      <c r="E14" s="1340"/>
      <c r="F14" s="1340">
        <v>446274</v>
      </c>
      <c r="G14" s="1340"/>
      <c r="H14" s="1340"/>
      <c r="I14" s="1340">
        <v>446274</v>
      </c>
      <c r="J14" s="1340"/>
      <c r="K14" s="1340"/>
      <c r="L14" s="1337" t="s">
        <v>2175</v>
      </c>
      <c r="M14" s="1340">
        <v>580079</v>
      </c>
    </row>
    <row r="15" spans="2:14" ht="20.100000000000001" customHeight="1" x14ac:dyDescent="0.2">
      <c r="B15" s="1334" t="s">
        <v>2176</v>
      </c>
      <c r="C15" s="1338">
        <v>84.367000000000004</v>
      </c>
      <c r="D15" s="1339" t="s">
        <v>2177</v>
      </c>
      <c r="E15" s="1340">
        <v>126781</v>
      </c>
      <c r="F15" s="1340"/>
      <c r="G15" s="1340">
        <v>126781</v>
      </c>
      <c r="H15" s="1340"/>
      <c r="I15" s="1340"/>
      <c r="J15" s="1340"/>
      <c r="K15" s="1340"/>
      <c r="L15" s="1337">
        <f t="shared" si="0"/>
        <v>126781</v>
      </c>
      <c r="M15" s="1340">
        <v>132054</v>
      </c>
    </row>
    <row r="16" spans="2:14" ht="20.100000000000001" customHeight="1" x14ac:dyDescent="0.2">
      <c r="B16" s="1334" t="s">
        <v>2176</v>
      </c>
      <c r="C16" s="1338">
        <v>84.367000000000004</v>
      </c>
      <c r="D16" s="1339" t="s">
        <v>2178</v>
      </c>
      <c r="E16" s="1340"/>
      <c r="F16" s="1340">
        <v>139272</v>
      </c>
      <c r="G16" s="1340"/>
      <c r="H16" s="1340"/>
      <c r="I16" s="1340">
        <v>139272</v>
      </c>
      <c r="J16" s="1340"/>
      <c r="K16" s="1340"/>
      <c r="L16" s="1337" t="s">
        <v>2175</v>
      </c>
      <c r="M16" s="1340">
        <v>140008</v>
      </c>
    </row>
    <row r="17" spans="2:14" ht="20.100000000000001" customHeight="1" x14ac:dyDescent="0.2">
      <c r="B17" s="1334" t="s">
        <v>2179</v>
      </c>
      <c r="C17" s="1338">
        <v>84.364999999999995</v>
      </c>
      <c r="D17" s="1339" t="s">
        <v>2180</v>
      </c>
      <c r="E17" s="1340">
        <v>133432</v>
      </c>
      <c r="F17" s="1340"/>
      <c r="G17" s="1340">
        <v>133432</v>
      </c>
      <c r="H17" s="1340"/>
      <c r="I17" s="1340"/>
      <c r="J17" s="1340"/>
      <c r="K17" s="1340"/>
      <c r="L17" s="1337">
        <f t="shared" si="0"/>
        <v>133432</v>
      </c>
      <c r="M17" s="1340">
        <v>134092</v>
      </c>
    </row>
    <row r="18" spans="2:14" ht="20.100000000000001" customHeight="1" x14ac:dyDescent="0.2">
      <c r="B18" s="1334" t="s">
        <v>2179</v>
      </c>
      <c r="C18" s="1338">
        <v>84.364999999999995</v>
      </c>
      <c r="D18" s="1339" t="s">
        <v>2181</v>
      </c>
      <c r="E18" s="1340"/>
      <c r="F18" s="1340">
        <v>113180</v>
      </c>
      <c r="G18" s="1340"/>
      <c r="H18" s="1340"/>
      <c r="I18" s="1340">
        <v>113180</v>
      </c>
      <c r="J18" s="1340"/>
      <c r="K18" s="1340"/>
      <c r="L18" s="1337" t="s">
        <v>2175</v>
      </c>
      <c r="M18" s="1340">
        <v>116180</v>
      </c>
    </row>
    <row r="19" spans="2:14" ht="20.100000000000001" customHeight="1" x14ac:dyDescent="0.2">
      <c r="B19" s="1334" t="s">
        <v>2182</v>
      </c>
      <c r="C19" s="1338">
        <v>84.364999999999995</v>
      </c>
      <c r="D19" s="1339" t="s">
        <v>2183</v>
      </c>
      <c r="E19" s="1340">
        <v>13872</v>
      </c>
      <c r="F19" s="1340">
        <v>18</v>
      </c>
      <c r="G19" s="1340">
        <v>13872</v>
      </c>
      <c r="H19" s="1340"/>
      <c r="I19" s="1340">
        <v>18</v>
      </c>
      <c r="J19" s="1340"/>
      <c r="K19" s="1340"/>
      <c r="L19" s="1337">
        <f t="shared" si="0"/>
        <v>13890</v>
      </c>
      <c r="M19" s="1340">
        <v>14522</v>
      </c>
    </row>
    <row r="20" spans="2:14" ht="20.100000000000001" customHeight="1" x14ac:dyDescent="0.2">
      <c r="B20" s="1334" t="s">
        <v>2182</v>
      </c>
      <c r="C20" s="1338">
        <v>84.364999999999995</v>
      </c>
      <c r="D20" s="1339" t="s">
        <v>2184</v>
      </c>
      <c r="E20" s="1340"/>
      <c r="F20" s="1340">
        <v>621</v>
      </c>
      <c r="G20" s="1340"/>
      <c r="H20" s="1340"/>
      <c r="I20" s="1340">
        <v>621</v>
      </c>
      <c r="J20" s="1340"/>
      <c r="K20" s="1340"/>
      <c r="L20" s="1337" t="s">
        <v>2175</v>
      </c>
      <c r="M20" s="1340">
        <v>632</v>
      </c>
    </row>
    <row r="21" spans="2:14" ht="20.100000000000001" customHeight="1" x14ac:dyDescent="0.2">
      <c r="B21" s="1334" t="s">
        <v>2185</v>
      </c>
      <c r="C21" s="1338">
        <v>84.376999999999995</v>
      </c>
      <c r="D21" s="1339" t="s">
        <v>2186</v>
      </c>
      <c r="E21" s="1340"/>
      <c r="F21" s="1340">
        <v>13721</v>
      </c>
      <c r="G21" s="1340"/>
      <c r="H21" s="1340"/>
      <c r="I21" s="1340">
        <v>13721</v>
      </c>
      <c r="J21" s="1340"/>
      <c r="K21" s="1340"/>
      <c r="L21" s="1337" t="s">
        <v>2175</v>
      </c>
      <c r="M21" s="1340">
        <v>15000</v>
      </c>
    </row>
    <row r="22" spans="2:14" ht="20.100000000000001" customHeight="1" x14ac:dyDescent="0.2">
      <c r="B22" s="1334" t="s">
        <v>2187</v>
      </c>
      <c r="C22" s="1338">
        <v>84.027000000000001</v>
      </c>
      <c r="D22" s="1339" t="s">
        <v>2188</v>
      </c>
      <c r="E22" s="1340"/>
      <c r="F22" s="1340">
        <v>44942</v>
      </c>
      <c r="G22" s="1340"/>
      <c r="H22" s="1340"/>
      <c r="I22" s="1340">
        <v>44942</v>
      </c>
      <c r="J22" s="1340"/>
      <c r="K22" s="1340"/>
      <c r="L22" s="1337">
        <f t="shared" si="0"/>
        <v>44942</v>
      </c>
      <c r="M22" s="1340" t="s">
        <v>2189</v>
      </c>
    </row>
    <row r="23" spans="2:14" ht="20.100000000000001" customHeight="1" x14ac:dyDescent="0.2">
      <c r="B23" s="1334"/>
      <c r="C23" s="1338"/>
      <c r="D23" s="1339"/>
      <c r="E23" s="1340"/>
      <c r="F23" s="1340"/>
      <c r="G23" s="1340"/>
      <c r="H23" s="1340"/>
      <c r="I23" s="1340"/>
      <c r="J23" s="1340"/>
      <c r="K23" s="1340"/>
      <c r="L23" s="1337"/>
      <c r="M23" s="1340"/>
    </row>
    <row r="24" spans="2:14" ht="20.100000000000001" customHeight="1" x14ac:dyDescent="0.2">
      <c r="B24" s="1945" t="s">
        <v>2190</v>
      </c>
      <c r="C24" s="1338"/>
      <c r="D24" s="1339"/>
      <c r="E24" s="1340"/>
      <c r="F24" s="1340"/>
      <c r="G24" s="1340"/>
      <c r="H24" s="1340"/>
      <c r="I24" s="1340"/>
      <c r="J24" s="1340"/>
      <c r="K24" s="1340"/>
      <c r="L24" s="1337"/>
      <c r="M24" s="1340"/>
    </row>
    <row r="25" spans="2:14" ht="20.100000000000001" customHeight="1" x14ac:dyDescent="0.2">
      <c r="B25" s="1334" t="s">
        <v>2193</v>
      </c>
      <c r="C25" s="1338">
        <v>84.173000000000002</v>
      </c>
      <c r="D25" s="1339" t="s">
        <v>2191</v>
      </c>
      <c r="E25" s="1340">
        <v>29024</v>
      </c>
      <c r="F25" s="1340">
        <v>835</v>
      </c>
      <c r="G25" s="1340">
        <v>29024</v>
      </c>
      <c r="H25" s="1340"/>
      <c r="I25" s="1340">
        <v>835</v>
      </c>
      <c r="J25" s="1340"/>
      <c r="K25" s="1340"/>
      <c r="L25" s="1337">
        <f t="shared" si="0"/>
        <v>29859</v>
      </c>
      <c r="M25" s="1340" t="s">
        <v>2189</v>
      </c>
    </row>
    <row r="26" spans="2:14" ht="20.100000000000001" customHeight="1" x14ac:dyDescent="0.2">
      <c r="B26" s="1334" t="s">
        <v>2193</v>
      </c>
      <c r="C26" s="1338">
        <v>84.173000000000002</v>
      </c>
      <c r="D26" s="1339" t="s">
        <v>2192</v>
      </c>
      <c r="E26" s="1340"/>
      <c r="F26" s="1340">
        <v>43537</v>
      </c>
      <c r="G26" s="1340"/>
      <c r="H26" s="1340"/>
      <c r="I26" s="1340">
        <v>43537</v>
      </c>
      <c r="J26" s="1340"/>
      <c r="K26" s="1340"/>
      <c r="L26" s="1337">
        <f t="shared" si="0"/>
        <v>43537</v>
      </c>
      <c r="M26" s="1340" t="s">
        <v>2189</v>
      </c>
    </row>
    <row r="27" spans="2:14" ht="20.100000000000001" customHeight="1" x14ac:dyDescent="0.2">
      <c r="B27" s="1334" t="s">
        <v>2195</v>
      </c>
      <c r="C27" s="1338">
        <v>84.027000000000001</v>
      </c>
      <c r="D27" s="1339" t="s">
        <v>2194</v>
      </c>
      <c r="E27" s="1340">
        <v>527607</v>
      </c>
      <c r="F27" s="1340">
        <v>89543</v>
      </c>
      <c r="G27" s="1340">
        <v>527607</v>
      </c>
      <c r="H27" s="1340"/>
      <c r="I27" s="1340">
        <v>89543</v>
      </c>
      <c r="J27" s="1340"/>
      <c r="K27" s="1340"/>
      <c r="L27" s="1337">
        <f t="shared" si="0"/>
        <v>617150</v>
      </c>
      <c r="M27" s="1340" t="s">
        <v>2189</v>
      </c>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1735</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1838</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1736</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1737</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1738</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1739</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25" header="0.25" footer="0.25"/>
  <pageSetup scale="83" firstPageNumber="38" orientation="landscape" useFirstPageNumber="1" r:id="rId1"/>
  <headerFooter alignWithMargins="0">
    <oddHeader>&amp;L&amp;8Page 6&amp;R&amp;8Page 6</oddHeader>
  </headerFooter>
  <ignoredErrors>
    <ignoredError sqref="L13 L15 L17 L19 L22 L25:L27" unlocked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61D17-7530-41F7-AE2D-F4B0A2E83F86}">
  <dimension ref="B1:N152"/>
  <sheetViews>
    <sheetView showGridLines="0" topLeftCell="A13" zoomScaleNormal="100" workbookViewId="0">
      <selection activeCell="E21" sqref="E21"/>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21" t="str">
        <f>'Single Audit Cover'!A7</f>
        <v>Woodland CCSD 50</v>
      </c>
      <c r="C1" s="2442"/>
      <c r="D1" s="2442"/>
      <c r="E1" s="2442"/>
      <c r="F1" s="2442"/>
      <c r="G1" s="2442"/>
      <c r="H1" s="2442"/>
      <c r="I1" s="2442"/>
      <c r="J1" s="2442"/>
      <c r="K1" s="2442"/>
      <c r="L1" s="2442"/>
      <c r="M1" s="2442"/>
    </row>
    <row r="2" spans="2:14" ht="15" x14ac:dyDescent="0.2">
      <c r="B2" s="2443">
        <f>'Single Audit Cover'!E7</f>
        <v>34049050004</v>
      </c>
      <c r="C2" s="2443"/>
      <c r="D2" s="2443"/>
      <c r="E2" s="2443"/>
      <c r="F2" s="2443"/>
      <c r="G2" s="2443"/>
      <c r="H2" s="2443"/>
      <c r="I2" s="2443"/>
      <c r="J2" s="2443"/>
      <c r="K2" s="2443"/>
      <c r="L2" s="2443"/>
      <c r="M2" s="2443"/>
      <c r="N2" s="1299"/>
    </row>
    <row r="3" spans="2:14" ht="15" x14ac:dyDescent="0.2">
      <c r="B3" s="2444" t="s">
        <v>1219</v>
      </c>
      <c r="C3" s="2444"/>
      <c r="D3" s="2444"/>
      <c r="E3" s="2444"/>
      <c r="F3" s="2444"/>
      <c r="G3" s="2444"/>
      <c r="H3" s="2444"/>
      <c r="I3" s="2444"/>
      <c r="J3" s="2444"/>
      <c r="K3" s="2444"/>
      <c r="L3" s="2444"/>
      <c r="M3" s="2444"/>
      <c r="N3" s="1299"/>
    </row>
    <row r="4" spans="2:14" ht="15" x14ac:dyDescent="0.2">
      <c r="B4" s="2445" t="str">
        <f>'Single Audit Cover'!A4</f>
        <v>Year Ending June 30, 2019</v>
      </c>
      <c r="C4" s="2445"/>
      <c r="D4" s="2445"/>
      <c r="E4" s="2445"/>
      <c r="F4" s="2445"/>
      <c r="G4" s="2445"/>
      <c r="H4" s="2445"/>
      <c r="I4" s="2445"/>
      <c r="J4" s="2445"/>
      <c r="K4" s="2445"/>
      <c r="L4" s="2445"/>
      <c r="M4" s="2445"/>
      <c r="N4" s="1299"/>
    </row>
    <row r="6" spans="2:14" x14ac:dyDescent="0.2">
      <c r="B6" s="1300"/>
      <c r="C6" s="1301"/>
      <c r="D6" s="1302" t="s">
        <v>1265</v>
      </c>
      <c r="E6" s="1303" t="s">
        <v>527</v>
      </c>
      <c r="F6" s="1304"/>
      <c r="G6" s="1305" t="s">
        <v>1732</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1837</v>
      </c>
      <c r="I8" s="1316" t="s">
        <v>1262</v>
      </c>
      <c r="J8" s="1315" t="s">
        <v>1986</v>
      </c>
      <c r="K8" s="1316" t="s">
        <v>1261</v>
      </c>
      <c r="L8" s="1317" t="s">
        <v>1257</v>
      </c>
      <c r="M8" s="1318" t="s">
        <v>30</v>
      </c>
    </row>
    <row r="9" spans="2:14" ht="14.25" x14ac:dyDescent="0.2">
      <c r="B9" s="1322" t="s">
        <v>1259</v>
      </c>
      <c r="C9" s="1310" t="s">
        <v>1733</v>
      </c>
      <c r="D9" s="1311" t="s">
        <v>1734</v>
      </c>
      <c r="E9" s="1319" t="s">
        <v>1837</v>
      </c>
      <c r="F9" s="1320" t="s">
        <v>1986</v>
      </c>
      <c r="G9" s="1321" t="s">
        <v>1837</v>
      </c>
      <c r="H9" s="1314" t="s">
        <v>1582</v>
      </c>
      <c r="I9" s="1316" t="s">
        <v>1986</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945" t="s">
        <v>2197</v>
      </c>
      <c r="C11" s="1338"/>
      <c r="D11" s="1336"/>
      <c r="E11" s="1337"/>
      <c r="F11" s="1337"/>
      <c r="G11" s="1337"/>
      <c r="H11" s="1337"/>
      <c r="I11" s="1337"/>
      <c r="J11" s="1337"/>
      <c r="K11" s="1337"/>
      <c r="L11" s="1337"/>
      <c r="M11" s="1337"/>
    </row>
    <row r="12" spans="2:14" ht="20.100000000000001" customHeight="1" x14ac:dyDescent="0.2">
      <c r="B12" s="1334" t="s">
        <v>2195</v>
      </c>
      <c r="C12" s="1338">
        <v>84.027000000000001</v>
      </c>
      <c r="D12" s="1336" t="s">
        <v>2196</v>
      </c>
      <c r="E12" s="1340"/>
      <c r="F12" s="1340">
        <v>737858</v>
      </c>
      <c r="G12" s="1340"/>
      <c r="H12" s="1340"/>
      <c r="I12" s="1340">
        <v>737858</v>
      </c>
      <c r="J12" s="1340"/>
      <c r="K12" s="1340"/>
      <c r="L12" s="1337">
        <f t="shared" ref="L12" si="0">+G12+I12+K12</f>
        <v>737858</v>
      </c>
      <c r="M12" s="1340" t="s">
        <v>2189</v>
      </c>
    </row>
    <row r="13" spans="2:14" ht="20.100000000000001" customHeight="1" x14ac:dyDescent="0.2">
      <c r="B13" s="1334"/>
      <c r="C13" s="1338"/>
      <c r="D13" s="1339"/>
      <c r="E13" s="1340"/>
      <c r="F13" s="1340"/>
      <c r="G13" s="1340"/>
      <c r="H13" s="1340"/>
      <c r="I13" s="1340"/>
      <c r="J13" s="1340"/>
      <c r="K13" s="1340"/>
      <c r="L13" s="1337"/>
      <c r="M13" s="1340"/>
    </row>
    <row r="14" spans="2:14" ht="20.100000000000001" customHeight="1" x14ac:dyDescent="0.2">
      <c r="B14" s="1946" t="s">
        <v>2198</v>
      </c>
      <c r="C14" s="1338"/>
      <c r="D14" s="1339"/>
      <c r="E14" s="1340"/>
      <c r="F14" s="1947">
        <f>SUM(' SEFA'!F13:F27)+SUM(' SEFA (2)'!F11:F13)</f>
        <v>1671697</v>
      </c>
      <c r="G14" s="1340"/>
      <c r="H14" s="1340"/>
      <c r="I14" s="1947">
        <f>SUM(' SEFA'!I13:I27)+SUM(' SEFA (2)'!I11:I13)</f>
        <v>1671697</v>
      </c>
      <c r="J14" s="1340"/>
      <c r="K14" s="1340"/>
      <c r="L14" s="1337"/>
      <c r="M14" s="1340"/>
    </row>
    <row r="15" spans="2:14" ht="20.100000000000001" customHeight="1" x14ac:dyDescent="0.2">
      <c r="B15" s="1334" t="s">
        <v>1169</v>
      </c>
      <c r="C15" s="1338"/>
      <c r="D15" s="1339"/>
      <c r="E15" s="1340"/>
      <c r="F15" s="1340"/>
      <c r="G15" s="1340"/>
      <c r="H15" s="1340"/>
      <c r="I15" s="1340"/>
      <c r="J15" s="1340"/>
      <c r="K15" s="1340"/>
      <c r="L15" s="1337"/>
      <c r="M15" s="1340"/>
    </row>
    <row r="16" spans="2:14" ht="20.100000000000001" customHeight="1" x14ac:dyDescent="0.2">
      <c r="B16" s="1944" t="s">
        <v>2199</v>
      </c>
      <c r="C16" s="1338"/>
      <c r="D16" s="1339"/>
      <c r="E16" s="1340"/>
      <c r="F16" s="1340"/>
      <c r="G16" s="1340"/>
      <c r="H16" s="1340"/>
      <c r="I16" s="1340"/>
      <c r="J16" s="1340"/>
      <c r="K16" s="1340"/>
      <c r="L16" s="1337"/>
      <c r="M16" s="1340"/>
    </row>
    <row r="17" spans="2:14" ht="20.100000000000001" customHeight="1" x14ac:dyDescent="0.2">
      <c r="B17" s="1945" t="s">
        <v>2225</v>
      </c>
      <c r="C17" s="1338"/>
      <c r="D17" s="1339"/>
      <c r="E17" s="1340"/>
      <c r="F17" s="1340"/>
      <c r="G17" s="1340"/>
      <c r="H17" s="1340"/>
      <c r="I17" s="1340"/>
      <c r="J17" s="1340"/>
      <c r="K17" s="1340"/>
      <c r="L17" s="1337"/>
      <c r="M17" s="1340"/>
    </row>
    <row r="18" spans="2:14" ht="20.100000000000001" customHeight="1" x14ac:dyDescent="0.2">
      <c r="B18" s="1334" t="s">
        <v>2200</v>
      </c>
      <c r="C18" s="1338">
        <v>93.778000000000006</v>
      </c>
      <c r="D18" s="1339" t="s">
        <v>2201</v>
      </c>
      <c r="E18" s="1340"/>
      <c r="F18" s="1340">
        <v>81038</v>
      </c>
      <c r="G18" s="1340"/>
      <c r="H18" s="1340"/>
      <c r="I18" s="1340">
        <v>81038</v>
      </c>
      <c r="J18" s="1340"/>
      <c r="K18" s="1340"/>
      <c r="L18" s="1337"/>
      <c r="M18" s="1340"/>
    </row>
    <row r="19" spans="2:14" ht="20.100000000000001" customHeight="1" x14ac:dyDescent="0.2">
      <c r="B19" s="1334"/>
      <c r="C19" s="1338"/>
      <c r="D19" s="1339"/>
      <c r="E19" s="1340"/>
      <c r="F19" s="1340"/>
      <c r="G19" s="1340"/>
      <c r="H19" s="1340"/>
      <c r="I19" s="1340"/>
      <c r="J19" s="1340"/>
      <c r="K19" s="1340"/>
      <c r="L19" s="1337"/>
      <c r="M19" s="1340"/>
    </row>
    <row r="20" spans="2:14" ht="20.100000000000001" customHeight="1" x14ac:dyDescent="0.2">
      <c r="B20" s="1946" t="s">
        <v>2202</v>
      </c>
      <c r="C20" s="1338"/>
      <c r="D20" s="1339"/>
      <c r="E20" s="1340"/>
      <c r="F20" s="1947">
        <f>SUM(F18:F19)</f>
        <v>81038</v>
      </c>
      <c r="G20" s="1340"/>
      <c r="H20" s="1340"/>
      <c r="I20" s="1947">
        <f>SUM(I18:I19)</f>
        <v>81038</v>
      </c>
      <c r="J20" s="1340"/>
      <c r="K20" s="1340"/>
      <c r="L20" s="1337"/>
      <c r="M20" s="1340"/>
    </row>
    <row r="21" spans="2:14" ht="20.100000000000001" customHeight="1" x14ac:dyDescent="0.2">
      <c r="B21" s="1944"/>
      <c r="C21" s="1338"/>
      <c r="D21" s="1339"/>
      <c r="E21" s="1340"/>
      <c r="F21" s="1340"/>
      <c r="G21" s="1340"/>
      <c r="H21" s="1340"/>
      <c r="I21" s="1340"/>
      <c r="J21" s="1340"/>
      <c r="K21" s="1340"/>
      <c r="L21" s="1337"/>
      <c r="M21" s="1340"/>
    </row>
    <row r="22" spans="2:14" ht="20.100000000000001" customHeight="1" x14ac:dyDescent="0.2">
      <c r="B22" s="1944" t="s">
        <v>2203</v>
      </c>
      <c r="C22" s="1338"/>
      <c r="D22" s="1339"/>
      <c r="E22" s="1340"/>
      <c r="F22" s="1340"/>
      <c r="G22" s="1340"/>
      <c r="H22" s="1340"/>
      <c r="I22" s="1340"/>
      <c r="J22" s="1340"/>
      <c r="K22" s="1340"/>
      <c r="L22" s="1337"/>
      <c r="M22" s="1340"/>
    </row>
    <row r="23" spans="2:14" ht="20.100000000000001" customHeight="1" x14ac:dyDescent="0.2">
      <c r="B23" s="1945" t="s">
        <v>2171</v>
      </c>
      <c r="C23" s="1338"/>
      <c r="D23" s="1339"/>
      <c r="E23" s="1340"/>
      <c r="F23" s="1340"/>
      <c r="G23" s="1340"/>
      <c r="H23" s="1340"/>
      <c r="I23" s="1340"/>
      <c r="J23" s="1340"/>
      <c r="K23" s="1340"/>
      <c r="L23" s="1337"/>
      <c r="M23" s="1340"/>
    </row>
    <row r="24" spans="2:14" ht="20.100000000000001" customHeight="1" x14ac:dyDescent="0.2">
      <c r="B24" s="1334" t="s">
        <v>2204</v>
      </c>
      <c r="C24" s="1338">
        <v>10.555</v>
      </c>
      <c r="D24" s="1339" t="s">
        <v>2205</v>
      </c>
      <c r="E24" s="1340">
        <v>670712</v>
      </c>
      <c r="F24" s="1340">
        <v>119060</v>
      </c>
      <c r="G24" s="1340">
        <v>670712</v>
      </c>
      <c r="H24" s="1340"/>
      <c r="I24" s="1340">
        <v>119060</v>
      </c>
      <c r="J24" s="1340"/>
      <c r="K24" s="1340"/>
      <c r="L24" s="1337">
        <f t="shared" ref="L24" si="1">+G24+I24+K24</f>
        <v>789772</v>
      </c>
      <c r="M24" s="1340" t="s">
        <v>2189</v>
      </c>
    </row>
    <row r="25" spans="2:14" ht="20.100000000000001" customHeight="1" x14ac:dyDescent="0.2">
      <c r="B25" s="1334" t="s">
        <v>2204</v>
      </c>
      <c r="C25" s="1338">
        <v>10.555</v>
      </c>
      <c r="D25" s="1339" t="s">
        <v>2206</v>
      </c>
      <c r="E25" s="1340"/>
      <c r="F25" s="1340">
        <v>645852</v>
      </c>
      <c r="G25" s="1340"/>
      <c r="H25" s="1340"/>
      <c r="I25" s="1340">
        <v>645852</v>
      </c>
      <c r="J25" s="1340"/>
      <c r="K25" s="1340"/>
      <c r="L25" s="1337" t="s">
        <v>2207</v>
      </c>
      <c r="M25" s="1340" t="s">
        <v>2189</v>
      </c>
    </row>
    <row r="26" spans="2:14" ht="20.100000000000001" customHeight="1" x14ac:dyDescent="0.2">
      <c r="B26" s="1334" t="s">
        <v>2208</v>
      </c>
      <c r="C26" s="1338">
        <v>10.553000000000001</v>
      </c>
      <c r="D26" s="1339" t="s">
        <v>2209</v>
      </c>
      <c r="E26" s="1340">
        <v>162783</v>
      </c>
      <c r="F26" s="1340">
        <v>22492</v>
      </c>
      <c r="G26" s="1340">
        <v>162783</v>
      </c>
      <c r="H26" s="1340"/>
      <c r="I26" s="1340">
        <v>22492</v>
      </c>
      <c r="J26" s="1340"/>
      <c r="K26" s="1340"/>
      <c r="L26" s="1337">
        <f t="shared" ref="L26" si="2">+G26+I26+K26</f>
        <v>185275</v>
      </c>
      <c r="M26" s="1340" t="s">
        <v>2189</v>
      </c>
    </row>
    <row r="27" spans="2:14" ht="20.100000000000001" customHeight="1" x14ac:dyDescent="0.2">
      <c r="B27" s="1334" t="s">
        <v>2208</v>
      </c>
      <c r="C27" s="1338">
        <v>10.553000000000001</v>
      </c>
      <c r="D27" s="1339" t="s">
        <v>2210</v>
      </c>
      <c r="E27" s="1340"/>
      <c r="F27" s="1340">
        <v>149439</v>
      </c>
      <c r="G27" s="1340"/>
      <c r="H27" s="1340"/>
      <c r="I27" s="1340">
        <v>149439</v>
      </c>
      <c r="J27" s="1340"/>
      <c r="K27" s="1340"/>
      <c r="L27" s="1337" t="s">
        <v>2207</v>
      </c>
      <c r="M27" s="1340" t="s">
        <v>2189</v>
      </c>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1735</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1838</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1736</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1737</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1738</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1739</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25" header="0.25" footer="0.25"/>
  <pageSetup scale="83" firstPageNumber="38" orientation="landscape" useFirstPageNumber="1" r:id="rId1"/>
  <headerFooter alignWithMargins="0">
    <oddHeader>&amp;L&amp;8Page 7&amp;R&amp;8Page 7</oddHeader>
  </headerFooter>
  <ignoredErrors>
    <ignoredError sqref="L12 F14 I14 F20 I20 L24 L26"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5" colorId="8" zoomScale="110" zoomScaleNormal="110" workbookViewId="0">
      <selection activeCell="C115" sqref="C11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3" t="s">
        <v>1168</v>
      </c>
      <c r="B2" s="2063"/>
      <c r="C2" s="2063"/>
      <c r="D2" s="2063"/>
      <c r="E2" s="2063"/>
      <c r="F2" s="2063"/>
      <c r="G2" s="2063"/>
      <c r="H2" s="2063"/>
      <c r="I2" s="2063"/>
      <c r="J2" s="2063"/>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1942</v>
      </c>
    </row>
    <row r="32" spans="1:4" s="181" customFormat="1" x14ac:dyDescent="0.2">
      <c r="A32" s="219"/>
      <c r="B32" s="236"/>
      <c r="C32" s="227"/>
      <c r="D32" s="237" t="s">
        <v>1791</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7" t="s">
        <v>1633</v>
      </c>
      <c r="B35" s="2078"/>
      <c r="C35" s="2078"/>
      <c r="D35" s="2078"/>
      <c r="E35" s="2079"/>
      <c r="F35" s="2079"/>
      <c r="G35" s="2079"/>
      <c r="H35" s="2079"/>
      <c r="I35" s="2079"/>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7" t="s">
        <v>313</v>
      </c>
      <c r="B47" s="2080"/>
      <c r="C47" s="2080"/>
      <c r="D47" s="2080"/>
      <c r="E47" s="2081"/>
      <c r="F47" s="2081"/>
      <c r="G47" s="2081"/>
      <c r="H47" s="2081"/>
      <c r="I47" s="2081"/>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2063</v>
      </c>
      <c r="C53" s="179">
        <v>22</v>
      </c>
      <c r="D53" s="247" t="s">
        <v>1462</v>
      </c>
      <c r="E53" s="248"/>
      <c r="F53" s="249"/>
      <c r="G53" s="249" t="s">
        <v>1461</v>
      </c>
      <c r="H53" s="250">
        <v>33512</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1790</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4"/>
      <c r="C57" s="2085"/>
      <c r="D57" s="2085"/>
      <c r="E57" s="2085"/>
      <c r="F57" s="2085"/>
      <c r="G57" s="2085"/>
      <c r="H57" s="2085"/>
      <c r="I57" s="2085"/>
      <c r="J57" s="2086"/>
    </row>
    <row r="58" spans="1:10" s="181" customFormat="1" x14ac:dyDescent="0.2">
      <c r="A58" s="253"/>
      <c r="B58" s="2087"/>
      <c r="C58" s="2088"/>
      <c r="D58" s="2088"/>
      <c r="E58" s="2088"/>
      <c r="F58" s="2088"/>
      <c r="G58" s="2088"/>
      <c r="H58" s="2088"/>
      <c r="I58" s="2088"/>
      <c r="J58" s="2089"/>
    </row>
    <row r="59" spans="1:10" s="181" customFormat="1" x14ac:dyDescent="0.2">
      <c r="A59" s="253"/>
      <c r="B59" s="2087"/>
      <c r="C59" s="2088"/>
      <c r="D59" s="2088"/>
      <c r="E59" s="2088"/>
      <c r="F59" s="2088"/>
      <c r="G59" s="2088"/>
      <c r="H59" s="2088"/>
      <c r="I59" s="2088"/>
      <c r="J59" s="2089"/>
    </row>
    <row r="60" spans="1:10" s="181" customFormat="1" x14ac:dyDescent="0.2">
      <c r="A60" s="253"/>
      <c r="B60" s="2087"/>
      <c r="C60" s="2088"/>
      <c r="D60" s="2088"/>
      <c r="E60" s="2088"/>
      <c r="F60" s="2088"/>
      <c r="G60" s="2088"/>
      <c r="H60" s="2088"/>
      <c r="I60" s="2088"/>
      <c r="J60" s="2089"/>
    </row>
    <row r="61" spans="1:10" s="181" customFormat="1" x14ac:dyDescent="0.2">
      <c r="A61" s="253"/>
      <c r="B61" s="2087"/>
      <c r="C61" s="2088"/>
      <c r="D61" s="2088"/>
      <c r="E61" s="2088"/>
      <c r="F61" s="2088"/>
      <c r="G61" s="2088"/>
      <c r="H61" s="2088"/>
      <c r="I61" s="2088"/>
      <c r="J61" s="2089"/>
    </row>
    <row r="62" spans="1:10" s="181" customFormat="1" x14ac:dyDescent="0.2">
      <c r="A62" s="253"/>
      <c r="B62" s="2087"/>
      <c r="C62" s="2088"/>
      <c r="D62" s="2088"/>
      <c r="E62" s="2088"/>
      <c r="F62" s="2088"/>
      <c r="G62" s="2088"/>
      <c r="H62" s="2088"/>
      <c r="I62" s="2088"/>
      <c r="J62" s="2089"/>
    </row>
    <row r="63" spans="1:10" s="181" customFormat="1" x14ac:dyDescent="0.2">
      <c r="A63" s="253"/>
      <c r="B63" s="2087"/>
      <c r="C63" s="2088"/>
      <c r="D63" s="2088"/>
      <c r="E63" s="2088"/>
      <c r="F63" s="2088"/>
      <c r="G63" s="2088"/>
      <c r="H63" s="2088"/>
      <c r="I63" s="2088"/>
      <c r="J63" s="2089"/>
    </row>
    <row r="64" spans="1:10" s="181" customFormat="1" x14ac:dyDescent="0.2">
      <c r="A64" s="253"/>
      <c r="B64" s="2087"/>
      <c r="C64" s="2088"/>
      <c r="D64" s="2088"/>
      <c r="E64" s="2088"/>
      <c r="F64" s="2088"/>
      <c r="G64" s="2088"/>
      <c r="H64" s="2088"/>
      <c r="I64" s="2088"/>
      <c r="J64" s="2089"/>
    </row>
    <row r="65" spans="1:10" s="181" customFormat="1" x14ac:dyDescent="0.2">
      <c r="A65" s="253"/>
      <c r="B65" s="2087"/>
      <c r="C65" s="2088"/>
      <c r="D65" s="2088"/>
      <c r="E65" s="2088"/>
      <c r="F65" s="2088"/>
      <c r="G65" s="2088"/>
      <c r="H65" s="2088"/>
      <c r="I65" s="2088"/>
      <c r="J65" s="2089"/>
    </row>
    <row r="66" spans="1:10" s="181" customFormat="1" x14ac:dyDescent="0.2">
      <c r="A66" s="253"/>
      <c r="B66" s="2087"/>
      <c r="C66" s="2088"/>
      <c r="D66" s="2088"/>
      <c r="E66" s="2088"/>
      <c r="F66" s="2088"/>
      <c r="G66" s="2088"/>
      <c r="H66" s="2088"/>
      <c r="I66" s="2088"/>
      <c r="J66" s="2089"/>
    </row>
    <row r="67" spans="1:10" s="181" customFormat="1" ht="9" customHeight="1" x14ac:dyDescent="0.2">
      <c r="A67" s="254"/>
      <c r="B67" s="2090"/>
      <c r="C67" s="2091"/>
      <c r="D67" s="2091"/>
      <c r="E67" s="2091"/>
      <c r="F67" s="2091"/>
      <c r="G67" s="2091"/>
      <c r="H67" s="2091"/>
      <c r="I67" s="2091"/>
      <c r="J67" s="209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7" t="s">
        <v>1323</v>
      </c>
      <c r="B70" s="2080"/>
      <c r="C70" s="2080"/>
      <c r="D70" s="2080"/>
      <c r="E70" s="2081"/>
      <c r="F70" s="2081"/>
      <c r="G70" s="2081"/>
      <c r="H70" s="2081"/>
      <c r="I70" s="2081"/>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1927</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1943</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1902</v>
      </c>
      <c r="I77" s="1838"/>
      <c r="J77" s="261">
        <v>43706</v>
      </c>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2" t="s">
        <v>1320</v>
      </c>
      <c r="B83" s="2082"/>
      <c r="C83" s="2082"/>
      <c r="D83" s="2083"/>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1925</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1925</v>
      </c>
      <c r="B88" s="286"/>
      <c r="C88" s="287"/>
      <c r="D88" s="288"/>
      <c r="E88" s="276"/>
      <c r="F88" s="276">
        <v>1381432</v>
      </c>
      <c r="G88" s="276">
        <v>1343040</v>
      </c>
      <c r="H88" s="276">
        <v>521442</v>
      </c>
      <c r="I88" s="276"/>
      <c r="J88" s="277">
        <f>SUM(E88:I88)</f>
        <v>3245914</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3245914</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1926</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4"/>
      <c r="C102" s="2065"/>
      <c r="D102" s="2065"/>
      <c r="E102" s="2065"/>
      <c r="F102" s="2065"/>
      <c r="G102" s="2065"/>
      <c r="H102" s="2065"/>
      <c r="I102" s="2066"/>
    </row>
    <row r="103" spans="1:9" s="181" customFormat="1" ht="11.25" customHeight="1" x14ac:dyDescent="0.2">
      <c r="A103" s="316"/>
      <c r="B103" s="2067"/>
      <c r="C103" s="2068"/>
      <c r="D103" s="2068"/>
      <c r="E103" s="2068"/>
      <c r="F103" s="2068"/>
      <c r="G103" s="2068"/>
      <c r="H103" s="2068"/>
      <c r="I103" s="2069"/>
    </row>
    <row r="104" spans="1:9" s="181" customFormat="1" ht="11.25" customHeight="1" x14ac:dyDescent="0.2">
      <c r="A104" s="316"/>
      <c r="B104" s="2067"/>
      <c r="C104" s="2068"/>
      <c r="D104" s="2068"/>
      <c r="E104" s="2068"/>
      <c r="F104" s="2068"/>
      <c r="G104" s="2068"/>
      <c r="H104" s="2068"/>
      <c r="I104" s="2069"/>
    </row>
    <row r="105" spans="1:9" s="181" customFormat="1" x14ac:dyDescent="0.2">
      <c r="A105" s="316"/>
      <c r="B105" s="2067"/>
      <c r="C105" s="2068"/>
      <c r="D105" s="2068"/>
      <c r="E105" s="2068"/>
      <c r="F105" s="2068"/>
      <c r="G105" s="2068"/>
      <c r="H105" s="2068"/>
      <c r="I105" s="2069"/>
    </row>
    <row r="106" spans="1:9" s="181" customFormat="1" ht="11.25" customHeight="1" x14ac:dyDescent="0.2">
      <c r="A106" s="316"/>
      <c r="B106" s="2067"/>
      <c r="C106" s="2068"/>
      <c r="D106" s="2068"/>
      <c r="E106" s="2068"/>
      <c r="F106" s="2068"/>
      <c r="G106" s="2068"/>
      <c r="H106" s="2068"/>
      <c r="I106" s="2069"/>
    </row>
    <row r="107" spans="1:9" s="181" customFormat="1" ht="11.25" customHeight="1" x14ac:dyDescent="0.2">
      <c r="A107" s="316"/>
      <c r="B107" s="2067"/>
      <c r="C107" s="2068"/>
      <c r="D107" s="2068"/>
      <c r="E107" s="2068"/>
      <c r="F107" s="2068"/>
      <c r="G107" s="2068"/>
      <c r="H107" s="2068"/>
      <c r="I107" s="2069"/>
    </row>
    <row r="108" spans="1:9" s="181" customFormat="1" ht="11.25" customHeight="1" x14ac:dyDescent="0.2">
      <c r="A108" s="316"/>
      <c r="B108" s="2067"/>
      <c r="C108" s="2068"/>
      <c r="D108" s="2068"/>
      <c r="E108" s="2068"/>
      <c r="F108" s="2068"/>
      <c r="G108" s="2068"/>
      <c r="H108" s="2068"/>
      <c r="I108" s="2069"/>
    </row>
    <row r="109" spans="1:9" s="181" customFormat="1" ht="11.25" customHeight="1" x14ac:dyDescent="0.2">
      <c r="A109" s="316"/>
      <c r="B109" s="2067"/>
      <c r="C109" s="2068"/>
      <c r="D109" s="2068"/>
      <c r="E109" s="2068"/>
      <c r="F109" s="2068"/>
      <c r="G109" s="2068"/>
      <c r="H109" s="2068"/>
      <c r="I109" s="2069"/>
    </row>
    <row r="110" spans="1:9" s="181" customFormat="1" ht="11.25" customHeight="1" x14ac:dyDescent="0.2">
      <c r="A110" s="316"/>
      <c r="B110" s="2067"/>
      <c r="C110" s="2068"/>
      <c r="D110" s="2068"/>
      <c r="E110" s="2068"/>
      <c r="F110" s="2068"/>
      <c r="G110" s="2068"/>
      <c r="H110" s="2068"/>
      <c r="I110" s="2069"/>
    </row>
    <row r="111" spans="1:9" s="181" customFormat="1" ht="11.25" customHeight="1" x14ac:dyDescent="0.2">
      <c r="A111" s="316"/>
      <c r="B111" s="2067"/>
      <c r="C111" s="2068"/>
      <c r="D111" s="2068"/>
      <c r="E111" s="2068"/>
      <c r="F111" s="2068"/>
      <c r="G111" s="2068"/>
      <c r="H111" s="2068"/>
      <c r="I111" s="2069"/>
    </row>
    <row r="112" spans="1:9" s="181" customFormat="1" ht="11.25" customHeight="1" x14ac:dyDescent="0.2">
      <c r="A112" s="316"/>
      <c r="B112" s="2070"/>
      <c r="C112" s="2071"/>
      <c r="D112" s="2071"/>
      <c r="E112" s="2071"/>
      <c r="F112" s="2071"/>
      <c r="G112" s="2071"/>
      <c r="H112" s="2071"/>
      <c r="I112" s="207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3" t="s">
        <v>2075</v>
      </c>
      <c r="D114" s="2073"/>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4" t="s">
        <v>1330</v>
      </c>
      <c r="D117" s="2075"/>
      <c r="E117" s="2076"/>
      <c r="F117" s="2076"/>
      <c r="G117" s="2076"/>
      <c r="H117" s="2076"/>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1903</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866D7F-D4F6-449B-AAF4-C36E160E01F6}">
  <dimension ref="B1:N152"/>
  <sheetViews>
    <sheetView showGridLines="0" topLeftCell="A3" zoomScaleNormal="100" workbookViewId="0">
      <selection activeCell="K16" sqref="K16"/>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21" t="str">
        <f>'Single Audit Cover'!A7</f>
        <v>Woodland CCSD 50</v>
      </c>
      <c r="C1" s="2442"/>
      <c r="D1" s="2442"/>
      <c r="E1" s="2442"/>
      <c r="F1" s="2442"/>
      <c r="G1" s="2442"/>
      <c r="H1" s="2442"/>
      <c r="I1" s="2442"/>
      <c r="J1" s="2442"/>
      <c r="K1" s="2442"/>
      <c r="L1" s="2442"/>
      <c r="M1" s="2442"/>
    </row>
    <row r="2" spans="2:14" ht="15" x14ac:dyDescent="0.2">
      <c r="B2" s="2443">
        <f>'Single Audit Cover'!E7</f>
        <v>34049050004</v>
      </c>
      <c r="C2" s="2443"/>
      <c r="D2" s="2443"/>
      <c r="E2" s="2443"/>
      <c r="F2" s="2443"/>
      <c r="G2" s="2443"/>
      <c r="H2" s="2443"/>
      <c r="I2" s="2443"/>
      <c r="J2" s="2443"/>
      <c r="K2" s="2443"/>
      <c r="L2" s="2443"/>
      <c r="M2" s="2443"/>
      <c r="N2" s="1299"/>
    </row>
    <row r="3" spans="2:14" ht="15" x14ac:dyDescent="0.2">
      <c r="B3" s="2444" t="s">
        <v>1219</v>
      </c>
      <c r="C3" s="2444"/>
      <c r="D3" s="2444"/>
      <c r="E3" s="2444"/>
      <c r="F3" s="2444"/>
      <c r="G3" s="2444"/>
      <c r="H3" s="2444"/>
      <c r="I3" s="2444"/>
      <c r="J3" s="2444"/>
      <c r="K3" s="2444"/>
      <c r="L3" s="2444"/>
      <c r="M3" s="2444"/>
      <c r="N3" s="1299"/>
    </row>
    <row r="4" spans="2:14" ht="15" x14ac:dyDescent="0.2">
      <c r="B4" s="2445" t="str">
        <f>'Single Audit Cover'!A4</f>
        <v>Year Ending June 30, 2019</v>
      </c>
      <c r="C4" s="2445"/>
      <c r="D4" s="2445"/>
      <c r="E4" s="2445"/>
      <c r="F4" s="2445"/>
      <c r="G4" s="2445"/>
      <c r="H4" s="2445"/>
      <c r="I4" s="2445"/>
      <c r="J4" s="2445"/>
      <c r="K4" s="2445"/>
      <c r="L4" s="2445"/>
      <c r="M4" s="2445"/>
      <c r="N4" s="1299"/>
    </row>
    <row r="6" spans="2:14" x14ac:dyDescent="0.2">
      <c r="B6" s="1300"/>
      <c r="C6" s="1301"/>
      <c r="D6" s="1302" t="s">
        <v>1265</v>
      </c>
      <c r="E6" s="1303" t="s">
        <v>527</v>
      </c>
      <c r="F6" s="1304"/>
      <c r="G6" s="1305" t="s">
        <v>1732</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1837</v>
      </c>
      <c r="I8" s="1316" t="s">
        <v>1262</v>
      </c>
      <c r="J8" s="1315" t="s">
        <v>1986</v>
      </c>
      <c r="K8" s="1316" t="s">
        <v>1261</v>
      </c>
      <c r="L8" s="1317" t="s">
        <v>1257</v>
      </c>
      <c r="M8" s="1318" t="s">
        <v>30</v>
      </c>
    </row>
    <row r="9" spans="2:14" ht="14.25" x14ac:dyDescent="0.2">
      <c r="B9" s="1322" t="s">
        <v>1259</v>
      </c>
      <c r="C9" s="1310" t="s">
        <v>1733</v>
      </c>
      <c r="D9" s="1311" t="s">
        <v>1734</v>
      </c>
      <c r="E9" s="1319" t="s">
        <v>1837</v>
      </c>
      <c r="F9" s="1320" t="s">
        <v>1986</v>
      </c>
      <c r="G9" s="1321" t="s">
        <v>1837</v>
      </c>
      <c r="H9" s="1314" t="s">
        <v>1582</v>
      </c>
      <c r="I9" s="1316" t="s">
        <v>1986</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945" t="s">
        <v>2212</v>
      </c>
      <c r="C11" s="1335"/>
      <c r="D11" s="1336"/>
      <c r="E11" s="1337"/>
      <c r="F11" s="1337"/>
      <c r="G11" s="1337"/>
      <c r="H11" s="1337"/>
      <c r="I11" s="1337"/>
      <c r="J11" s="1337"/>
      <c r="K11" s="1337"/>
      <c r="L11" s="1337"/>
      <c r="M11" s="1337"/>
    </row>
    <row r="12" spans="2:14" ht="20.100000000000001" customHeight="1" x14ac:dyDescent="0.2">
      <c r="B12" s="1334" t="s">
        <v>2211</v>
      </c>
      <c r="C12" s="1338">
        <v>10.555</v>
      </c>
      <c r="D12" s="1339" t="s">
        <v>2201</v>
      </c>
      <c r="E12" s="1340"/>
      <c r="F12" s="1340">
        <v>101416</v>
      </c>
      <c r="G12" s="1340"/>
      <c r="H12" s="1340"/>
      <c r="I12" s="1340">
        <v>101416</v>
      </c>
      <c r="J12" s="1340"/>
      <c r="K12" s="1340"/>
      <c r="L12" s="1337">
        <f t="shared" ref="L12" si="0">+G12+I12+K12</f>
        <v>101416</v>
      </c>
      <c r="M12" s="1340" t="s">
        <v>2189</v>
      </c>
    </row>
    <row r="13" spans="2:14" ht="20.100000000000001" customHeight="1" x14ac:dyDescent="0.2">
      <c r="B13" s="1334" t="s">
        <v>2213</v>
      </c>
      <c r="C13" s="1338">
        <v>10.555</v>
      </c>
      <c r="D13" s="1339" t="s">
        <v>2201</v>
      </c>
      <c r="E13" s="1340"/>
      <c r="F13" s="1340">
        <v>29710</v>
      </c>
      <c r="G13" s="1340"/>
      <c r="H13" s="1340"/>
      <c r="I13" s="1340">
        <v>29710</v>
      </c>
      <c r="J13" s="1340"/>
      <c r="K13" s="1340"/>
      <c r="L13" s="1337">
        <f t="shared" ref="L13" si="1">+G13+I13+K13</f>
        <v>29710</v>
      </c>
      <c r="M13" s="1340" t="s">
        <v>2189</v>
      </c>
    </row>
    <row r="14" spans="2:14" ht="20.100000000000001" customHeight="1" x14ac:dyDescent="0.2">
      <c r="B14" s="1334"/>
      <c r="C14" s="1338"/>
      <c r="D14" s="1339"/>
      <c r="E14" s="1340"/>
      <c r="F14" s="1340"/>
      <c r="G14" s="1340"/>
      <c r="H14" s="1340"/>
      <c r="I14" s="1340"/>
      <c r="J14" s="1340"/>
      <c r="K14" s="1340"/>
      <c r="L14" s="1337"/>
      <c r="M14" s="1340"/>
    </row>
    <row r="15" spans="2:14" ht="20.100000000000001" customHeight="1" x14ac:dyDescent="0.2">
      <c r="B15" s="1946" t="s">
        <v>2214</v>
      </c>
      <c r="C15" s="1338"/>
      <c r="D15" s="1339"/>
      <c r="E15" s="1340"/>
      <c r="F15" s="1947">
        <f>SUM(' SEFA (2)'!F24:F27)+SUM(' SEFA (3)'!F12:F14)</f>
        <v>1067969</v>
      </c>
      <c r="G15" s="1340"/>
      <c r="H15" s="1340"/>
      <c r="I15" s="1947">
        <f>SUM(' SEFA (2)'!I24:I27)+SUM(' SEFA (3)'!I12:I14)</f>
        <v>1067969</v>
      </c>
      <c r="J15" s="1340"/>
      <c r="K15" s="1340"/>
      <c r="L15" s="1337"/>
      <c r="M15" s="1340"/>
    </row>
    <row r="16" spans="2:14" ht="20.100000000000001" customHeight="1" x14ac:dyDescent="0.2">
      <c r="B16" s="1334" t="s">
        <v>1169</v>
      </c>
      <c r="C16" s="1338"/>
      <c r="D16" s="1339"/>
      <c r="E16" s="1340"/>
      <c r="F16" s="1340"/>
      <c r="G16" s="1340"/>
      <c r="H16" s="1340"/>
      <c r="I16" s="1340"/>
      <c r="J16" s="1340"/>
      <c r="K16" s="1340"/>
      <c r="L16" s="1337"/>
      <c r="M16" s="1340"/>
    </row>
    <row r="17" spans="2:14" ht="20.100000000000001" customHeight="1" x14ac:dyDescent="0.2">
      <c r="B17" s="1948" t="s">
        <v>2215</v>
      </c>
      <c r="C17" s="1338"/>
      <c r="D17" s="1339"/>
      <c r="E17" s="1340"/>
      <c r="F17" s="1949">
        <f>+' SEFA (2)'!F14+' SEFA (2)'!F20+' SEFA (3)'!F15</f>
        <v>2820704</v>
      </c>
      <c r="G17" s="1340"/>
      <c r="H17" s="1340"/>
      <c r="I17" s="1949">
        <f>+' SEFA (2)'!I14+' SEFA (2)'!I20+' SEFA (3)'!I15</f>
        <v>2820704</v>
      </c>
      <c r="J17" s="1340"/>
      <c r="K17" s="1340"/>
      <c r="L17" s="1337"/>
      <c r="M17" s="1340"/>
    </row>
    <row r="18" spans="2:14" ht="20.100000000000001" customHeight="1" x14ac:dyDescent="0.2">
      <c r="B18" s="1334"/>
      <c r="C18" s="1338"/>
      <c r="D18" s="1339"/>
      <c r="E18" s="1340"/>
      <c r="F18" s="1340"/>
      <c r="G18" s="1340"/>
      <c r="H18" s="1340"/>
      <c r="I18" s="1340"/>
      <c r="J18" s="1340"/>
      <c r="K18" s="1340"/>
      <c r="L18" s="1337"/>
      <c r="M18" s="1340"/>
    </row>
    <row r="19" spans="2:14" ht="20.100000000000001" customHeight="1" x14ac:dyDescent="0.2">
      <c r="B19" s="1334"/>
      <c r="C19" s="1338"/>
      <c r="D19" s="1339"/>
      <c r="E19" s="1340"/>
      <c r="F19" s="1340"/>
      <c r="G19" s="1340"/>
      <c r="H19" s="1340"/>
      <c r="I19" s="1340"/>
      <c r="J19" s="1340"/>
      <c r="K19" s="1340"/>
      <c r="L19" s="1337"/>
      <c r="M19" s="1340"/>
    </row>
    <row r="20" spans="2:14" ht="20.100000000000001" customHeight="1" x14ac:dyDescent="0.2">
      <c r="B20" s="1334"/>
      <c r="C20" s="1338"/>
      <c r="D20" s="1339"/>
      <c r="E20" s="1340"/>
      <c r="F20" s="1340"/>
      <c r="G20" s="1340"/>
      <c r="H20" s="1340"/>
      <c r="I20" s="1340"/>
      <c r="J20" s="1340"/>
      <c r="K20" s="1340"/>
      <c r="L20" s="1337"/>
      <c r="M20" s="1340"/>
    </row>
    <row r="21" spans="2:14" ht="20.100000000000001" customHeight="1" x14ac:dyDescent="0.2">
      <c r="B21" s="1334"/>
      <c r="C21" s="1338"/>
      <c r="D21" s="1339"/>
      <c r="E21" s="1340"/>
      <c r="F21" s="1340"/>
      <c r="G21" s="1340"/>
      <c r="H21" s="1340"/>
      <c r="I21" s="1340"/>
      <c r="J21" s="1340"/>
      <c r="K21" s="1340"/>
      <c r="L21" s="1337"/>
      <c r="M21" s="1340"/>
    </row>
    <row r="22" spans="2:14" ht="20.100000000000001" customHeight="1" x14ac:dyDescent="0.2">
      <c r="B22" s="1334"/>
      <c r="C22" s="1338"/>
      <c r="D22" s="1339"/>
      <c r="E22" s="1340"/>
      <c r="F22" s="1340"/>
      <c r="G22" s="1340"/>
      <c r="H22" s="1340"/>
      <c r="I22" s="1340"/>
      <c r="J22" s="1340"/>
      <c r="K22" s="1340"/>
      <c r="L22" s="1337"/>
      <c r="M22" s="1340"/>
    </row>
    <row r="23" spans="2:14" ht="20.100000000000001" customHeight="1" x14ac:dyDescent="0.2">
      <c r="B23" s="1334"/>
      <c r="C23" s="1338"/>
      <c r="D23" s="1339"/>
      <c r="E23" s="1340"/>
      <c r="F23" s="1340"/>
      <c r="G23" s="1340"/>
      <c r="H23" s="1340"/>
      <c r="I23" s="1340"/>
      <c r="J23" s="1340"/>
      <c r="K23" s="1340"/>
      <c r="L23" s="1337"/>
      <c r="M23" s="1340"/>
    </row>
    <row r="24" spans="2:14" ht="20.100000000000001" customHeight="1" x14ac:dyDescent="0.2">
      <c r="B24" s="1334"/>
      <c r="C24" s="1338"/>
      <c r="D24" s="1339"/>
      <c r="E24" s="1340"/>
      <c r="F24" s="1340"/>
      <c r="G24" s="1340"/>
      <c r="H24" s="1340"/>
      <c r="I24" s="1340"/>
      <c r="J24" s="1340"/>
      <c r="K24" s="1340"/>
      <c r="L24" s="1337"/>
      <c r="M24" s="1340"/>
    </row>
    <row r="25" spans="2:14" ht="20.100000000000001" customHeight="1" x14ac:dyDescent="0.2">
      <c r="B25" s="1334"/>
      <c r="C25" s="1338"/>
      <c r="D25" s="1339"/>
      <c r="E25" s="1340"/>
      <c r="F25" s="1340"/>
      <c r="G25" s="1340"/>
      <c r="H25" s="1340"/>
      <c r="I25" s="1340"/>
      <c r="J25" s="1340"/>
      <c r="K25" s="1340"/>
      <c r="L25" s="1337"/>
      <c r="M25" s="1340"/>
    </row>
    <row r="26" spans="2:14" ht="20.100000000000001" customHeight="1" x14ac:dyDescent="0.2">
      <c r="B26" s="1334"/>
      <c r="C26" s="1338"/>
      <c r="D26" s="1339"/>
      <c r="E26" s="1340"/>
      <c r="F26" s="1340"/>
      <c r="G26" s="1340"/>
      <c r="H26" s="1340"/>
      <c r="I26" s="1340"/>
      <c r="J26" s="1340"/>
      <c r="K26" s="1340"/>
      <c r="L26" s="1337"/>
      <c r="M26" s="1340"/>
    </row>
    <row r="27" spans="2:14" ht="20.100000000000001" customHeight="1" x14ac:dyDescent="0.2">
      <c r="B27" s="1334"/>
      <c r="C27" s="1338"/>
      <c r="D27" s="1339"/>
      <c r="E27" s="1340"/>
      <c r="F27" s="1340"/>
      <c r="G27" s="1340"/>
      <c r="H27" s="1340"/>
      <c r="I27" s="1340"/>
      <c r="J27" s="1340"/>
      <c r="K27" s="1340"/>
      <c r="L27" s="1337"/>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1735</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1838</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1736</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1737</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1738</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1739</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25" header="0.25" footer="0.25"/>
  <pageSetup scale="83" firstPageNumber="38" orientation="landscape" useFirstPageNumber="1" r:id="rId1"/>
  <headerFooter alignWithMargins="0">
    <oddHeader>&amp;L&amp;8Page 8&amp;R&amp;8Page 8</oddHeader>
  </headerFooter>
  <ignoredErrors>
    <ignoredError sqref="F15 I15 F17 I17 L12:L13" unlockedFormula="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28" zoomScaleNormal="100" workbookViewId="0">
      <selection activeCell="D39" sqref="D39"/>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55" t="str">
        <f>'Single Audit Cover'!A7</f>
        <v>Woodland CCSD 50</v>
      </c>
      <c r="B1" s="2455"/>
      <c r="C1" s="2455"/>
      <c r="D1" s="2455"/>
      <c r="E1" s="2455"/>
      <c r="F1" s="2455"/>
    </row>
    <row r="2" spans="1:7" ht="13.5" customHeight="1" x14ac:dyDescent="0.2">
      <c r="A2" s="2443">
        <f>'Single Audit Cover'!E7</f>
        <v>34049050004</v>
      </c>
      <c r="B2" s="2443"/>
      <c r="C2" s="2443"/>
      <c r="D2" s="2443"/>
      <c r="E2" s="2443"/>
      <c r="F2" s="2443"/>
      <c r="G2" s="1272"/>
    </row>
    <row r="3" spans="1:7" ht="15.75" customHeight="1" x14ac:dyDescent="0.2">
      <c r="A3" s="2456" t="s">
        <v>1271</v>
      </c>
      <c r="B3" s="2456"/>
      <c r="C3" s="2456"/>
      <c r="D3" s="2456"/>
      <c r="E3" s="2456"/>
      <c r="F3" s="2456"/>
    </row>
    <row r="4" spans="1:7" ht="13.5" customHeight="1" x14ac:dyDescent="0.2">
      <c r="A4" s="2457" t="str">
        <f>'Single Audit Cover'!A4</f>
        <v>Year Ending June 30, 2019</v>
      </c>
      <c r="B4" s="2457"/>
      <c r="C4" s="2457"/>
      <c r="D4" s="2457"/>
      <c r="E4" s="2457"/>
      <c r="F4" s="2457"/>
    </row>
    <row r="5" spans="1:7" ht="8.25" customHeight="1" x14ac:dyDescent="0.2">
      <c r="C5" s="317"/>
      <c r="D5" s="317"/>
    </row>
    <row r="6" spans="1:7" ht="13.5" customHeight="1" x14ac:dyDescent="0.2">
      <c r="A6" s="1273" t="s">
        <v>1728</v>
      </c>
      <c r="C6" s="317"/>
      <c r="D6" s="317"/>
    </row>
    <row r="7" spans="1:7" ht="60.95" customHeight="1" x14ac:dyDescent="0.2">
      <c r="A7" s="2454" t="s">
        <v>2216</v>
      </c>
      <c r="B7" s="2454"/>
      <c r="C7" s="2454"/>
      <c r="D7" s="2454"/>
      <c r="E7" s="2454"/>
      <c r="F7" s="2454"/>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2063</v>
      </c>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54" t="s">
        <v>1730</v>
      </c>
      <c r="B13" s="2454"/>
      <c r="C13" s="2454"/>
      <c r="D13" s="2454"/>
      <c r="E13" s="2454"/>
      <c r="F13" s="2454"/>
    </row>
    <row r="14" spans="1:7" ht="9.75" customHeight="1" x14ac:dyDescent="0.2">
      <c r="C14" s="1257"/>
      <c r="D14" s="1257"/>
    </row>
    <row r="15" spans="1:7" ht="13.5" customHeight="1" x14ac:dyDescent="0.2">
      <c r="C15" s="1846" t="s">
        <v>1270</v>
      </c>
      <c r="D15" s="2452" t="s">
        <v>1269</v>
      </c>
      <c r="E15" s="2452"/>
      <c r="F15" s="2452"/>
    </row>
    <row r="16" spans="1:7" ht="13.5" customHeight="1" x14ac:dyDescent="0.2">
      <c r="A16" s="1279"/>
      <c r="B16" s="1273" t="s">
        <v>1268</v>
      </c>
      <c r="C16" s="1846" t="s">
        <v>1267</v>
      </c>
      <c r="D16" s="2453" t="s">
        <v>1588</v>
      </c>
      <c r="E16" s="2453"/>
      <c r="F16" s="2453"/>
    </row>
    <row r="17" spans="1:6" ht="20.45" customHeight="1" x14ac:dyDescent="0.2">
      <c r="A17" s="1280"/>
      <c r="B17" s="1281" t="s">
        <v>2217</v>
      </c>
      <c r="C17" s="1282"/>
      <c r="D17" s="2447"/>
      <c r="E17" s="2447"/>
      <c r="F17" s="2447"/>
    </row>
    <row r="18" spans="1:6" ht="20.65" customHeight="1" x14ac:dyDescent="0.2">
      <c r="A18" s="1280"/>
      <c r="B18" s="1281"/>
      <c r="C18" s="1282"/>
      <c r="D18" s="2447"/>
      <c r="E18" s="2447"/>
      <c r="F18" s="2447"/>
    </row>
    <row r="19" spans="1:6" ht="20.65" customHeight="1" x14ac:dyDescent="0.2">
      <c r="A19" s="1280"/>
      <c r="B19" s="1281"/>
      <c r="C19" s="1282"/>
      <c r="D19" s="2447"/>
      <c r="E19" s="2447"/>
      <c r="F19" s="2447"/>
    </row>
    <row r="20" spans="1:6" ht="20.65" customHeight="1" x14ac:dyDescent="0.2">
      <c r="A20" s="1280"/>
      <c r="B20" s="1281"/>
      <c r="C20" s="1282"/>
      <c r="D20" s="2447"/>
      <c r="E20" s="2447"/>
      <c r="F20" s="2447"/>
    </row>
    <row r="21" spans="1:6" ht="20.65" customHeight="1" x14ac:dyDescent="0.2">
      <c r="A21" s="1280"/>
      <c r="B21" s="1281"/>
      <c r="C21" s="1282"/>
      <c r="D21" s="2447"/>
      <c r="E21" s="2447"/>
      <c r="F21" s="2447"/>
    </row>
    <row r="22" spans="1:6" ht="20.65" customHeight="1" x14ac:dyDescent="0.2">
      <c r="A22" s="1280"/>
      <c r="B22" s="1281"/>
      <c r="C22" s="1282"/>
      <c r="D22" s="2447"/>
      <c r="E22" s="2447"/>
      <c r="F22" s="2447"/>
    </row>
    <row r="23" spans="1:6" ht="20.65" customHeight="1" x14ac:dyDescent="0.2">
      <c r="A23" s="1280"/>
      <c r="B23" s="1281"/>
      <c r="C23" s="1282"/>
      <c r="D23" s="2447"/>
      <c r="E23" s="2447"/>
      <c r="F23" s="2447"/>
    </row>
    <row r="24" spans="1:6" ht="20.65" customHeight="1" x14ac:dyDescent="0.2">
      <c r="A24" s="1280"/>
      <c r="B24" s="1281"/>
      <c r="C24" s="1282"/>
      <c r="D24" s="2447"/>
      <c r="E24" s="2447"/>
      <c r="F24" s="2447"/>
    </row>
    <row r="25" spans="1:6" ht="20.65" customHeight="1" x14ac:dyDescent="0.2">
      <c r="A25" s="1280"/>
      <c r="B25" s="1281"/>
      <c r="C25" s="1282"/>
      <c r="D25" s="2447"/>
      <c r="E25" s="2447"/>
      <c r="F25" s="2447"/>
    </row>
    <row r="26" spans="1:6" ht="20.65" customHeight="1" x14ac:dyDescent="0.2">
      <c r="A26" s="1280"/>
      <c r="B26" s="1281"/>
      <c r="C26" s="1282"/>
      <c r="D26" s="2447"/>
      <c r="E26" s="2447"/>
      <c r="F26" s="2447"/>
    </row>
    <row r="27" spans="1:6" ht="20.65" customHeight="1" x14ac:dyDescent="0.2">
      <c r="A27" s="1280"/>
      <c r="B27" s="1281"/>
      <c r="C27" s="1282"/>
      <c r="D27" s="2447"/>
      <c r="E27" s="2447"/>
      <c r="F27" s="2447"/>
    </row>
    <row r="28" spans="1:6" ht="20.65" customHeight="1" x14ac:dyDescent="0.2">
      <c r="A28" s="1280"/>
      <c r="B28" s="1281"/>
      <c r="C28" s="1282"/>
      <c r="D28" s="2447"/>
      <c r="E28" s="2447"/>
      <c r="F28" s="2447"/>
    </row>
    <row r="29" spans="1:6" ht="20.65" customHeight="1" x14ac:dyDescent="0.2">
      <c r="A29" s="1280"/>
      <c r="B29" s="1281"/>
      <c r="C29" s="1282"/>
      <c r="D29" s="2447"/>
      <c r="E29" s="2447"/>
      <c r="F29" s="2447"/>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8" t="s">
        <v>2224</v>
      </c>
      <c r="B32" s="2448"/>
      <c r="C32" s="2448"/>
      <c r="D32" s="2448"/>
      <c r="E32" s="2448"/>
      <c r="F32" s="2448"/>
    </row>
    <row r="33" spans="1:6" ht="13.5" customHeight="1" x14ac:dyDescent="0.2">
      <c r="A33" s="328" t="s">
        <v>1434</v>
      </c>
      <c r="B33" s="328"/>
      <c r="C33" s="1285">
        <v>101416</v>
      </c>
      <c r="D33" s="1903"/>
      <c r="E33" s="1283"/>
    </row>
    <row r="34" spans="1:6" ht="13.5" customHeight="1" x14ac:dyDescent="0.2">
      <c r="A34" s="328" t="s">
        <v>1836</v>
      </c>
      <c r="B34" s="328"/>
      <c r="C34" s="1286">
        <v>29710</v>
      </c>
      <c r="D34" s="1903" t="s">
        <v>1589</v>
      </c>
      <c r="E34" s="2449">
        <f>+C33+C34</f>
        <v>131126</v>
      </c>
      <c r="F34" s="2450"/>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v>0</v>
      </c>
      <c r="D38" s="1903"/>
      <c r="E38" s="1283"/>
    </row>
    <row r="39" spans="1:6" ht="14.25" customHeight="1" x14ac:dyDescent="0.2">
      <c r="A39" s="328"/>
      <c r="B39" s="328" t="s">
        <v>1436</v>
      </c>
      <c r="C39" s="1289">
        <v>0</v>
      </c>
      <c r="D39" s="1903"/>
      <c r="E39" s="1283"/>
    </row>
    <row r="40" spans="1:6" ht="14.25" customHeight="1" x14ac:dyDescent="0.2">
      <c r="A40" s="328"/>
      <c r="B40" s="328" t="s">
        <v>1437</v>
      </c>
      <c r="C40" s="1289">
        <v>0</v>
      </c>
      <c r="D40" s="1903"/>
      <c r="E40" s="1283"/>
    </row>
    <row r="41" spans="1:6" ht="14.25" customHeight="1" x14ac:dyDescent="0.2">
      <c r="A41" s="328"/>
      <c r="B41" s="328" t="s">
        <v>1438</v>
      </c>
      <c r="C41" s="1289">
        <v>0</v>
      </c>
      <c r="D41" s="1903"/>
      <c r="E41" s="1283"/>
    </row>
    <row r="42" spans="1:6" ht="14.25" customHeight="1" x14ac:dyDescent="0.2">
      <c r="A42" s="328" t="s">
        <v>1439</v>
      </c>
      <c r="B42" s="328"/>
      <c r="C42" s="1901">
        <v>0</v>
      </c>
      <c r="D42" s="1903"/>
      <c r="E42" s="1283"/>
    </row>
    <row r="43" spans="1:6" ht="14.25" customHeight="1" x14ac:dyDescent="0.2">
      <c r="A43" s="328" t="s">
        <v>1440</v>
      </c>
      <c r="B43" s="328"/>
      <c r="C43" s="1290" t="s">
        <v>99</v>
      </c>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1731</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51" t="s">
        <v>1590</v>
      </c>
      <c r="C49" s="2451"/>
      <c r="D49" s="2451"/>
      <c r="E49" s="1396"/>
    </row>
    <row r="50" spans="1:5" s="1297" customFormat="1" ht="3.75" customHeight="1" x14ac:dyDescent="0.2">
      <c r="A50" s="1296"/>
      <c r="B50" s="1845"/>
      <c r="C50" s="1845"/>
      <c r="D50" s="1845"/>
      <c r="E50" s="1396"/>
    </row>
    <row r="51" spans="1:5" s="1297" customFormat="1" ht="20.25" customHeight="1" x14ac:dyDescent="0.2">
      <c r="A51" s="1298">
        <v>6</v>
      </c>
      <c r="B51" s="2446" t="s">
        <v>1551</v>
      </c>
      <c r="C51" s="2446"/>
      <c r="D51" s="2446"/>
    </row>
    <row r="52" spans="1:5" ht="14.25" customHeight="1" x14ac:dyDescent="0.2">
      <c r="A52" s="1298"/>
      <c r="B52" s="2446"/>
      <c r="C52" s="2446"/>
      <c r="D52" s="2446"/>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9&amp;R&amp;8Page 9</oddHeader>
  </headerFooter>
  <ignoredErrors>
    <ignoredError sqref="E34" unlockedFormula="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25" zoomScale="110" zoomScaleNormal="110" workbookViewId="0">
      <selection activeCell="F51" sqref="F5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9" t="str">
        <f>'Single Audit Cover'!A7</f>
        <v>Woodland CCSD 50</v>
      </c>
      <c r="C1" s="2470"/>
      <c r="D1" s="2470"/>
      <c r="E1" s="2470"/>
      <c r="F1" s="2470"/>
      <c r="G1" s="2470"/>
      <c r="H1" s="2470"/>
      <c r="I1" s="2470"/>
      <c r="J1" s="1406"/>
    </row>
    <row r="2" spans="2:10" s="317" customFormat="1" ht="12.75" customHeight="1" x14ac:dyDescent="0.2">
      <c r="B2" s="2471">
        <f>'Single Audit Cover'!E7</f>
        <v>34049050004</v>
      </c>
      <c r="C2" s="2472"/>
      <c r="D2" s="2472"/>
      <c r="E2" s="2472"/>
      <c r="F2" s="2472"/>
      <c r="G2" s="2472"/>
      <c r="H2" s="2472"/>
      <c r="I2" s="2472"/>
      <c r="J2" s="1406"/>
    </row>
    <row r="3" spans="2:10" s="317" customFormat="1" ht="12.75" customHeight="1" x14ac:dyDescent="0.2">
      <c r="B3" s="2473" t="s">
        <v>1285</v>
      </c>
      <c r="C3" s="2474"/>
      <c r="D3" s="2474"/>
      <c r="E3" s="2474"/>
      <c r="F3" s="2474"/>
      <c r="G3" s="2474"/>
      <c r="H3" s="2474"/>
      <c r="I3" s="2474"/>
      <c r="J3" s="1407"/>
    </row>
    <row r="4" spans="2:10" s="317" customFormat="1" ht="12.75" customHeight="1" x14ac:dyDescent="0.2">
      <c r="B4" s="2473" t="str">
        <f>'Single Audit Cover'!A4</f>
        <v>Year Ending June 30, 2019</v>
      </c>
      <c r="C4" s="2474"/>
      <c r="D4" s="2474"/>
      <c r="E4" s="2474"/>
      <c r="F4" s="2474"/>
      <c r="G4" s="2474"/>
      <c r="H4" s="2474"/>
      <c r="I4" s="2474"/>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73" t="s">
        <v>1284</v>
      </c>
      <c r="C7" s="2474"/>
      <c r="D7" s="2474"/>
      <c r="E7" s="2474"/>
      <c r="F7" s="2474"/>
      <c r="G7" s="2474"/>
      <c r="H7" s="2474"/>
      <c r="I7" s="2474"/>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75" t="s">
        <v>2218</v>
      </c>
      <c r="D11" s="2475"/>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t="s">
        <v>2063</v>
      </c>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t="s">
        <v>2063</v>
      </c>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t="s">
        <v>2063</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t="s">
        <v>2063</v>
      </c>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t="s">
        <v>2063</v>
      </c>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76" t="s">
        <v>2218</v>
      </c>
      <c r="E29" s="2476"/>
      <c r="F29" s="2476"/>
      <c r="G29" s="2476"/>
      <c r="H29" s="2476"/>
      <c r="I29" s="2476"/>
    </row>
    <row r="30" spans="2:9" s="317" customFormat="1" x14ac:dyDescent="0.2">
      <c r="B30" s="1365"/>
      <c r="C30" s="322"/>
      <c r="D30" s="1417" t="s">
        <v>1746</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t="s">
        <v>2063</v>
      </c>
      <c r="H33" s="1297" t="s">
        <v>99</v>
      </c>
    </row>
    <row r="35" spans="2:9" x14ac:dyDescent="0.2">
      <c r="B35" s="1425" t="s">
        <v>1747</v>
      </c>
      <c r="C35" s="1426"/>
      <c r="D35" s="1264"/>
    </row>
    <row r="36" spans="2:9" ht="6" customHeight="1" x14ac:dyDescent="0.2">
      <c r="B36" s="1425"/>
      <c r="C36" s="1426"/>
      <c r="D36" s="1264"/>
    </row>
    <row r="37" spans="2:9" ht="17.25" customHeight="1" x14ac:dyDescent="0.2">
      <c r="B37" s="1427" t="s">
        <v>1748</v>
      </c>
      <c r="C37" s="2477" t="s">
        <v>1749</v>
      </c>
      <c r="D37" s="2478"/>
      <c r="E37" s="2478"/>
      <c r="F37" s="2479"/>
      <c r="G37" s="2477" t="s">
        <v>1592</v>
      </c>
      <c r="H37" s="2478"/>
      <c r="I37" s="2479"/>
    </row>
    <row r="38" spans="2:9" ht="16.5" customHeight="1" x14ac:dyDescent="0.2">
      <c r="B38" s="1428" t="s">
        <v>2219</v>
      </c>
      <c r="C38" s="2465" t="s">
        <v>2220</v>
      </c>
      <c r="D38" s="2466"/>
      <c r="E38" s="2466"/>
      <c r="F38" s="2467"/>
      <c r="G38" s="2480">
        <v>916715</v>
      </c>
      <c r="H38" s="2481"/>
      <c r="I38" s="2482"/>
    </row>
    <row r="39" spans="2:9" ht="16.5" customHeight="1" x14ac:dyDescent="0.2">
      <c r="B39" s="1428" t="s">
        <v>2222</v>
      </c>
      <c r="C39" s="2465" t="s">
        <v>2221</v>
      </c>
      <c r="D39" s="2466"/>
      <c r="E39" s="2466"/>
      <c r="F39" s="2467"/>
      <c r="G39" s="2468">
        <v>1067969</v>
      </c>
      <c r="H39" s="2468"/>
      <c r="I39" s="2468"/>
    </row>
    <row r="40" spans="2:9" ht="16.5" customHeight="1" x14ac:dyDescent="0.2">
      <c r="B40" s="1428"/>
      <c r="C40" s="2465"/>
      <c r="D40" s="2466"/>
      <c r="E40" s="2466"/>
      <c r="F40" s="2467"/>
      <c r="G40" s="2468"/>
      <c r="H40" s="2468"/>
      <c r="I40" s="2468"/>
    </row>
    <row r="41" spans="2:9" ht="16.5" customHeight="1" x14ac:dyDescent="0.2">
      <c r="B41" s="1428"/>
      <c r="C41" s="2465"/>
      <c r="D41" s="2466"/>
      <c r="E41" s="2466"/>
      <c r="F41" s="2467"/>
      <c r="G41" s="2468"/>
      <c r="H41" s="2468"/>
      <c r="I41" s="2468"/>
    </row>
    <row r="42" spans="2:9" ht="16.5" customHeight="1" x14ac:dyDescent="0.2">
      <c r="B42" s="1428"/>
      <c r="C42" s="2465"/>
      <c r="D42" s="2466"/>
      <c r="E42" s="2466"/>
      <c r="F42" s="2467"/>
      <c r="G42" s="2468"/>
      <c r="H42" s="2468"/>
      <c r="I42" s="2468"/>
    </row>
    <row r="43" spans="2:9" ht="16.5" customHeight="1" x14ac:dyDescent="0.2">
      <c r="B43" s="1428"/>
      <c r="C43" s="2458" t="s">
        <v>1593</v>
      </c>
      <c r="D43" s="2459"/>
      <c r="E43" s="2459"/>
      <c r="F43" s="2460"/>
      <c r="G43" s="2461">
        <f>SUM(G38:I42)</f>
        <v>1984684</v>
      </c>
      <c r="H43" s="2461"/>
      <c r="I43" s="2461"/>
    </row>
    <row r="44" spans="2:9" ht="12.75" customHeight="1" x14ac:dyDescent="0.2"/>
    <row r="45" spans="2:9" ht="12.75" customHeight="1" x14ac:dyDescent="0.2">
      <c r="B45" s="1419" t="s">
        <v>2060</v>
      </c>
      <c r="D45" s="2462">
        <v>2820704</v>
      </c>
      <c r="E45" s="2463"/>
    </row>
    <row r="46" spans="2:9" ht="5.25" customHeight="1" x14ac:dyDescent="0.2">
      <c r="B46" s="1429"/>
      <c r="D46" s="1430"/>
      <c r="E46" s="1431"/>
    </row>
    <row r="47" spans="2:9" ht="12.75" customHeight="1" x14ac:dyDescent="0.2">
      <c r="B47" s="1297" t="s">
        <v>1594</v>
      </c>
      <c r="C47" s="1297"/>
      <c r="D47" s="1432">
        <f>+G43/D45</f>
        <v>0.7036129987407399</v>
      </c>
      <c r="E47" s="1433"/>
      <c r="F47" s="1434"/>
      <c r="I47" s="1435"/>
    </row>
    <row r="48" spans="2:9" ht="9.9499999999999993" customHeight="1" x14ac:dyDescent="0.2"/>
    <row r="49" spans="1:9" x14ac:dyDescent="0.2">
      <c r="B49" s="1365" t="s">
        <v>1273</v>
      </c>
      <c r="C49" s="1279"/>
      <c r="D49" s="1279"/>
      <c r="E49" s="2464">
        <v>750000</v>
      </c>
      <c r="F49" s="2464"/>
      <c r="G49" s="2464"/>
      <c r="H49" s="322"/>
    </row>
    <row r="51" spans="1:9" ht="13.5" customHeight="1" x14ac:dyDescent="0.2">
      <c r="B51" s="1365" t="s">
        <v>1272</v>
      </c>
      <c r="C51" s="1279"/>
      <c r="E51" s="1422" t="s">
        <v>2063</v>
      </c>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1750</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1751</v>
      </c>
      <c r="C58" s="1448"/>
      <c r="D58" s="1448"/>
    </row>
    <row r="59" spans="1:9" s="1445" customFormat="1" ht="3.95" customHeight="1" x14ac:dyDescent="0.2">
      <c r="A59" s="1442"/>
      <c r="B59" s="1447"/>
      <c r="C59" s="1448"/>
      <c r="D59" s="1448"/>
    </row>
    <row r="60" spans="1:9" s="1445" customFormat="1" ht="13.5" customHeight="1" x14ac:dyDescent="0.2">
      <c r="A60" s="1442"/>
      <c r="B60" s="1447" t="s">
        <v>1752</v>
      </c>
      <c r="C60" s="1448"/>
      <c r="D60" s="1448"/>
    </row>
    <row r="61" spans="1:9" s="1445" customFormat="1" ht="3.95" customHeight="1" x14ac:dyDescent="0.2">
      <c r="A61" s="1442"/>
      <c r="B61" s="1447"/>
      <c r="C61" s="1448"/>
      <c r="D61" s="1448"/>
    </row>
    <row r="62" spans="1:9" s="1445" customFormat="1" ht="12.75" customHeight="1" x14ac:dyDescent="0.2">
      <c r="A62" s="1442"/>
      <c r="B62" s="1447" t="s">
        <v>1753</v>
      </c>
      <c r="C62" s="1448"/>
      <c r="D62" s="1448"/>
    </row>
    <row r="63" spans="1:9" s="1445" customFormat="1" ht="13.5" customHeight="1" x14ac:dyDescent="0.2">
      <c r="A63" s="1442"/>
      <c r="B63" s="1446" t="s">
        <v>1597</v>
      </c>
      <c r="C63" s="1442"/>
      <c r="D63" s="1442"/>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24" header="0.26" footer="0.28999999999999998"/>
  <pageSetup firstPageNumber="40" orientation="portrait" useFirstPageNumber="1" r:id="rId1"/>
  <headerFooter alignWithMargins="0">
    <oddHeader>&amp;L&amp;8Page 10&amp;R&amp;8Page 10</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D11" sqref="D11"/>
    </sheetView>
  </sheetViews>
  <sheetFormatPr defaultColWidth="9.140625" defaultRowHeight="12.75" x14ac:dyDescent="0.2"/>
  <cols>
    <col min="1" max="1" width="1.5703125" style="317" customWidth="1"/>
    <col min="2" max="2" width="21.42578125" style="317" customWidth="1"/>
    <col min="3" max="3" width="6.140625" style="317" customWidth="1"/>
    <col min="4" max="4" width="5.42578125" style="317" bestFit="1"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9" t="str">
        <f>'Single Audit Cover'!A7</f>
        <v>Woodland CCSD 50</v>
      </c>
      <c r="C1" s="2469"/>
      <c r="D1" s="2469"/>
      <c r="E1" s="2469"/>
      <c r="F1" s="2469"/>
      <c r="G1" s="2469"/>
      <c r="H1" s="2469"/>
      <c r="I1" s="2469"/>
      <c r="J1" s="2469"/>
      <c r="K1" s="2469"/>
      <c r="L1" s="1371"/>
      <c r="M1" s="1371"/>
    </row>
    <row r="2" spans="1:13" ht="12" customHeight="1" x14ac:dyDescent="0.2">
      <c r="B2" s="2471">
        <f>'Single Audit Cover'!E7</f>
        <v>34049050004</v>
      </c>
      <c r="C2" s="2471"/>
      <c r="D2" s="2471"/>
      <c r="E2" s="2471"/>
      <c r="F2" s="2471"/>
      <c r="G2" s="2471"/>
      <c r="H2" s="2471"/>
      <c r="I2" s="2471"/>
      <c r="J2" s="2471"/>
      <c r="K2" s="2471"/>
      <c r="L2" s="1372"/>
      <c r="M2" s="1373"/>
    </row>
    <row r="3" spans="1:13" ht="10.35" customHeight="1" x14ac:dyDescent="0.2">
      <c r="B3" s="2485" t="s">
        <v>1285</v>
      </c>
      <c r="C3" s="2485"/>
      <c r="D3" s="2485"/>
      <c r="E3" s="2485"/>
      <c r="F3" s="2485"/>
      <c r="G3" s="2485"/>
      <c r="H3" s="2485"/>
      <c r="I3" s="2485"/>
      <c r="J3" s="2485"/>
      <c r="K3" s="2485"/>
      <c r="L3" s="1374"/>
      <c r="M3" s="1374"/>
    </row>
    <row r="4" spans="1:13" ht="14.25" customHeight="1" x14ac:dyDescent="0.2">
      <c r="B4" s="2486" t="str">
        <f>'Single Audit Cover'!A4</f>
        <v>Year Ending June 30, 2019</v>
      </c>
      <c r="C4" s="2486"/>
      <c r="D4" s="2486"/>
      <c r="E4" s="2486"/>
      <c r="F4" s="2486"/>
      <c r="G4" s="2486"/>
      <c r="H4" s="2486"/>
      <c r="I4" s="2486"/>
      <c r="J4" s="2486"/>
      <c r="K4" s="2486"/>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6" t="s">
        <v>1296</v>
      </c>
      <c r="C7" s="2486"/>
      <c r="D7" s="2487"/>
      <c r="E7" s="2487"/>
      <c r="F7" s="2487"/>
      <c r="G7" s="2487"/>
      <c r="H7" s="2487"/>
      <c r="I7" s="2487"/>
      <c r="J7" s="2487"/>
      <c r="K7" s="2487"/>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1740</v>
      </c>
      <c r="C10" s="1382" t="s">
        <v>1987</v>
      </c>
      <c r="D10" s="1383" t="s">
        <v>2217</v>
      </c>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84"/>
      <c r="C14" s="2484"/>
      <c r="D14" s="2484"/>
      <c r="E14" s="2484"/>
      <c r="F14" s="2484"/>
      <c r="G14" s="2484"/>
      <c r="H14" s="2484"/>
      <c r="I14" s="2484"/>
      <c r="J14" s="2484"/>
      <c r="K14" s="2484"/>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84"/>
      <c r="C17" s="2484"/>
      <c r="D17" s="2484"/>
      <c r="E17" s="2484"/>
      <c r="F17" s="2484"/>
      <c r="G17" s="2484"/>
      <c r="H17" s="2484"/>
      <c r="I17" s="2484"/>
      <c r="J17" s="2484"/>
      <c r="K17" s="2484"/>
      <c r="L17" s="1378"/>
    </row>
    <row r="18" spans="2:12" ht="4.5" customHeight="1" x14ac:dyDescent="0.2">
      <c r="B18" s="1395"/>
      <c r="C18" s="1395"/>
      <c r="L18" s="1378"/>
    </row>
    <row r="19" spans="2:12" s="1279" customFormat="1" ht="13.5" customHeight="1" x14ac:dyDescent="0.2">
      <c r="B19" s="1390" t="s">
        <v>1741</v>
      </c>
      <c r="C19" s="1390"/>
      <c r="D19" s="1391"/>
      <c r="E19" s="1391"/>
      <c r="F19" s="1391"/>
      <c r="G19" s="1392"/>
      <c r="H19" s="1391"/>
      <c r="I19" s="1392"/>
      <c r="J19" s="1391"/>
      <c r="K19" s="1391"/>
      <c r="L19" s="1393"/>
    </row>
    <row r="20" spans="2:12" ht="45.75" customHeight="1" x14ac:dyDescent="0.2">
      <c r="B20" s="2488"/>
      <c r="C20" s="2488"/>
      <c r="D20" s="2484"/>
      <c r="E20" s="2484"/>
      <c r="F20" s="2484"/>
      <c r="G20" s="2484"/>
      <c r="H20" s="2484"/>
      <c r="I20" s="2484"/>
      <c r="J20" s="2484"/>
      <c r="K20" s="2484"/>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84"/>
      <c r="C23" s="2484"/>
      <c r="D23" s="2484"/>
      <c r="E23" s="2484"/>
      <c r="F23" s="2484"/>
      <c r="G23" s="2484"/>
      <c r="H23" s="2484"/>
      <c r="I23" s="2484"/>
      <c r="J23" s="2484"/>
      <c r="K23" s="2484"/>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84"/>
      <c r="C26" s="2484"/>
      <c r="D26" s="2484"/>
      <c r="E26" s="2484"/>
      <c r="F26" s="2484"/>
      <c r="G26" s="2484"/>
      <c r="H26" s="2484"/>
      <c r="I26" s="2484"/>
      <c r="J26" s="2484"/>
      <c r="K26" s="2484"/>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83"/>
      <c r="C29" s="2483"/>
      <c r="D29" s="2484"/>
      <c r="E29" s="2484"/>
      <c r="F29" s="2484"/>
      <c r="G29" s="2484"/>
      <c r="H29" s="2484"/>
      <c r="I29" s="2484"/>
      <c r="J29" s="2484"/>
      <c r="K29" s="2484"/>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1742</v>
      </c>
      <c r="C31" s="1400"/>
      <c r="D31" s="1375"/>
      <c r="E31" s="1376"/>
      <c r="F31" s="1376"/>
      <c r="G31" s="1377"/>
      <c r="H31" s="1376"/>
      <c r="I31" s="1377"/>
      <c r="J31" s="1376"/>
      <c r="K31" s="1376"/>
      <c r="L31" s="1378"/>
    </row>
    <row r="32" spans="2:12" s="322" customFormat="1" ht="44.25" customHeight="1" x14ac:dyDescent="0.2">
      <c r="B32" s="2483"/>
      <c r="C32" s="2483"/>
      <c r="D32" s="2484"/>
      <c r="E32" s="2484"/>
      <c r="F32" s="2484"/>
      <c r="G32" s="2484"/>
      <c r="H32" s="2484"/>
      <c r="I32" s="2484"/>
      <c r="J32" s="2484"/>
      <c r="K32" s="2484"/>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1743</v>
      </c>
      <c r="C35" s="1403"/>
      <c r="D35" s="322"/>
      <c r="E35" s="322"/>
      <c r="F35" s="322"/>
      <c r="L35" s="1378"/>
    </row>
    <row r="36" spans="1:13" ht="9.6" customHeight="1" x14ac:dyDescent="0.2">
      <c r="B36" s="1297" t="s">
        <v>1839</v>
      </c>
      <c r="C36" s="1297"/>
      <c r="L36" s="1378"/>
    </row>
    <row r="37" spans="1:13" ht="9.6" customHeight="1" x14ac:dyDescent="0.2">
      <c r="B37" s="1297" t="s">
        <v>1840</v>
      </c>
      <c r="C37" s="1297"/>
    </row>
    <row r="38" spans="1:13" ht="11.85" customHeight="1" x14ac:dyDescent="0.2">
      <c r="B38" s="1404" t="s">
        <v>1744</v>
      </c>
      <c r="C38" s="1404"/>
    </row>
    <row r="39" spans="1:13" ht="9.6" customHeight="1" x14ac:dyDescent="0.2">
      <c r="B39" s="1297" t="s">
        <v>1286</v>
      </c>
      <c r="C39" s="1297"/>
      <c r="M39" s="1405"/>
    </row>
    <row r="40" spans="1:13" ht="12.6" customHeight="1" x14ac:dyDescent="0.2">
      <c r="B40" s="1404" t="s">
        <v>1745</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11&amp;R&amp;8Page 11</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topLeftCell="A4" zoomScale="110" zoomScaleNormal="110" workbookViewId="0">
      <selection activeCell="D17" sqref="D17:K17"/>
    </sheetView>
  </sheetViews>
  <sheetFormatPr defaultColWidth="9.140625" defaultRowHeight="12.75" x14ac:dyDescent="0.2"/>
  <cols>
    <col min="1" max="1" width="1.5703125" style="317" customWidth="1"/>
    <col min="2" max="2" width="21.5703125" style="317" customWidth="1"/>
    <col min="3" max="3" width="9.5703125" style="317" bestFit="1"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2" t="str">
        <f>'Single Audit Cover'!A7</f>
        <v>Woodland CCSD 50</v>
      </c>
      <c r="C1" s="2492"/>
      <c r="D1" s="2492"/>
      <c r="E1" s="2492"/>
      <c r="F1" s="2492"/>
      <c r="G1" s="2492"/>
      <c r="H1" s="2492"/>
      <c r="I1" s="2492"/>
      <c r="J1" s="2492"/>
      <c r="K1" s="2492"/>
      <c r="L1" s="1449"/>
    </row>
    <row r="2" spans="1:12" ht="12.75" customHeight="1" x14ac:dyDescent="0.2">
      <c r="B2" s="2493">
        <f>'Single Audit Cover'!E7</f>
        <v>34049050004</v>
      </c>
      <c r="C2" s="2493"/>
      <c r="D2" s="2493"/>
      <c r="E2" s="2493"/>
      <c r="F2" s="2493"/>
      <c r="G2" s="2493"/>
      <c r="H2" s="2493"/>
      <c r="I2" s="2493"/>
      <c r="J2" s="2493"/>
      <c r="K2" s="2493"/>
      <c r="L2" s="1450"/>
    </row>
    <row r="3" spans="1:12" ht="12.75" customHeight="1" x14ac:dyDescent="0.2">
      <c r="B3" s="2485" t="s">
        <v>1285</v>
      </c>
      <c r="C3" s="2485"/>
      <c r="D3" s="2485"/>
      <c r="E3" s="2485"/>
      <c r="F3" s="2485"/>
      <c r="G3" s="2485"/>
      <c r="H3" s="2485"/>
      <c r="I3" s="2485"/>
      <c r="J3" s="2485"/>
      <c r="K3" s="2485"/>
      <c r="L3" s="1374"/>
    </row>
    <row r="4" spans="1:12" ht="12.75" customHeight="1" x14ac:dyDescent="0.2">
      <c r="B4" s="2485" t="str">
        <f>'Single Audit Cover'!A4</f>
        <v>Year Ending June 30, 2019</v>
      </c>
      <c r="C4" s="2485"/>
      <c r="D4" s="2485"/>
      <c r="E4" s="2485"/>
      <c r="F4" s="2485"/>
      <c r="G4" s="2485"/>
      <c r="H4" s="2485"/>
      <c r="I4" s="2485"/>
      <c r="J4" s="2485"/>
      <c r="K4" s="2485"/>
      <c r="L4" s="1374"/>
    </row>
    <row r="5" spans="1:12" ht="5.25" customHeight="1" x14ac:dyDescent="0.2">
      <c r="B5" s="1257" t="s">
        <v>1169</v>
      </c>
      <c r="C5" s="1257"/>
      <c r="L5" s="322"/>
    </row>
    <row r="6" spans="1:12" ht="30.75" customHeight="1" x14ac:dyDescent="0.2">
      <c r="A6" s="322"/>
      <c r="B6" s="2494" t="s">
        <v>1308</v>
      </c>
      <c r="C6" s="2494"/>
      <c r="D6" s="2494"/>
      <c r="E6" s="2494"/>
      <c r="F6" s="2494"/>
      <c r="G6" s="2494"/>
      <c r="H6" s="2494"/>
      <c r="I6" s="2494"/>
      <c r="J6" s="2494"/>
      <c r="K6" s="2494"/>
      <c r="L6" s="322"/>
    </row>
    <row r="7" spans="1:12" ht="4.5" customHeight="1" x14ac:dyDescent="0.2">
      <c r="B7" s="1376"/>
      <c r="C7" s="1376"/>
      <c r="D7" s="1376"/>
      <c r="E7" s="1376"/>
      <c r="F7" s="1376"/>
      <c r="G7" s="1377"/>
      <c r="H7" s="1376"/>
      <c r="I7" s="1377"/>
      <c r="J7" s="1376"/>
      <c r="K7" s="1376"/>
      <c r="L7" s="322"/>
    </row>
    <row r="8" spans="1:12" ht="13.5" customHeight="1" x14ac:dyDescent="0.2">
      <c r="B8" s="1384" t="s">
        <v>1754</v>
      </c>
      <c r="C8" s="1451" t="s">
        <v>2223</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76"/>
      <c r="G12" s="2476"/>
      <c r="H12" s="2476"/>
      <c r="I12" s="2476"/>
      <c r="J12" s="2476"/>
      <c r="K12" s="2476"/>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9"/>
      <c r="E14" s="2489"/>
      <c r="F14" s="2489"/>
      <c r="H14" s="1459" t="s">
        <v>1303</v>
      </c>
      <c r="I14" s="2490"/>
      <c r="J14" s="2490"/>
      <c r="K14" s="2490"/>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90"/>
      <c r="E16" s="2490"/>
      <c r="F16" s="2490"/>
      <c r="G16" s="2490"/>
      <c r="H16" s="2490"/>
      <c r="I16" s="2490"/>
      <c r="J16" s="2490"/>
      <c r="K16" s="2490"/>
      <c r="L16" s="322"/>
    </row>
    <row r="17" spans="2:12" ht="13.5" customHeight="1" x14ac:dyDescent="0.2">
      <c r="B17" s="1384" t="s">
        <v>1301</v>
      </c>
      <c r="C17" s="1384"/>
      <c r="D17" s="2491"/>
      <c r="E17" s="2491"/>
      <c r="F17" s="2491"/>
      <c r="G17" s="2491"/>
      <c r="H17" s="2491"/>
      <c r="I17" s="2491"/>
      <c r="J17" s="2491"/>
      <c r="K17" s="2491"/>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84"/>
      <c r="C20" s="2484"/>
      <c r="D20" s="2484"/>
      <c r="E20" s="2484"/>
      <c r="F20" s="2484"/>
      <c r="G20" s="2484"/>
      <c r="H20" s="2484"/>
      <c r="I20" s="2484"/>
      <c r="J20" s="2484"/>
      <c r="K20" s="2484"/>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1755</v>
      </c>
      <c r="C22" s="1461"/>
      <c r="D22" s="322"/>
      <c r="E22" s="322"/>
      <c r="F22" s="322"/>
      <c r="G22" s="1380"/>
      <c r="H22" s="322"/>
      <c r="I22" s="1380"/>
      <c r="J22" s="322"/>
      <c r="K22" s="322"/>
      <c r="L22" s="322"/>
    </row>
    <row r="23" spans="2:12" ht="37.5" customHeight="1" x14ac:dyDescent="0.2">
      <c r="B23" s="2484"/>
      <c r="C23" s="2484"/>
      <c r="D23" s="2484"/>
      <c r="E23" s="2484"/>
      <c r="F23" s="2484"/>
      <c r="G23" s="2484"/>
      <c r="H23" s="2484"/>
      <c r="I23" s="2484"/>
      <c r="J23" s="2484"/>
      <c r="K23" s="2484"/>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1756</v>
      </c>
      <c r="C25" s="1461"/>
      <c r="D25" s="322"/>
      <c r="E25" s="322"/>
      <c r="F25" s="322"/>
      <c r="G25" s="1380"/>
      <c r="H25" s="322"/>
      <c r="I25" s="1380"/>
      <c r="J25" s="322"/>
      <c r="K25" s="322"/>
      <c r="L25" s="322"/>
    </row>
    <row r="26" spans="2:12" ht="37.5" customHeight="1" x14ac:dyDescent="0.2">
      <c r="B26" s="2484"/>
      <c r="C26" s="2484"/>
      <c r="D26" s="2484"/>
      <c r="E26" s="2484"/>
      <c r="F26" s="2484"/>
      <c r="G26" s="2484"/>
      <c r="H26" s="2484"/>
      <c r="I26" s="2484"/>
      <c r="J26" s="2484"/>
      <c r="K26" s="2484"/>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1757</v>
      </c>
      <c r="C28" s="1461"/>
      <c r="D28" s="322"/>
      <c r="E28" s="322"/>
      <c r="F28" s="322"/>
      <c r="G28" s="1380"/>
      <c r="H28" s="322"/>
      <c r="I28" s="1380"/>
      <c r="J28" s="322"/>
      <c r="K28" s="322"/>
      <c r="L28" s="322"/>
    </row>
    <row r="29" spans="2:12" ht="37.5" customHeight="1" x14ac:dyDescent="0.2">
      <c r="B29" s="2484"/>
      <c r="C29" s="2484"/>
      <c r="D29" s="2484"/>
      <c r="E29" s="2484"/>
      <c r="F29" s="2484"/>
      <c r="G29" s="2484"/>
      <c r="H29" s="2484"/>
      <c r="I29" s="2484"/>
      <c r="J29" s="2484"/>
      <c r="K29" s="2484"/>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84"/>
      <c r="C32" s="2484"/>
      <c r="D32" s="2484"/>
      <c r="E32" s="2484"/>
      <c r="F32" s="2484"/>
      <c r="G32" s="2484"/>
      <c r="H32" s="2484"/>
      <c r="I32" s="2484"/>
      <c r="J32" s="2484"/>
      <c r="K32" s="2484"/>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84"/>
      <c r="C35" s="2484"/>
      <c r="D35" s="2484"/>
      <c r="E35" s="2484"/>
      <c r="F35" s="2484"/>
      <c r="G35" s="2484"/>
      <c r="H35" s="2484"/>
      <c r="I35" s="2484"/>
      <c r="J35" s="2484"/>
      <c r="K35" s="2484"/>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84"/>
      <c r="C38" s="2484"/>
      <c r="D38" s="2484"/>
      <c r="E38" s="2484"/>
      <c r="F38" s="2484"/>
      <c r="G38" s="2484"/>
      <c r="H38" s="2484"/>
      <c r="I38" s="2484"/>
      <c r="J38" s="2484"/>
      <c r="K38" s="2484"/>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1758</v>
      </c>
      <c r="C40" s="1400"/>
      <c r="D40" s="1375"/>
      <c r="E40" s="1376"/>
      <c r="F40" s="1376"/>
      <c r="G40" s="1377"/>
      <c r="H40" s="1376"/>
      <c r="I40" s="1377"/>
      <c r="J40" s="1376"/>
      <c r="K40" s="1376"/>
    </row>
    <row r="41" spans="2:12" s="322" customFormat="1" ht="33.75" customHeight="1" x14ac:dyDescent="0.2">
      <c r="B41" s="2484"/>
      <c r="C41" s="2484"/>
      <c r="D41" s="2484"/>
      <c r="E41" s="2484"/>
      <c r="F41" s="2484"/>
      <c r="G41" s="2484"/>
      <c r="H41" s="2484"/>
      <c r="I41" s="2484"/>
      <c r="J41" s="2484"/>
      <c r="K41" s="2484"/>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1759</v>
      </c>
      <c r="C44" s="1403"/>
      <c r="D44" s="322"/>
      <c r="E44" s="322"/>
      <c r="F44" s="322"/>
    </row>
    <row r="45" spans="2:12" ht="10.5" customHeight="1" x14ac:dyDescent="0.2">
      <c r="B45" s="1404" t="s">
        <v>1760</v>
      </c>
      <c r="C45" s="1404"/>
      <c r="G45" s="317"/>
      <c r="I45" s="317"/>
    </row>
    <row r="46" spans="2:12" ht="11.1" customHeight="1" x14ac:dyDescent="0.2">
      <c r="B46" s="1404" t="s">
        <v>1761</v>
      </c>
      <c r="C46" s="1404"/>
      <c r="G46" s="317"/>
      <c r="I46" s="317"/>
    </row>
    <row r="47" spans="2:12" ht="11.1" customHeight="1" x14ac:dyDescent="0.2">
      <c r="B47" s="1404" t="s">
        <v>1762</v>
      </c>
      <c r="C47" s="1404"/>
      <c r="G47" s="317"/>
      <c r="I47" s="317"/>
    </row>
    <row r="48" spans="2:12" ht="11.1" customHeight="1" x14ac:dyDescent="0.2">
      <c r="B48" s="1404" t="s">
        <v>1763</v>
      </c>
      <c r="C48" s="1404"/>
      <c r="G48" s="317"/>
      <c r="I48" s="317"/>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12&amp;R&amp;8Page 12</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8" sqref="B8"/>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9" t="str">
        <f>'Single Audit Cover'!A7</f>
        <v>Woodland CCSD 50</v>
      </c>
      <c r="C1" s="2469"/>
      <c r="D1" s="2469"/>
      <c r="E1" s="1469"/>
    </row>
    <row r="2" spans="2:5" s="1279" customFormat="1" ht="12.75" customHeight="1" x14ac:dyDescent="0.2">
      <c r="B2" s="2471">
        <f>'Single Audit Cover'!E7</f>
        <v>34049050004</v>
      </c>
      <c r="C2" s="2471"/>
      <c r="D2" s="2471"/>
      <c r="E2" s="1470"/>
    </row>
    <row r="3" spans="2:5" ht="12.75" customHeight="1" x14ac:dyDescent="0.2">
      <c r="B3" s="2485" t="s">
        <v>1764</v>
      </c>
      <c r="C3" s="2485"/>
      <c r="D3" s="2485"/>
      <c r="E3" s="1271"/>
    </row>
    <row r="4" spans="2:5" s="1279" customFormat="1" ht="12.75" customHeight="1" x14ac:dyDescent="0.2">
      <c r="B4" s="2495" t="str">
        <f>'Single Audit Cover'!A4</f>
        <v>Year Ending June 30, 2019</v>
      </c>
      <c r="C4" s="2495"/>
      <c r="D4" s="2495"/>
      <c r="E4" s="1471"/>
    </row>
    <row r="5" spans="2:5" s="1279" customFormat="1" ht="40.15" customHeight="1" x14ac:dyDescent="0.2">
      <c r="B5" s="1472" t="s">
        <v>1765</v>
      </c>
      <c r="C5" s="328"/>
      <c r="D5" s="328"/>
      <c r="E5" s="328"/>
    </row>
    <row r="6" spans="2:5" s="1279" customFormat="1" ht="13.5" customHeight="1" x14ac:dyDescent="0.2">
      <c r="B6" s="1473" t="s">
        <v>1315</v>
      </c>
      <c r="C6" s="1473" t="s">
        <v>1314</v>
      </c>
      <c r="D6" s="1473" t="s">
        <v>1766</v>
      </c>
    </row>
    <row r="7" spans="2:5" ht="13.5" customHeight="1" x14ac:dyDescent="0.2">
      <c r="B7" s="1474" t="s">
        <v>2217</v>
      </c>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1767</v>
      </c>
    </row>
    <row r="46" spans="2:5" ht="12.2" customHeight="1" x14ac:dyDescent="0.2">
      <c r="B46" s="1483" t="s">
        <v>1768</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13&amp;R&amp;8Page 13</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6" colorId="8" zoomScale="110" zoomScaleNormal="110" workbookViewId="0">
      <selection activeCell="B32" sqref="B3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3" t="s">
        <v>386</v>
      </c>
      <c r="B1" s="2093"/>
      <c r="C1" s="2093"/>
      <c r="D1" s="2093"/>
      <c r="E1" s="2093"/>
      <c r="F1" s="2093"/>
      <c r="G1" s="2093"/>
      <c r="H1" s="2093"/>
      <c r="I1" s="2093"/>
      <c r="J1" s="2093"/>
      <c r="K1" s="2093"/>
      <c r="L1" s="2093"/>
      <c r="M1" s="2093"/>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1944</v>
      </c>
      <c r="E7" s="222"/>
      <c r="F7" s="351" t="s">
        <v>272</v>
      </c>
      <c r="G7" s="222"/>
      <c r="H7" s="222"/>
      <c r="I7" s="222"/>
      <c r="J7" s="352">
        <v>1639916781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3.195021E-2</v>
      </c>
      <c r="E10" s="356" t="s">
        <v>1005</v>
      </c>
      <c r="F10" s="355">
        <v>3.5673300000000001E-3</v>
      </c>
      <c r="G10" s="356" t="s">
        <v>1005</v>
      </c>
      <c r="H10" s="355">
        <v>1.3924600000000001E-3</v>
      </c>
      <c r="I10" s="356" t="s">
        <v>1006</v>
      </c>
      <c r="J10" s="1732">
        <f>ROUND(D10+F10+H10,5)</f>
        <v>3.6909999999999998E-2</v>
      </c>
      <c r="K10" s="222"/>
      <c r="L10" s="355">
        <v>1.279E-5</v>
      </c>
      <c r="M10" s="222"/>
    </row>
    <row r="11" spans="1:14" ht="7.5" customHeight="1" x14ac:dyDescent="0.2">
      <c r="B11" s="222"/>
      <c r="C11" s="222"/>
      <c r="D11" s="2103" t="str">
        <f>IF(SUM(J10)&lt;=0.0999999,"","Enter the Tax Rates by moving the decimal two places to the left.")</f>
        <v/>
      </c>
      <c r="E11" s="2104"/>
      <c r="F11" s="2104"/>
      <c r="G11" s="2104"/>
      <c r="H11" s="2104"/>
      <c r="I11" s="2104"/>
      <c r="J11" s="210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73932698</v>
      </c>
      <c r="E16" s="356"/>
      <c r="F16" s="1733">
        <f>SUM('Acct Summary 7-8'!C17,'Acct Summary 7-8'!D17,'Acct Summary 7-8'!F17)</f>
        <v>76349801</v>
      </c>
      <c r="G16" s="356"/>
      <c r="H16" s="1733">
        <f>SUM(D16-F16)</f>
        <v>-2417103</v>
      </c>
      <c r="I16" s="222"/>
      <c r="J16" s="1733">
        <f>SUM('Acct Summary 7-8'!C81,'Acct Summary 7-8'!D81,'Acct Summary 7-8'!F81,'Acct Summary 7-8'!I81)</f>
        <v>55487527</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2059</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2063</v>
      </c>
      <c r="C31" s="367" t="s">
        <v>586</v>
      </c>
      <c r="D31" s="237" t="s">
        <v>1072</v>
      </c>
      <c r="E31" s="222"/>
      <c r="F31" s="222"/>
      <c r="G31" s="363"/>
      <c r="H31" s="1735">
        <f>IF(B31="X",(J7*0.069),IF(B32="X",(J7*0.138),"Enter x in a.or b."))</f>
        <v>113154257.88900001</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67051378</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94"/>
      <c r="C54" s="2095"/>
      <c r="D54" s="2095"/>
      <c r="E54" s="2095"/>
      <c r="F54" s="2095"/>
      <c r="G54" s="2095"/>
      <c r="H54" s="2095"/>
      <c r="I54" s="2095"/>
      <c r="J54" s="2095"/>
      <c r="K54" s="2095"/>
      <c r="L54" s="2096"/>
      <c r="M54" s="380"/>
    </row>
    <row r="55" spans="1:13" ht="12.75" customHeight="1" x14ac:dyDescent="0.2">
      <c r="B55" s="2097"/>
      <c r="C55" s="2098"/>
      <c r="D55" s="2098"/>
      <c r="E55" s="2098"/>
      <c r="F55" s="2098"/>
      <c r="G55" s="2098"/>
      <c r="H55" s="2098"/>
      <c r="I55" s="2098"/>
      <c r="J55" s="2098"/>
      <c r="K55" s="2098"/>
      <c r="L55" s="2099"/>
      <c r="M55" s="380"/>
    </row>
    <row r="56" spans="1:13" ht="12.75" customHeight="1" x14ac:dyDescent="0.2">
      <c r="B56" s="2097"/>
      <c r="C56" s="2098"/>
      <c r="D56" s="2098"/>
      <c r="E56" s="2098"/>
      <c r="F56" s="2098"/>
      <c r="G56" s="2098"/>
      <c r="H56" s="2098"/>
      <c r="I56" s="2098"/>
      <c r="J56" s="2098"/>
      <c r="K56" s="2098"/>
      <c r="L56" s="2099"/>
      <c r="M56" s="222"/>
    </row>
    <row r="57" spans="1:13" ht="12.75" customHeight="1" x14ac:dyDescent="0.2">
      <c r="B57" s="2097"/>
      <c r="C57" s="2098"/>
      <c r="D57" s="2098"/>
      <c r="E57" s="2098"/>
      <c r="F57" s="2098"/>
      <c r="G57" s="2098"/>
      <c r="H57" s="2098"/>
      <c r="I57" s="2098"/>
      <c r="J57" s="2098"/>
      <c r="K57" s="2098"/>
      <c r="L57" s="2099"/>
      <c r="M57" s="222"/>
    </row>
    <row r="58" spans="1:13" x14ac:dyDescent="0.2">
      <c r="B58" s="2100"/>
      <c r="C58" s="2101"/>
      <c r="D58" s="2101"/>
      <c r="E58" s="2101"/>
      <c r="F58" s="2101"/>
      <c r="G58" s="2101"/>
      <c r="H58" s="2101"/>
      <c r="I58" s="2101"/>
      <c r="J58" s="2101"/>
      <c r="K58" s="2101"/>
      <c r="L58" s="210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5"/>
      <c r="D61" s="210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8"/>
      <c r="B1" s="2109"/>
      <c r="C1" s="2109"/>
      <c r="D1" s="384"/>
      <c r="E1" s="384"/>
      <c r="F1" s="384"/>
      <c r="G1" s="384"/>
      <c r="H1" s="384"/>
      <c r="I1" s="384"/>
      <c r="J1" s="384"/>
      <c r="K1" s="384"/>
      <c r="L1" s="384"/>
      <c r="M1" s="384"/>
      <c r="N1" s="384"/>
      <c r="O1" s="2108"/>
      <c r="P1" s="2109"/>
      <c r="Q1" s="2109"/>
    </row>
    <row r="2" spans="1:18" ht="15" x14ac:dyDescent="0.2">
      <c r="A2" s="2112" t="s">
        <v>556</v>
      </c>
      <c r="B2" s="2112"/>
      <c r="C2" s="2112"/>
      <c r="D2" s="2112"/>
      <c r="E2" s="2112"/>
      <c r="F2" s="2112"/>
      <c r="G2" s="2112"/>
      <c r="H2" s="2112"/>
      <c r="I2" s="2112"/>
      <c r="J2" s="2112"/>
      <c r="K2" s="2112"/>
      <c r="L2" s="2112"/>
      <c r="M2" s="2112"/>
      <c r="N2" s="2112"/>
      <c r="O2" s="2112"/>
      <c r="P2" s="2112"/>
      <c r="Q2" s="2112"/>
      <c r="R2" s="2112"/>
    </row>
    <row r="3" spans="1:18" ht="12.75" x14ac:dyDescent="0.2">
      <c r="A3" s="2113" t="s">
        <v>1413</v>
      </c>
      <c r="B3" s="2113"/>
      <c r="C3" s="2113"/>
      <c r="D3" s="2113"/>
      <c r="E3" s="2113"/>
      <c r="F3" s="2113"/>
      <c r="G3" s="2113"/>
      <c r="H3" s="2113"/>
      <c r="I3" s="2113"/>
      <c r="J3" s="2113"/>
      <c r="K3" s="2113"/>
      <c r="L3" s="2113"/>
      <c r="M3" s="2113"/>
      <c r="N3" s="2113"/>
      <c r="O3" s="2113"/>
      <c r="P3" s="2113"/>
      <c r="Q3" s="2113"/>
      <c r="R3" s="2113"/>
    </row>
    <row r="4" spans="1:18" x14ac:dyDescent="0.2">
      <c r="A4" s="2114" t="s">
        <v>1554</v>
      </c>
      <c r="B4" s="2114"/>
      <c r="C4" s="2114"/>
      <c r="D4" s="2114"/>
      <c r="E4" s="2114"/>
      <c r="F4" s="2114"/>
      <c r="G4" s="2114"/>
      <c r="H4" s="2114"/>
      <c r="I4" s="2114"/>
      <c r="J4" s="2114"/>
      <c r="K4" s="2114"/>
      <c r="L4" s="2114"/>
      <c r="M4" s="2114"/>
      <c r="N4" s="2114"/>
      <c r="O4" s="2114"/>
      <c r="P4" s="2114"/>
      <c r="Q4" s="2114"/>
      <c r="R4" s="211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Woodland CCSD 50</v>
      </c>
      <c r="E7" s="391"/>
      <c r="G7" s="252"/>
      <c r="H7" s="387"/>
      <c r="I7" s="387"/>
      <c r="J7" s="387"/>
      <c r="K7" s="387"/>
      <c r="L7" s="329"/>
      <c r="M7" s="329"/>
      <c r="N7" s="329"/>
      <c r="O7" s="329"/>
      <c r="P7" s="329"/>
    </row>
    <row r="8" spans="1:18" ht="12.75" x14ac:dyDescent="0.2">
      <c r="A8" s="329"/>
      <c r="B8" s="329"/>
      <c r="C8" s="389" t="s">
        <v>1125</v>
      </c>
      <c r="D8" s="392">
        <f>COVER!A13</f>
        <v>34049050004</v>
      </c>
      <c r="E8" s="393"/>
      <c r="G8" s="329"/>
      <c r="H8" s="329"/>
      <c r="I8" s="329"/>
      <c r="J8" s="329"/>
      <c r="K8" s="329"/>
      <c r="L8" s="329"/>
      <c r="M8" s="329"/>
      <c r="N8" s="329"/>
      <c r="O8" s="329"/>
      <c r="P8" s="329"/>
    </row>
    <row r="9" spans="1:18" ht="12.75" x14ac:dyDescent="0.2">
      <c r="A9" s="329"/>
      <c r="B9" s="329"/>
      <c r="C9" s="389" t="s">
        <v>713</v>
      </c>
      <c r="D9" s="394" t="str">
        <f>COVER!A15</f>
        <v>LAKE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55487527</v>
      </c>
      <c r="I12" s="404"/>
      <c r="J12" s="404"/>
      <c r="K12" s="405">
        <f>TRUNC((H12/H13*100000),5)/100000</f>
        <v>0.75051402830000002</v>
      </c>
      <c r="L12" s="406"/>
      <c r="M12" s="360" t="s">
        <v>1144</v>
      </c>
      <c r="N12" s="360"/>
      <c r="O12" s="407">
        <v>0.35</v>
      </c>
      <c r="P12" s="218"/>
      <c r="Q12" s="218"/>
    </row>
    <row r="13" spans="1:18" s="408" customFormat="1" ht="12.75" x14ac:dyDescent="0.2">
      <c r="A13" s="218"/>
      <c r="B13" s="401"/>
      <c r="C13" s="2110" t="s">
        <v>1324</v>
      </c>
      <c r="D13" s="2111"/>
      <c r="E13" s="218"/>
      <c r="F13" s="409" t="s">
        <v>793</v>
      </c>
      <c r="G13" s="402"/>
      <c r="H13" s="403">
        <f>SUM('Acct Summary 7-8'!C8+'Acct Summary 7-8'!D8+'Acct Summary 7-8'!F8+'Acct Summary 7-8'!I8)+H14</f>
        <v>73932698</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76349801</v>
      </c>
      <c r="I17" s="404"/>
      <c r="J17" s="416"/>
      <c r="K17" s="405">
        <f>TRUNC((H17/H18*100000),5)/100000</f>
        <v>1.0326932881000002</v>
      </c>
      <c r="L17" s="406"/>
      <c r="M17" s="417" t="s">
        <v>1171</v>
      </c>
      <c r="O17" s="418" t="str">
        <f>IF(AND(O16="2", J20 &gt; 2),"1",IF(AND(O16 = "1", J20 &gt; 2),"2",IF(AND(O16="1", J20 &gt;1),"1","0")))</f>
        <v>0</v>
      </c>
      <c r="P17" s="218"/>
    </row>
    <row r="18" spans="1:18" s="408" customFormat="1" ht="11.25" x14ac:dyDescent="0.2">
      <c r="A18" s="218"/>
      <c r="B18" s="401"/>
      <c r="C18" s="2110" t="s">
        <v>1317</v>
      </c>
      <c r="D18" s="2111"/>
      <c r="E18" s="218"/>
      <c r="F18" s="419" t="s">
        <v>794</v>
      </c>
      <c r="G18" s="402"/>
      <c r="H18" s="403">
        <f>SUM('Acct Summary 7-8'!C8+'Acct Summary 7-8'!D8+'Acct Summary 7-8'!F8+'Acct Summary 7-8'!I8)+H19</f>
        <v>73932698</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19.897479399999998</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07" t="s">
        <v>1412</v>
      </c>
      <c r="D24" s="2107"/>
      <c r="E24" s="218"/>
      <c r="F24" s="218" t="s">
        <v>445</v>
      </c>
      <c r="G24" s="402"/>
      <c r="H24" s="403">
        <f>SUM('Assets-Liab 5-6'!C4+'Assets-Liab 5-6'!D4+'Assets-Liab 5-6'!F4+'Assets-Liab 5-6'!I4+'Assets-Liab 5-6'!C5+'Assets-Liab 5-6'!D5+'Assets-Liab 5-6'!F5+'Assets-Liab 5-6'!I5)</f>
        <v>53854637</v>
      </c>
      <c r="I24" s="422"/>
      <c r="J24" s="422"/>
      <c r="K24" s="423">
        <f>TRUNC(((H24/H25*100000)/100000),2)</f>
        <v>253.93</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212082.78056000001</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1928</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51449929.128700003</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2</v>
      </c>
      <c r="P31" s="216"/>
    </row>
    <row r="32" spans="1:18" s="408" customFormat="1" ht="11.25" x14ac:dyDescent="0.2">
      <c r="A32" s="218"/>
      <c r="B32" s="401"/>
      <c r="C32" s="218" t="s">
        <v>847</v>
      </c>
      <c r="D32" s="218"/>
      <c r="E32" s="218"/>
      <c r="F32" s="218"/>
      <c r="G32" s="402"/>
      <c r="H32" s="403">
        <f>'FP Info 3'!H37</f>
        <v>67051378</v>
      </c>
      <c r="I32" s="420"/>
      <c r="J32" s="420"/>
      <c r="K32" s="423">
        <f>TRUNC(100-((((H32/H33*100))*100)/100),2)</f>
        <v>40.74</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113154257.88900001</v>
      </c>
      <c r="I33" s="420"/>
      <c r="J33" s="420"/>
      <c r="K33" s="403"/>
      <c r="L33" s="218"/>
      <c r="M33" s="435" t="s">
        <v>1145</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3.4499999999999997</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1982</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80" zoomScaleNormal="80" workbookViewId="0">
      <pane ySplit="2" topLeftCell="A18" activePane="bottomLeft" state="frozen"/>
      <selection pane="bottomLeft" activeCell="N22" sqref="N2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5"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6"/>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7" t="s">
        <v>973</v>
      </c>
      <c r="B3" s="2118"/>
      <c r="C3" s="1559"/>
      <c r="D3" s="1560"/>
      <c r="E3" s="1560"/>
      <c r="F3" s="1560"/>
      <c r="G3" s="1560"/>
      <c r="H3" s="1560"/>
      <c r="I3" s="1560"/>
      <c r="J3" s="1560"/>
      <c r="K3" s="1560"/>
      <c r="L3" s="1560"/>
      <c r="M3" s="1561"/>
      <c r="N3" s="1562"/>
    </row>
    <row r="4" spans="1:14" ht="13.5" customHeight="1" x14ac:dyDescent="0.2">
      <c r="A4" s="463" t="s">
        <v>1651</v>
      </c>
      <c r="B4" s="464"/>
      <c r="C4" s="465">
        <v>18143613</v>
      </c>
      <c r="D4" s="466">
        <v>3417273</v>
      </c>
      <c r="E4" s="466">
        <v>2632952</v>
      </c>
      <c r="F4" s="466">
        <v>3968347</v>
      </c>
      <c r="G4" s="466">
        <v>2033014</v>
      </c>
      <c r="H4" s="466">
        <v>548617</v>
      </c>
      <c r="I4" s="466">
        <v>28325404</v>
      </c>
      <c r="J4" s="467">
        <v>285</v>
      </c>
      <c r="K4" s="466"/>
      <c r="L4" s="466">
        <v>192773</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f>26468940+45208</f>
        <v>26514148</v>
      </c>
      <c r="D6" s="466">
        <v>2873352</v>
      </c>
      <c r="E6" s="466">
        <v>2537928</v>
      </c>
      <c r="F6" s="466">
        <f>1121575+23031</f>
        <v>1144606</v>
      </c>
      <c r="G6" s="471">
        <f>1530460+17060</f>
        <v>1547520</v>
      </c>
      <c r="H6" s="471"/>
      <c r="I6" s="466">
        <v>10302</v>
      </c>
      <c r="J6" s="474">
        <v>9811</v>
      </c>
      <c r="K6" s="471">
        <v>2005</v>
      </c>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v>700528</v>
      </c>
      <c r="D8" s="467"/>
      <c r="E8" s="467"/>
      <c r="F8" s="467">
        <v>676141</v>
      </c>
      <c r="G8" s="478"/>
      <c r="H8" s="467"/>
      <c r="I8" s="474"/>
      <c r="J8" s="474"/>
      <c r="K8" s="479"/>
      <c r="L8" s="480"/>
      <c r="M8" s="468"/>
      <c r="N8" s="469"/>
    </row>
    <row r="9" spans="1:14" ht="13.5" customHeight="1" x14ac:dyDescent="0.2">
      <c r="A9" s="473" t="s">
        <v>270</v>
      </c>
      <c r="B9" s="470">
        <v>160</v>
      </c>
      <c r="C9" s="476">
        <v>163690</v>
      </c>
      <c r="D9" s="467">
        <v>29391</v>
      </c>
      <c r="E9" s="467">
        <v>27617</v>
      </c>
      <c r="F9" s="467">
        <v>33225</v>
      </c>
      <c r="G9" s="467">
        <v>17029</v>
      </c>
      <c r="H9" s="478">
        <v>2906</v>
      </c>
      <c r="I9" s="467">
        <v>266299</v>
      </c>
      <c r="J9" s="467">
        <v>7</v>
      </c>
      <c r="K9" s="467">
        <v>17</v>
      </c>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45521979</v>
      </c>
      <c r="D13" s="1737">
        <f t="shared" ref="D13:L13" si="0">SUM(D4:D12)</f>
        <v>6320016</v>
      </c>
      <c r="E13" s="1737">
        <f t="shared" si="0"/>
        <v>5198497</v>
      </c>
      <c r="F13" s="1737">
        <f t="shared" si="0"/>
        <v>5822319</v>
      </c>
      <c r="G13" s="1737">
        <f t="shared" si="0"/>
        <v>3597563</v>
      </c>
      <c r="H13" s="1737">
        <f t="shared" si="0"/>
        <v>551523</v>
      </c>
      <c r="I13" s="1737">
        <f t="shared" si="0"/>
        <v>28602005</v>
      </c>
      <c r="J13" s="1737">
        <f t="shared" si="0"/>
        <v>10103</v>
      </c>
      <c r="K13" s="1737">
        <f t="shared" si="0"/>
        <v>2022</v>
      </c>
      <c r="L13" s="1737">
        <f t="shared" si="0"/>
        <v>192773</v>
      </c>
      <c r="M13" s="468"/>
      <c r="N13" s="469"/>
    </row>
    <row r="14" spans="1:14" ht="18" customHeight="1" thickTop="1" x14ac:dyDescent="0.2">
      <c r="A14" s="2119" t="s">
        <v>147</v>
      </c>
      <c r="B14" s="2120"/>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4072993</v>
      </c>
      <c r="N16" s="484"/>
    </row>
    <row r="17" spans="1:14" s="485" customFormat="1" ht="12.75" customHeight="1" x14ac:dyDescent="0.2">
      <c r="A17" s="482" t="s">
        <v>1403</v>
      </c>
      <c r="B17" s="483">
        <v>230</v>
      </c>
      <c r="C17" s="477"/>
      <c r="D17" s="477"/>
      <c r="E17" s="477"/>
      <c r="F17" s="477"/>
      <c r="G17" s="477"/>
      <c r="H17" s="477"/>
      <c r="I17" s="477"/>
      <c r="J17" s="477"/>
      <c r="K17" s="477"/>
      <c r="L17" s="477"/>
      <c r="M17" s="467">
        <v>133915461</v>
      </c>
      <c r="N17" s="484"/>
    </row>
    <row r="18" spans="1:14" s="485" customFormat="1" ht="12.75" customHeight="1" x14ac:dyDescent="0.2">
      <c r="A18" s="482" t="s">
        <v>1404</v>
      </c>
      <c r="B18" s="483">
        <v>240</v>
      </c>
      <c r="C18" s="477"/>
      <c r="D18" s="477"/>
      <c r="E18" s="477"/>
      <c r="F18" s="477"/>
      <c r="G18" s="477"/>
      <c r="H18" s="477"/>
      <c r="I18" s="477"/>
      <c r="J18" s="477"/>
      <c r="K18" s="477"/>
      <c r="L18" s="477"/>
      <c r="M18" s="467"/>
      <c r="N18" s="484"/>
    </row>
    <row r="19" spans="1:14" s="485" customFormat="1" ht="12.75" customHeight="1" x14ac:dyDescent="0.2">
      <c r="A19" s="482" t="s">
        <v>1405</v>
      </c>
      <c r="B19" s="483">
        <v>250</v>
      </c>
      <c r="C19" s="477"/>
      <c r="D19" s="477"/>
      <c r="E19" s="477"/>
      <c r="F19" s="477"/>
      <c r="G19" s="477"/>
      <c r="H19" s="477"/>
      <c r="I19" s="477"/>
      <c r="J19" s="477"/>
      <c r="K19" s="477"/>
      <c r="L19" s="477"/>
      <c r="M19" s="467">
        <f>5360951+359181</f>
        <v>5720132</v>
      </c>
      <c r="N19" s="484"/>
    </row>
    <row r="20" spans="1:14" s="485" customFormat="1" ht="12.75" customHeight="1" x14ac:dyDescent="0.2">
      <c r="A20" s="482" t="s">
        <v>1406</v>
      </c>
      <c r="B20" s="483">
        <v>260</v>
      </c>
      <c r="C20" s="477"/>
      <c r="D20" s="477"/>
      <c r="E20" s="477"/>
      <c r="F20" s="477"/>
      <c r="G20" s="477"/>
      <c r="H20" s="477"/>
      <c r="I20" s="477"/>
      <c r="J20" s="477"/>
      <c r="K20" s="477"/>
      <c r="L20" s="477"/>
      <c r="M20" s="467">
        <v>3828733</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2817348</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64234030</v>
      </c>
    </row>
    <row r="23" spans="1:14" ht="13.5" customHeight="1" thickBot="1" x14ac:dyDescent="0.25">
      <c r="A23" s="1736" t="s">
        <v>643</v>
      </c>
      <c r="B23" s="1741"/>
      <c r="C23" s="468"/>
      <c r="D23" s="468"/>
      <c r="E23" s="468"/>
      <c r="F23" s="468"/>
      <c r="G23" s="468"/>
      <c r="H23" s="468"/>
      <c r="I23" s="468"/>
      <c r="J23" s="468"/>
      <c r="K23" s="468"/>
      <c r="L23" s="468"/>
      <c r="M23" s="1688">
        <f>SUM(M15:M22)</f>
        <v>147537319</v>
      </c>
      <c r="N23" s="1688">
        <f>SUM(N21:N22)</f>
        <v>67051378</v>
      </c>
    </row>
    <row r="24" spans="1:14" ht="18" customHeight="1" thickTop="1" x14ac:dyDescent="0.2">
      <c r="A24" s="2121" t="s">
        <v>598</v>
      </c>
      <c r="B24" s="2122"/>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v>141362</v>
      </c>
      <c r="D27" s="467">
        <v>111704</v>
      </c>
      <c r="E27" s="467"/>
      <c r="F27" s="467">
        <v>33118</v>
      </c>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v>25153</v>
      </c>
      <c r="D30" s="474">
        <v>6958</v>
      </c>
      <c r="E30" s="467"/>
      <c r="F30" s="467">
        <v>18221</v>
      </c>
      <c r="G30" s="467"/>
      <c r="H30" s="467"/>
      <c r="I30" s="467"/>
      <c r="J30" s="467"/>
      <c r="K30" s="478"/>
      <c r="L30" s="468"/>
      <c r="M30" s="468"/>
      <c r="N30" s="468"/>
    </row>
    <row r="31" spans="1:14" ht="13.5" customHeight="1" x14ac:dyDescent="0.2">
      <c r="A31" s="473" t="s">
        <v>651</v>
      </c>
      <c r="B31" s="470">
        <v>480</v>
      </c>
      <c r="C31" s="466">
        <v>1587935</v>
      </c>
      <c r="D31" s="467">
        <v>28851</v>
      </c>
      <c r="E31" s="467"/>
      <c r="F31" s="466">
        <v>91799</v>
      </c>
      <c r="G31" s="467">
        <v>312836</v>
      </c>
      <c r="H31" s="467"/>
      <c r="I31" s="467"/>
      <c r="J31" s="467"/>
      <c r="K31" s="467"/>
      <c r="L31" s="468"/>
      <c r="M31" s="468"/>
      <c r="N31" s="468"/>
    </row>
    <row r="32" spans="1:14" ht="13.5" customHeight="1" x14ac:dyDescent="0.2">
      <c r="A32" s="490" t="s">
        <v>652</v>
      </c>
      <c r="B32" s="491">
        <v>490</v>
      </c>
      <c r="C32" s="492">
        <f>142045+24833838</f>
        <v>24975883</v>
      </c>
      <c r="D32" s="492">
        <v>2695852</v>
      </c>
      <c r="E32" s="474">
        <v>2381149</v>
      </c>
      <c r="F32" s="474">
        <v>1052290</v>
      </c>
      <c r="G32" s="474">
        <v>1435917</v>
      </c>
      <c r="H32" s="474"/>
      <c r="I32" s="474">
        <v>9666</v>
      </c>
      <c r="J32" s="474">
        <v>9205</v>
      </c>
      <c r="K32" s="479"/>
      <c r="L32" s="468"/>
      <c r="M32" s="468"/>
      <c r="N32" s="468"/>
    </row>
    <row r="33" spans="1:14" ht="13.5" customHeight="1" x14ac:dyDescent="0.2">
      <c r="A33" s="493" t="s">
        <v>303</v>
      </c>
      <c r="B33" s="491">
        <v>493</v>
      </c>
      <c r="C33" s="467"/>
      <c r="D33" s="467"/>
      <c r="E33" s="467"/>
      <c r="F33" s="467"/>
      <c r="G33" s="467"/>
      <c r="H33" s="467"/>
      <c r="I33" s="467"/>
      <c r="J33" s="467"/>
      <c r="K33" s="467"/>
      <c r="L33" s="467">
        <v>192773</v>
      </c>
      <c r="M33" s="468"/>
      <c r="N33" s="469"/>
    </row>
    <row r="34" spans="1:14" ht="13.5" customHeight="1" thickBot="1" x14ac:dyDescent="0.25">
      <c r="A34" s="1738" t="s">
        <v>654</v>
      </c>
      <c r="B34" s="1739"/>
      <c r="C34" s="1740">
        <f>SUM(C25:C33)</f>
        <v>26730333</v>
      </c>
      <c r="D34" s="1740">
        <f t="shared" ref="D34:K34" si="1">SUM(D25:D33)</f>
        <v>2843365</v>
      </c>
      <c r="E34" s="1740">
        <f t="shared" si="1"/>
        <v>2381149</v>
      </c>
      <c r="F34" s="1740">
        <f t="shared" si="1"/>
        <v>1195428</v>
      </c>
      <c r="G34" s="1740">
        <f t="shared" si="1"/>
        <v>1748753</v>
      </c>
      <c r="H34" s="1740">
        <f t="shared" si="1"/>
        <v>0</v>
      </c>
      <c r="I34" s="1740">
        <f t="shared" si="1"/>
        <v>9666</v>
      </c>
      <c r="J34" s="1740">
        <f t="shared" si="1"/>
        <v>9205</v>
      </c>
      <c r="K34" s="1740">
        <f t="shared" si="1"/>
        <v>0</v>
      </c>
      <c r="L34" s="1721">
        <f>SUM(L33)</f>
        <v>192773</v>
      </c>
      <c r="M34" s="468"/>
      <c r="N34" s="480"/>
    </row>
    <row r="35" spans="1:14" ht="18" customHeight="1" thickTop="1" x14ac:dyDescent="0.2">
      <c r="A35" s="2123" t="s">
        <v>529</v>
      </c>
      <c r="B35" s="2124"/>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67051378</v>
      </c>
    </row>
    <row r="37" spans="1:14" ht="13.5" thickBot="1" x14ac:dyDescent="0.25">
      <c r="A37" s="1736" t="s">
        <v>653</v>
      </c>
      <c r="B37" s="1741"/>
      <c r="C37" s="477"/>
      <c r="D37" s="477"/>
      <c r="E37" s="477"/>
      <c r="F37" s="477"/>
      <c r="G37" s="477"/>
      <c r="H37" s="477"/>
      <c r="I37" s="477"/>
      <c r="J37" s="477"/>
      <c r="K37" s="477"/>
      <c r="L37" s="480"/>
      <c r="M37" s="468"/>
      <c r="N37" s="1688">
        <f>SUM(N36:N36)</f>
        <v>67051378</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18791646</v>
      </c>
      <c r="D39" s="466">
        <v>3476651</v>
      </c>
      <c r="E39" s="466">
        <v>2817348</v>
      </c>
      <c r="F39" s="466">
        <v>4626891</v>
      </c>
      <c r="G39" s="466">
        <v>1848810</v>
      </c>
      <c r="H39" s="466">
        <v>551523</v>
      </c>
      <c r="I39" s="466">
        <v>28592339</v>
      </c>
      <c r="J39" s="467">
        <v>898</v>
      </c>
      <c r="K39" s="466">
        <v>2022</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147537319</v>
      </c>
      <c r="N40" s="497"/>
    </row>
    <row r="41" spans="1:14" ht="13.5" customHeight="1" thickBot="1" x14ac:dyDescent="0.25">
      <c r="A41" s="1736" t="s">
        <v>655</v>
      </c>
      <c r="B41" s="1706"/>
      <c r="C41" s="1688">
        <f>(SUM(C34,C37,C38,C39))</f>
        <v>45521979</v>
      </c>
      <c r="D41" s="1688">
        <f t="shared" ref="D41:L41" si="2">SUM(D34,D37,D38:D39)</f>
        <v>6320016</v>
      </c>
      <c r="E41" s="1688">
        <f t="shared" si="2"/>
        <v>5198497</v>
      </c>
      <c r="F41" s="1688">
        <f t="shared" si="2"/>
        <v>5822319</v>
      </c>
      <c r="G41" s="1688">
        <f t="shared" si="2"/>
        <v>3597563</v>
      </c>
      <c r="H41" s="1688">
        <f t="shared" si="2"/>
        <v>551523</v>
      </c>
      <c r="I41" s="1688">
        <f t="shared" si="2"/>
        <v>28602005</v>
      </c>
      <c r="J41" s="1688">
        <f t="shared" si="2"/>
        <v>10103</v>
      </c>
      <c r="K41" s="1688">
        <f t="shared" si="2"/>
        <v>2022</v>
      </c>
      <c r="L41" s="1688">
        <f t="shared" si="2"/>
        <v>192773</v>
      </c>
      <c r="M41" s="1688">
        <f>SUM(M40)</f>
        <v>147537319</v>
      </c>
      <c r="N41" s="1688">
        <f>SUM(N37)</f>
        <v>67051378</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90" zoomScaleNormal="90" zoomScaleSheetLayoutView="100" workbookViewId="0">
      <pane ySplit="2" topLeftCell="A57" activePane="bottomLeft" state="frozen"/>
      <selection pane="bottomLeft" activeCell="D80" sqref="D8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3"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34"/>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5" t="s">
        <v>1175</v>
      </c>
      <c r="B3" s="2146"/>
      <c r="C3" s="1573"/>
      <c r="D3" s="1574"/>
      <c r="E3" s="1574"/>
      <c r="F3" s="1574"/>
      <c r="G3" s="1574"/>
      <c r="H3" s="1574"/>
      <c r="I3" s="1574"/>
      <c r="J3" s="1574"/>
      <c r="K3" s="1575"/>
      <c r="L3" s="506"/>
    </row>
    <row r="4" spans="1:13" ht="15.75" customHeight="1" x14ac:dyDescent="0.2">
      <c r="A4" s="1928" t="s">
        <v>1499</v>
      </c>
      <c r="B4" s="1929">
        <v>1000</v>
      </c>
      <c r="C4" s="1742">
        <f>'Revenues 9-14'!C109</f>
        <v>52298741</v>
      </c>
      <c r="D4" s="1742">
        <f>'Revenues 9-14'!D109</f>
        <v>5665433</v>
      </c>
      <c r="E4" s="1742">
        <f>'Revenues 9-14'!E109</f>
        <v>4760381</v>
      </c>
      <c r="F4" s="1742">
        <f>'Revenues 9-14'!F109</f>
        <v>2404182</v>
      </c>
      <c r="G4" s="1742">
        <f>'Revenues 9-14'!G109</f>
        <v>2842749</v>
      </c>
      <c r="H4" s="1742">
        <f>'Revenues 9-14'!H109</f>
        <v>60263</v>
      </c>
      <c r="I4" s="1742">
        <f>'Revenues 9-14'!I109</f>
        <v>657422</v>
      </c>
      <c r="J4" s="1742">
        <f>'Revenues 9-14'!J109</f>
        <v>18889</v>
      </c>
      <c r="K4" s="1742">
        <f>'Revenues 9-14'!K109</f>
        <v>4</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6926027</v>
      </c>
      <c r="D6" s="1743">
        <f>'Revenues 9-14'!D170</f>
        <v>0</v>
      </c>
      <c r="E6" s="1743">
        <f>'Revenues 9-14'!E170</f>
        <v>0</v>
      </c>
      <c r="F6" s="1743">
        <f>'Revenues 9-14'!F170</f>
        <v>2724472</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3256421</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62481189</v>
      </c>
      <c r="D8" s="1688">
        <f t="shared" ref="D8:K8" si="0">SUM(D4:D7)</f>
        <v>5665433</v>
      </c>
      <c r="E8" s="1688">
        <f t="shared" si="0"/>
        <v>4760381</v>
      </c>
      <c r="F8" s="1688">
        <f t="shared" si="0"/>
        <v>5128654</v>
      </c>
      <c r="G8" s="1688">
        <f t="shared" si="0"/>
        <v>2842749</v>
      </c>
      <c r="H8" s="1688">
        <f t="shared" si="0"/>
        <v>60263</v>
      </c>
      <c r="I8" s="1688">
        <f t="shared" si="0"/>
        <v>657422</v>
      </c>
      <c r="J8" s="1688">
        <f t="shared" si="0"/>
        <v>18889</v>
      </c>
      <c r="K8" s="1688">
        <f t="shared" si="0"/>
        <v>4</v>
      </c>
      <c r="L8" s="347"/>
    </row>
    <row r="9" spans="1:13" ht="15.75" thickTop="1" x14ac:dyDescent="0.2">
      <c r="A9" s="514" t="s">
        <v>1653</v>
      </c>
      <c r="B9" s="515">
        <v>3998</v>
      </c>
      <c r="C9" s="481">
        <v>26038551</v>
      </c>
      <c r="D9" s="516"/>
      <c r="E9" s="481"/>
      <c r="F9" s="481"/>
      <c r="G9" s="517"/>
      <c r="H9" s="481"/>
      <c r="I9" s="509" t="s">
        <v>1169</v>
      </c>
      <c r="J9" s="478"/>
      <c r="K9" s="481"/>
      <c r="L9" s="347"/>
    </row>
    <row r="10" spans="1:13" s="519" customFormat="1" ht="13.5" thickBot="1" x14ac:dyDescent="0.25">
      <c r="A10" s="1736" t="s">
        <v>1173</v>
      </c>
      <c r="B10" s="1709"/>
      <c r="C10" s="1688">
        <f>SUM(C8:C9)</f>
        <v>88519740</v>
      </c>
      <c r="D10" s="1688">
        <f t="shared" ref="D10:K10" si="1">SUM(D8:D9)</f>
        <v>5665433</v>
      </c>
      <c r="E10" s="1688">
        <f t="shared" si="1"/>
        <v>4760381</v>
      </c>
      <c r="F10" s="1688">
        <f t="shared" si="1"/>
        <v>5128654</v>
      </c>
      <c r="G10" s="1688">
        <f t="shared" si="1"/>
        <v>2842749</v>
      </c>
      <c r="H10" s="1688">
        <f t="shared" si="1"/>
        <v>60263</v>
      </c>
      <c r="I10" s="1688">
        <f t="shared" si="1"/>
        <v>657422</v>
      </c>
      <c r="J10" s="1688">
        <f t="shared" si="1"/>
        <v>18889</v>
      </c>
      <c r="K10" s="1688">
        <f t="shared" si="1"/>
        <v>4</v>
      </c>
      <c r="L10" s="518"/>
    </row>
    <row r="11" spans="1:13" s="519" customFormat="1" ht="16.7" customHeight="1" thickTop="1" x14ac:dyDescent="0.2">
      <c r="A11" s="2119" t="s">
        <v>1176</v>
      </c>
      <c r="B11" s="2120"/>
      <c r="C11" s="1570"/>
      <c r="D11" s="1571"/>
      <c r="E11" s="1571"/>
      <c r="F11" s="1571"/>
      <c r="G11" s="1571"/>
      <c r="H11" s="1571"/>
      <c r="I11" s="1571"/>
      <c r="J11" s="1571"/>
      <c r="K11" s="1572"/>
      <c r="L11" s="518"/>
    </row>
    <row r="12" spans="1:13" ht="15.75" customHeight="1" x14ac:dyDescent="0.2">
      <c r="A12" s="1576" t="s">
        <v>456</v>
      </c>
      <c r="B12" s="1578">
        <v>1000</v>
      </c>
      <c r="C12" s="1742">
        <f>'Expenditures 15-22'!K33</f>
        <v>44877198</v>
      </c>
      <c r="D12" s="520" t="s">
        <v>1169</v>
      </c>
      <c r="E12" s="468" t="s">
        <v>1169</v>
      </c>
      <c r="F12" s="468" t="s">
        <v>1169</v>
      </c>
      <c r="G12" s="1742">
        <f>'Expenditures 15-22'!K229</f>
        <v>965012</v>
      </c>
      <c r="H12" s="521"/>
      <c r="I12" s="468" t="s">
        <v>1169</v>
      </c>
      <c r="J12" s="468" t="s">
        <v>1169</v>
      </c>
      <c r="K12" s="521" t="s">
        <v>1169</v>
      </c>
      <c r="L12" s="347"/>
    </row>
    <row r="13" spans="1:13" ht="15.75" customHeight="1" x14ac:dyDescent="0.2">
      <c r="A13" s="1576" t="s">
        <v>457</v>
      </c>
      <c r="B13" s="1578">
        <v>2000</v>
      </c>
      <c r="C13" s="1743">
        <f>'Expenditures 15-22'!K74</f>
        <v>18920872</v>
      </c>
      <c r="D13" s="1743">
        <f>'Expenditures 15-22'!K129</f>
        <v>5681042</v>
      </c>
      <c r="E13" s="469" t="s">
        <v>1169</v>
      </c>
      <c r="F13" s="1743">
        <f>'Expenditures 15-22'!K184</f>
        <v>5041543</v>
      </c>
      <c r="G13" s="1743">
        <f>'Expenditures 15-22'!K279</f>
        <v>1683456</v>
      </c>
      <c r="H13" s="1743">
        <f>'Expenditures 15-22'!K303</f>
        <v>4748546</v>
      </c>
      <c r="I13" s="468" t="s">
        <v>1169</v>
      </c>
      <c r="J13" s="1743">
        <f>'Expenditures 15-22'!K330</f>
        <v>20486</v>
      </c>
      <c r="K13" s="1747">
        <f>'Expenditures 15-22'!K352</f>
        <v>0</v>
      </c>
      <c r="L13" s="347"/>
    </row>
    <row r="14" spans="1:13" ht="15.75" customHeight="1" x14ac:dyDescent="0.2">
      <c r="A14" s="1576" t="s">
        <v>449</v>
      </c>
      <c r="B14" s="1578">
        <v>3000</v>
      </c>
      <c r="C14" s="1743">
        <f>'Expenditures 15-22'!K75</f>
        <v>78869</v>
      </c>
      <c r="D14" s="1743">
        <f>'Expenditures 15-22'!K130</f>
        <v>0</v>
      </c>
      <c r="E14" s="520" t="s">
        <v>1169</v>
      </c>
      <c r="F14" s="1743">
        <f>'Expenditures 15-22'!K185</f>
        <v>0</v>
      </c>
      <c r="G14" s="1743">
        <f>'Expenditures 15-22'!K280</f>
        <v>6801</v>
      </c>
      <c r="H14" s="512"/>
      <c r="I14" s="468" t="s">
        <v>1169</v>
      </c>
      <c r="J14" s="468" t="s">
        <v>1169</v>
      </c>
      <c r="K14" s="512" t="s">
        <v>1169</v>
      </c>
      <c r="L14" s="347"/>
    </row>
    <row r="15" spans="1:13" ht="15.75" customHeight="1" x14ac:dyDescent="0.2">
      <c r="A15" s="1576" t="s">
        <v>107</v>
      </c>
      <c r="B15" s="1578">
        <v>4000</v>
      </c>
      <c r="C15" s="1743">
        <f>'Expenditures 15-22'!K102</f>
        <v>1750277</v>
      </c>
      <c r="D15" s="1743">
        <f>'Expenditures 15-22'!K139</f>
        <v>0</v>
      </c>
      <c r="E15" s="1743">
        <f>'Expenditures 15-22'!K160</f>
        <v>0</v>
      </c>
      <c r="F15" s="1743">
        <f>'Expenditures 15-22'!K196</f>
        <v>0</v>
      </c>
      <c r="G15" s="1743">
        <f>'Expenditures 15-22'!K285</f>
        <v>115293</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6703009</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65627216</v>
      </c>
      <c r="D17" s="1688">
        <f t="shared" si="2"/>
        <v>5681042</v>
      </c>
      <c r="E17" s="1688">
        <f t="shared" si="2"/>
        <v>6703009</v>
      </c>
      <c r="F17" s="1688">
        <f t="shared" si="2"/>
        <v>5041543</v>
      </c>
      <c r="G17" s="1688">
        <f t="shared" si="2"/>
        <v>2770562</v>
      </c>
      <c r="H17" s="1688">
        <f t="shared" si="2"/>
        <v>4748546</v>
      </c>
      <c r="I17" s="468"/>
      <c r="J17" s="1688">
        <f>SUM(J12:J16)</f>
        <v>20486</v>
      </c>
      <c r="K17" s="1688">
        <f>SUM(K12:K16)</f>
        <v>0</v>
      </c>
      <c r="L17" s="347"/>
    </row>
    <row r="18" spans="1:12" ht="15" customHeight="1" thickTop="1" x14ac:dyDescent="0.2">
      <c r="A18" s="1744" t="s">
        <v>1654</v>
      </c>
      <c r="B18" s="1745">
        <v>4180</v>
      </c>
      <c r="C18" s="1742">
        <f t="shared" ref="C18:H18" si="3">C9</f>
        <v>26038551</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91665767</v>
      </c>
      <c r="D19" s="1688">
        <f t="shared" si="4"/>
        <v>5681042</v>
      </c>
      <c r="E19" s="1688">
        <f t="shared" si="4"/>
        <v>6703009</v>
      </c>
      <c r="F19" s="1688">
        <f t="shared" si="4"/>
        <v>5041543</v>
      </c>
      <c r="G19" s="1688">
        <f t="shared" si="4"/>
        <v>2770562</v>
      </c>
      <c r="H19" s="1688">
        <f t="shared" si="4"/>
        <v>4748546</v>
      </c>
      <c r="I19" s="468"/>
      <c r="J19" s="1688">
        <f>SUM(J17:J18)</f>
        <v>20486</v>
      </c>
      <c r="K19" s="1688">
        <f>SUM(K17:K18)</f>
        <v>0</v>
      </c>
      <c r="L19" s="347"/>
    </row>
    <row r="20" spans="1:12" ht="16.5" thickTop="1" thickBot="1" x14ac:dyDescent="0.25">
      <c r="A20" s="2135" t="s">
        <v>1655</v>
      </c>
      <c r="B20" s="2136"/>
      <c r="C20" s="1746">
        <f>C8-C17</f>
        <v>-3146027</v>
      </c>
      <c r="D20" s="1746">
        <f t="shared" ref="D20:K20" si="5">D8-D17</f>
        <v>-15609</v>
      </c>
      <c r="E20" s="1746">
        <f t="shared" si="5"/>
        <v>-1942628</v>
      </c>
      <c r="F20" s="1746">
        <f t="shared" si="5"/>
        <v>87111</v>
      </c>
      <c r="G20" s="1746">
        <f t="shared" si="5"/>
        <v>72187</v>
      </c>
      <c r="H20" s="1746">
        <f t="shared" si="5"/>
        <v>-4688283</v>
      </c>
      <c r="I20" s="1746">
        <f t="shared" si="5"/>
        <v>657422</v>
      </c>
      <c r="J20" s="1746">
        <f t="shared" si="5"/>
        <v>-1597</v>
      </c>
      <c r="K20" s="1746">
        <f t="shared" si="5"/>
        <v>4</v>
      </c>
      <c r="L20" s="347"/>
    </row>
    <row r="21" spans="1:12" ht="16.7" customHeight="1" thickTop="1" x14ac:dyDescent="0.2">
      <c r="A21" s="2147" t="s">
        <v>595</v>
      </c>
      <c r="B21" s="2148"/>
      <c r="C21" s="1570"/>
      <c r="D21" s="1571"/>
      <c r="E21" s="1571"/>
      <c r="F21" s="1571"/>
      <c r="G21" s="1571"/>
      <c r="H21" s="1571"/>
      <c r="I21" s="1571"/>
      <c r="J21" s="1571"/>
      <c r="K21" s="1572"/>
      <c r="L21" s="524"/>
    </row>
    <row r="22" spans="1:12" ht="15.75" customHeight="1" collapsed="1" x14ac:dyDescent="0.2">
      <c r="A22" s="2143" t="s">
        <v>596</v>
      </c>
      <c r="B22" s="2144"/>
      <c r="C22" s="477"/>
      <c r="D22" s="477"/>
      <c r="E22" s="477"/>
      <c r="F22" s="477"/>
      <c r="G22" s="477"/>
      <c r="H22" s="477"/>
      <c r="I22" s="477"/>
      <c r="J22" s="477"/>
      <c r="K22" s="477"/>
      <c r="L22" s="347"/>
    </row>
    <row r="23" spans="1:12" s="485" customFormat="1" ht="15.75" customHeight="1" x14ac:dyDescent="0.2">
      <c r="A23" s="2139" t="s">
        <v>293</v>
      </c>
      <c r="B23" s="2140"/>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1792</v>
      </c>
      <c r="B30" s="527">
        <v>7160</v>
      </c>
      <c r="C30" s="477"/>
      <c r="D30" s="467"/>
      <c r="E30" s="477"/>
      <c r="F30" s="477"/>
      <c r="G30" s="477"/>
      <c r="H30" s="477"/>
      <c r="I30" s="477"/>
      <c r="J30" s="477"/>
      <c r="K30" s="477"/>
      <c r="L30" s="524"/>
    </row>
    <row r="31" spans="1:12" s="485" customFormat="1" ht="26.25" x14ac:dyDescent="0.2">
      <c r="A31" s="1489" t="s">
        <v>1796</v>
      </c>
      <c r="B31" s="527">
        <v>7170</v>
      </c>
      <c r="C31" s="477"/>
      <c r="D31" s="477"/>
      <c r="E31" s="474"/>
      <c r="F31" s="477"/>
      <c r="G31" s="477"/>
      <c r="H31" s="477"/>
      <c r="I31" s="477"/>
      <c r="J31" s="477"/>
      <c r="K31" s="477"/>
      <c r="L31" s="524"/>
    </row>
    <row r="32" spans="1:12" s="485" customFormat="1" ht="15.75" customHeight="1" x14ac:dyDescent="0.2">
      <c r="A32" s="2141" t="s">
        <v>981</v>
      </c>
      <c r="B32" s="2142"/>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v>518996</v>
      </c>
      <c r="D43" s="467"/>
      <c r="E43" s="467">
        <v>710664</v>
      </c>
      <c r="F43" s="467"/>
      <c r="G43" s="467"/>
      <c r="H43" s="467">
        <v>5110956</v>
      </c>
      <c r="I43" s="467"/>
      <c r="J43" s="467"/>
      <c r="K43" s="467"/>
      <c r="L43" s="524"/>
    </row>
    <row r="44" spans="1:12" s="485" customFormat="1" ht="13.5" customHeight="1" thickBot="1" x14ac:dyDescent="0.25">
      <c r="A44" s="2149" t="s">
        <v>374</v>
      </c>
      <c r="B44" s="2150"/>
      <c r="C44" s="1703">
        <f>SUM(C24:C43)</f>
        <v>518996</v>
      </c>
      <c r="D44" s="1703">
        <f t="shared" ref="D44:K44" si="6">SUM(D24:D43)</f>
        <v>0</v>
      </c>
      <c r="E44" s="1703">
        <f t="shared" si="6"/>
        <v>710664</v>
      </c>
      <c r="F44" s="1703">
        <f t="shared" si="6"/>
        <v>0</v>
      </c>
      <c r="G44" s="1703">
        <f t="shared" si="6"/>
        <v>0</v>
      </c>
      <c r="H44" s="1703">
        <f t="shared" si="6"/>
        <v>5110956</v>
      </c>
      <c r="I44" s="1703">
        <f t="shared" si="6"/>
        <v>0</v>
      </c>
      <c r="J44" s="1703">
        <f t="shared" si="6"/>
        <v>0</v>
      </c>
      <c r="K44" s="1703">
        <f t="shared" si="6"/>
        <v>0</v>
      </c>
      <c r="L44" s="524"/>
    </row>
    <row r="45" spans="1:12" ht="15.75" customHeight="1" thickTop="1" x14ac:dyDescent="0.2">
      <c r="A45" s="2143" t="s">
        <v>108</v>
      </c>
      <c r="B45" s="2144"/>
      <c r="C45" s="528"/>
      <c r="D45" s="528"/>
      <c r="E45" s="528"/>
      <c r="F45" s="528"/>
      <c r="G45" s="528"/>
      <c r="H45" s="528"/>
      <c r="I45" s="528"/>
      <c r="J45" s="528"/>
      <c r="K45" s="528"/>
      <c r="L45" s="347"/>
    </row>
    <row r="46" spans="1:12" s="485" customFormat="1" ht="15.75" customHeight="1" x14ac:dyDescent="0.2">
      <c r="A46" s="2151" t="s">
        <v>109</v>
      </c>
      <c r="B46" s="2152"/>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1795</v>
      </c>
      <c r="B52" s="483">
        <v>8160</v>
      </c>
      <c r="C52" s="477"/>
      <c r="D52" s="477"/>
      <c r="E52" s="477"/>
      <c r="F52" s="477"/>
      <c r="G52" s="477"/>
      <c r="H52" s="477"/>
      <c r="I52" s="477"/>
      <c r="J52" s="477"/>
      <c r="K52" s="1743">
        <f>D30</f>
        <v>0</v>
      </c>
      <c r="L52" s="524"/>
    </row>
    <row r="53" spans="1:12" s="485" customFormat="1" ht="26.25" x14ac:dyDescent="0.2">
      <c r="A53" s="1490" t="s">
        <v>1794</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v>5821620</v>
      </c>
      <c r="J75" s="530"/>
      <c r="K75" s="532"/>
      <c r="L75" s="524"/>
    </row>
    <row r="76" spans="1:12" s="485" customFormat="1" ht="14.25" thickTop="1" thickBot="1" x14ac:dyDescent="0.25">
      <c r="A76" s="2125" t="s">
        <v>440</v>
      </c>
      <c r="B76" s="2126"/>
      <c r="C76" s="1703">
        <f t="shared" ref="C76:K76" si="7">SUM(C47:C75)</f>
        <v>0</v>
      </c>
      <c r="D76" s="1703">
        <f t="shared" si="7"/>
        <v>0</v>
      </c>
      <c r="E76" s="1703">
        <f t="shared" si="7"/>
        <v>0</v>
      </c>
      <c r="F76" s="1703">
        <f t="shared" si="7"/>
        <v>0</v>
      </c>
      <c r="G76" s="1703">
        <f t="shared" si="7"/>
        <v>0</v>
      </c>
      <c r="H76" s="1703">
        <f t="shared" si="7"/>
        <v>0</v>
      </c>
      <c r="I76" s="1703">
        <f t="shared" si="7"/>
        <v>5821620</v>
      </c>
      <c r="J76" s="1703">
        <f t="shared" si="7"/>
        <v>0</v>
      </c>
      <c r="K76" s="1703">
        <f t="shared" si="7"/>
        <v>0</v>
      </c>
      <c r="L76" s="524"/>
    </row>
    <row r="77" spans="1:12" ht="14.25" thickTop="1" thickBot="1" x14ac:dyDescent="0.25">
      <c r="A77" s="2127" t="s">
        <v>1177</v>
      </c>
      <c r="B77" s="2128"/>
      <c r="C77" s="1703">
        <f t="shared" ref="C77:K77" si="8">C44-C76</f>
        <v>518996</v>
      </c>
      <c r="D77" s="1703">
        <f t="shared" si="8"/>
        <v>0</v>
      </c>
      <c r="E77" s="1703">
        <f t="shared" si="8"/>
        <v>710664</v>
      </c>
      <c r="F77" s="1703">
        <f t="shared" si="8"/>
        <v>0</v>
      </c>
      <c r="G77" s="1703">
        <f t="shared" si="8"/>
        <v>0</v>
      </c>
      <c r="H77" s="1703">
        <f t="shared" si="8"/>
        <v>5110956</v>
      </c>
      <c r="I77" s="1703">
        <f t="shared" si="8"/>
        <v>-5821620</v>
      </c>
      <c r="J77" s="1703">
        <f t="shared" si="8"/>
        <v>0</v>
      </c>
      <c r="K77" s="1703">
        <f t="shared" si="8"/>
        <v>0</v>
      </c>
      <c r="L77" s="347"/>
    </row>
    <row r="78" spans="1:12" ht="21.75" customHeight="1" thickTop="1" thickBot="1" x14ac:dyDescent="0.25">
      <c r="A78" s="2131" t="s">
        <v>597</v>
      </c>
      <c r="B78" s="2132"/>
      <c r="C78" s="1702">
        <f t="shared" ref="C78:K78" si="9">C20+C77</f>
        <v>-2627031</v>
      </c>
      <c r="D78" s="1702">
        <f t="shared" si="9"/>
        <v>-15609</v>
      </c>
      <c r="E78" s="1702">
        <f t="shared" si="9"/>
        <v>-1231964</v>
      </c>
      <c r="F78" s="1702">
        <f t="shared" si="9"/>
        <v>87111</v>
      </c>
      <c r="G78" s="1702">
        <f t="shared" si="9"/>
        <v>72187</v>
      </c>
      <c r="H78" s="1702">
        <f t="shared" si="9"/>
        <v>422673</v>
      </c>
      <c r="I78" s="1702">
        <f t="shared" si="9"/>
        <v>-5164198</v>
      </c>
      <c r="J78" s="1702">
        <f t="shared" si="9"/>
        <v>-1597</v>
      </c>
      <c r="K78" s="1702">
        <f t="shared" si="9"/>
        <v>4</v>
      </c>
      <c r="L78" s="533"/>
    </row>
    <row r="79" spans="1:12" ht="13.5" thickTop="1" x14ac:dyDescent="0.2">
      <c r="A79" s="1494" t="s">
        <v>1945</v>
      </c>
      <c r="B79" s="534"/>
      <c r="C79" s="478">
        <v>21418677</v>
      </c>
      <c r="D79" s="535">
        <v>3492260</v>
      </c>
      <c r="E79" s="535">
        <v>4049312</v>
      </c>
      <c r="F79" s="535">
        <v>4539780</v>
      </c>
      <c r="G79" s="535">
        <v>1776623</v>
      </c>
      <c r="H79" s="535">
        <v>128850</v>
      </c>
      <c r="I79" s="535">
        <v>33756537</v>
      </c>
      <c r="J79" s="535">
        <v>2495</v>
      </c>
      <c r="K79" s="535">
        <v>2018</v>
      </c>
      <c r="L79" s="347"/>
    </row>
    <row r="80" spans="1:12" x14ac:dyDescent="0.2">
      <c r="A80" s="2137" t="s">
        <v>1793</v>
      </c>
      <c r="B80" s="2138"/>
      <c r="C80" s="467"/>
      <c r="D80" s="467"/>
      <c r="E80" s="467"/>
      <c r="F80" s="467"/>
      <c r="G80" s="467"/>
      <c r="H80" s="467"/>
      <c r="I80" s="467"/>
      <c r="J80" s="467"/>
      <c r="K80" s="467"/>
      <c r="L80" s="347"/>
    </row>
    <row r="81" spans="1:12" ht="13.5" thickBot="1" x14ac:dyDescent="0.25">
      <c r="A81" s="2129" t="s">
        <v>1946</v>
      </c>
      <c r="B81" s="2130"/>
      <c r="C81" s="1688">
        <f>(SUM(C78:C80))</f>
        <v>18791646</v>
      </c>
      <c r="D81" s="1688">
        <f>SUM(D78:D80)</f>
        <v>3476651</v>
      </c>
      <c r="E81" s="1688">
        <f t="shared" ref="E81:K81" si="10">SUM(E78:E80)</f>
        <v>2817348</v>
      </c>
      <c r="F81" s="1688">
        <f t="shared" si="10"/>
        <v>4626891</v>
      </c>
      <c r="G81" s="1688">
        <f t="shared" si="10"/>
        <v>1848810</v>
      </c>
      <c r="H81" s="1688">
        <f t="shared" si="10"/>
        <v>551523</v>
      </c>
      <c r="I81" s="1688">
        <f t="shared" si="10"/>
        <v>28592339</v>
      </c>
      <c r="J81" s="1688">
        <f t="shared" si="10"/>
        <v>898</v>
      </c>
      <c r="K81" s="1688">
        <f t="shared" si="10"/>
        <v>2022</v>
      </c>
      <c r="L81" s="347"/>
    </row>
    <row r="82" spans="1:12" ht="0.75" customHeight="1" thickTop="1" thickBot="1" x14ac:dyDescent="0.25">
      <c r="A82" s="536" t="s">
        <v>343</v>
      </c>
      <c r="B82" s="537"/>
      <c r="C82" s="538">
        <f>(C81-C79)</f>
        <v>-2627031</v>
      </c>
      <c r="D82" s="538">
        <f t="shared" ref="D82:K82" si="11">(D81-D79)</f>
        <v>-15609</v>
      </c>
      <c r="E82" s="538">
        <f t="shared" si="11"/>
        <v>-1231964</v>
      </c>
      <c r="F82" s="538">
        <f t="shared" si="11"/>
        <v>87111</v>
      </c>
      <c r="G82" s="538">
        <f t="shared" si="11"/>
        <v>72187</v>
      </c>
      <c r="H82" s="538">
        <f t="shared" si="11"/>
        <v>422673</v>
      </c>
      <c r="I82" s="538">
        <f t="shared" si="11"/>
        <v>-5164198</v>
      </c>
      <c r="J82" s="538">
        <f t="shared" si="11"/>
        <v>-1597</v>
      </c>
      <c r="K82" s="538">
        <f t="shared" si="11"/>
        <v>4</v>
      </c>
    </row>
    <row r="83" spans="1:12" ht="14.25" hidden="1" thickTop="1" thickBot="1" x14ac:dyDescent="0.25">
      <c r="A83" s="539" t="s">
        <v>344</v>
      </c>
      <c r="B83" s="464"/>
      <c r="C83" s="540">
        <f>C82/C81</f>
        <v>-0.13979781228318158</v>
      </c>
      <c r="D83" s="540">
        <f t="shared" ref="D83:K83" si="12">D82/D81</f>
        <v>-4.489665485549168E-3</v>
      </c>
      <c r="E83" s="540">
        <f t="shared" si="12"/>
        <v>-0.43727789396269118</v>
      </c>
      <c r="F83" s="540">
        <f t="shared" si="12"/>
        <v>1.8827113065771377E-2</v>
      </c>
      <c r="G83" s="540">
        <f t="shared" si="12"/>
        <v>3.9045115506731357E-2</v>
      </c>
      <c r="H83" s="540">
        <f t="shared" si="12"/>
        <v>0.76637420379567123</v>
      </c>
      <c r="I83" s="540">
        <f t="shared" si="12"/>
        <v>-0.18061474439009695</v>
      </c>
      <c r="J83" s="540">
        <f t="shared" si="12"/>
        <v>-1.7783964365256124</v>
      </c>
      <c r="K83" s="540">
        <f t="shared" si="12"/>
        <v>1.9782393669634025E-3</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90" zoomScaleNormal="90" zoomScaleSheetLayoutView="75" workbookViewId="0">
      <pane ySplit="2" topLeftCell="A15" activePane="bottomLeft" state="frozen"/>
      <selection pane="bottomLeft" activeCell="C24" sqref="C24"/>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3" t="s">
        <v>1800</v>
      </c>
      <c r="B1" s="452"/>
      <c r="C1" s="453" t="s">
        <v>425</v>
      </c>
      <c r="D1" s="453" t="s">
        <v>426</v>
      </c>
      <c r="E1" s="453" t="s">
        <v>427</v>
      </c>
      <c r="F1" s="453" t="s">
        <v>428</v>
      </c>
      <c r="G1" s="453" t="s">
        <v>429</v>
      </c>
      <c r="H1" s="453" t="s">
        <v>430</v>
      </c>
      <c r="I1" s="453" t="s">
        <v>431</v>
      </c>
      <c r="J1" s="453" t="s">
        <v>432</v>
      </c>
      <c r="K1" s="453" t="s">
        <v>756</v>
      </c>
    </row>
    <row r="2" spans="1:12" ht="36" x14ac:dyDescent="0.2">
      <c r="A2" s="2134"/>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48770998</v>
      </c>
      <c r="D5" s="481">
        <v>5384593</v>
      </c>
      <c r="E5" s="466">
        <v>4729642</v>
      </c>
      <c r="F5" s="548">
        <v>2171018</v>
      </c>
      <c r="G5" s="466">
        <v>1297498</v>
      </c>
      <c r="H5" s="466"/>
      <c r="I5" s="466">
        <v>19500</v>
      </c>
      <c r="J5" s="467">
        <v>18971</v>
      </c>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v>1390048</v>
      </c>
      <c r="D7" s="466"/>
      <c r="E7" s="468"/>
      <c r="F7" s="467"/>
      <c r="G7" s="467"/>
      <c r="H7" s="467"/>
      <c r="I7" s="468"/>
      <c r="J7" s="468"/>
      <c r="K7" s="468"/>
    </row>
    <row r="8" spans="1:12" x14ac:dyDescent="0.2">
      <c r="A8" s="463" t="s">
        <v>413</v>
      </c>
      <c r="B8" s="470">
        <v>1150</v>
      </c>
      <c r="C8" s="475"/>
      <c r="D8" s="475"/>
      <c r="E8" s="477"/>
      <c r="F8" s="477"/>
      <c r="G8" s="481">
        <v>1297498</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v>108195</v>
      </c>
      <c r="H11" s="466"/>
      <c r="I11" s="466"/>
      <c r="J11" s="467"/>
      <c r="K11" s="466"/>
      <c r="L11" s="552"/>
    </row>
    <row r="12" spans="1:12" ht="12.75" customHeight="1" thickBot="1" x14ac:dyDescent="0.25">
      <c r="A12" s="1705" t="s">
        <v>29</v>
      </c>
      <c r="B12" s="1706"/>
      <c r="C12" s="1707">
        <f t="shared" ref="C12:K12" si="0">SUM(C5:C11)</f>
        <v>50161046</v>
      </c>
      <c r="D12" s="1707">
        <f t="shared" si="0"/>
        <v>5384593</v>
      </c>
      <c r="E12" s="1707">
        <f t="shared" si="0"/>
        <v>4729642</v>
      </c>
      <c r="F12" s="1707">
        <f t="shared" si="0"/>
        <v>2171018</v>
      </c>
      <c r="G12" s="1707">
        <f t="shared" si="0"/>
        <v>2703191</v>
      </c>
      <c r="H12" s="1707">
        <f t="shared" si="0"/>
        <v>0</v>
      </c>
      <c r="I12" s="1707">
        <f t="shared" si="0"/>
        <v>19500</v>
      </c>
      <c r="J12" s="1707">
        <f t="shared" si="0"/>
        <v>18971</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282562</v>
      </c>
      <c r="D16" s="466"/>
      <c r="E16" s="466"/>
      <c r="F16" s="466">
        <v>143948</v>
      </c>
      <c r="G16" s="466">
        <v>106628</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282562</v>
      </c>
      <c r="D18" s="1710">
        <f t="shared" ref="D18:K18" si="1">SUM(D14:D17)</f>
        <v>0</v>
      </c>
      <c r="E18" s="1710">
        <f t="shared" si="1"/>
        <v>0</v>
      </c>
      <c r="F18" s="1710">
        <f t="shared" si="1"/>
        <v>143948</v>
      </c>
      <c r="G18" s="1710">
        <f t="shared" si="1"/>
        <v>106628</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v>42395</v>
      </c>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42395</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v>17086</v>
      </c>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17086</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390677</v>
      </c>
      <c r="D65" s="466">
        <v>58629</v>
      </c>
      <c r="E65" s="466">
        <v>30739</v>
      </c>
      <c r="F65" s="467">
        <v>71725</v>
      </c>
      <c r="G65" s="466">
        <v>32930</v>
      </c>
      <c r="H65" s="466">
        <v>48537</v>
      </c>
      <c r="I65" s="466">
        <v>637922</v>
      </c>
      <c r="J65" s="467">
        <v>-82</v>
      </c>
      <c r="K65" s="466">
        <v>4</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390677</v>
      </c>
      <c r="D67" s="1688">
        <f t="shared" ref="D67:K67" si="2">SUM(D65:D66)</f>
        <v>58629</v>
      </c>
      <c r="E67" s="1688">
        <f t="shared" si="2"/>
        <v>30739</v>
      </c>
      <c r="F67" s="1688">
        <f t="shared" si="2"/>
        <v>71725</v>
      </c>
      <c r="G67" s="1688">
        <f t="shared" si="2"/>
        <v>32930</v>
      </c>
      <c r="H67" s="1688">
        <f t="shared" si="2"/>
        <v>48537</v>
      </c>
      <c r="I67" s="1688">
        <f t="shared" si="2"/>
        <v>637922</v>
      </c>
      <c r="J67" s="1688">
        <f t="shared" si="2"/>
        <v>-82</v>
      </c>
      <c r="K67" s="1688">
        <f t="shared" si="2"/>
        <v>4</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697983</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697983</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20940</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20940</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589992</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589992</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v>155345</v>
      </c>
      <c r="E95" s="521"/>
      <c r="F95" s="521"/>
      <c r="G95" s="521"/>
      <c r="H95" s="521"/>
      <c r="I95" s="521"/>
      <c r="J95" s="521"/>
      <c r="K95" s="521"/>
    </row>
    <row r="96" spans="1:11" ht="12.75" customHeight="1" x14ac:dyDescent="0.2">
      <c r="A96" s="463" t="s">
        <v>391</v>
      </c>
      <c r="B96" s="470">
        <v>1920</v>
      </c>
      <c r="C96" s="551">
        <v>48571</v>
      </c>
      <c r="D96" s="551"/>
      <c r="E96" s="479"/>
      <c r="F96" s="478"/>
      <c r="G96" s="478"/>
      <c r="H96" s="478"/>
      <c r="I96" s="478"/>
      <c r="J96" s="478"/>
      <c r="K96" s="478"/>
    </row>
    <row r="97" spans="1:12" ht="12.75" customHeight="1" x14ac:dyDescent="0.2">
      <c r="A97" s="1495" t="s">
        <v>244</v>
      </c>
      <c r="B97" s="559">
        <v>1930</v>
      </c>
      <c r="C97" s="489"/>
      <c r="D97" s="467"/>
      <c r="E97" s="474"/>
      <c r="F97" s="467"/>
      <c r="G97" s="467"/>
      <c r="H97" s="467">
        <v>11726</v>
      </c>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64575</v>
      </c>
      <c r="D107" s="466">
        <v>66866</v>
      </c>
      <c r="E107" s="466"/>
      <c r="F107" s="466">
        <v>405</v>
      </c>
      <c r="G107" s="466"/>
      <c r="H107" s="466"/>
      <c r="I107" s="466"/>
      <c r="J107" s="467"/>
      <c r="K107" s="466"/>
    </row>
    <row r="108" spans="1:12" ht="12.75" customHeight="1" thickBot="1" x14ac:dyDescent="0.25">
      <c r="A108" s="1708" t="s">
        <v>487</v>
      </c>
      <c r="B108" s="1712"/>
      <c r="C108" s="1707">
        <f>SUM(C95:C107)</f>
        <v>113146</v>
      </c>
      <c r="D108" s="1707">
        <f t="shared" ref="D108:K108" si="3">SUM(D95:D107)</f>
        <v>222211</v>
      </c>
      <c r="E108" s="1707">
        <f t="shared" si="3"/>
        <v>0</v>
      </c>
      <c r="F108" s="1707">
        <f t="shared" si="3"/>
        <v>405</v>
      </c>
      <c r="G108" s="1707">
        <f t="shared" si="3"/>
        <v>0</v>
      </c>
      <c r="H108" s="1707">
        <f t="shared" si="3"/>
        <v>11726</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52298741</v>
      </c>
      <c r="D109" s="1715">
        <f t="shared" si="4"/>
        <v>5665433</v>
      </c>
      <c r="E109" s="1715">
        <f t="shared" si="4"/>
        <v>4760381</v>
      </c>
      <c r="F109" s="1715">
        <f t="shared" si="4"/>
        <v>2404182</v>
      </c>
      <c r="G109" s="1715">
        <f t="shared" si="4"/>
        <v>2842749</v>
      </c>
      <c r="H109" s="1715">
        <f t="shared" si="4"/>
        <v>60263</v>
      </c>
      <c r="I109" s="1715">
        <f t="shared" si="4"/>
        <v>657422</v>
      </c>
      <c r="J109" s="1715">
        <f t="shared" si="4"/>
        <v>18889</v>
      </c>
      <c r="K109" s="1702">
        <f t="shared" si="4"/>
        <v>4</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5921716</v>
      </c>
      <c r="D117" s="481"/>
      <c r="E117" s="466"/>
      <c r="F117" s="481"/>
      <c r="G117" s="481"/>
      <c r="H117" s="466"/>
      <c r="I117" s="468"/>
      <c r="J117" s="467"/>
      <c r="K117" s="466"/>
    </row>
    <row r="118" spans="1:11" ht="12.75" customHeight="1" x14ac:dyDescent="0.2">
      <c r="A118" s="463" t="s">
        <v>1797</v>
      </c>
      <c r="B118" s="562">
        <v>3002</v>
      </c>
      <c r="C118" s="551"/>
      <c r="D118" s="466"/>
      <c r="E118" s="466"/>
      <c r="F118" s="466"/>
      <c r="G118" s="466"/>
      <c r="H118" s="466"/>
      <c r="I118" s="468"/>
      <c r="J118" s="467"/>
      <c r="K118" s="466"/>
    </row>
    <row r="119" spans="1:11" ht="12.75" customHeight="1" x14ac:dyDescent="0.2">
      <c r="A119" s="463" t="s">
        <v>1798</v>
      </c>
      <c r="B119" s="562">
        <v>3005</v>
      </c>
      <c r="C119" s="551"/>
      <c r="D119" s="466"/>
      <c r="E119" s="466"/>
      <c r="F119" s="466"/>
      <c r="G119" s="466"/>
      <c r="H119" s="466"/>
      <c r="I119" s="468"/>
      <c r="J119" s="467"/>
      <c r="K119" s="466"/>
    </row>
    <row r="120" spans="1:11" ht="12.75" customHeight="1" x14ac:dyDescent="0.2">
      <c r="A120" s="1930" t="s">
        <v>1932</v>
      </c>
      <c r="B120" s="562">
        <v>3030</v>
      </c>
      <c r="C120" s="551"/>
      <c r="D120" s="466"/>
      <c r="E120" s="466"/>
      <c r="F120" s="466"/>
      <c r="G120" s="466"/>
      <c r="H120" s="466"/>
      <c r="I120" s="468"/>
      <c r="J120" s="467"/>
      <c r="K120" s="466"/>
    </row>
    <row r="121" spans="1:11" x14ac:dyDescent="0.2">
      <c r="A121" s="1496" t="s">
        <v>1799</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5921716</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521442</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54062</v>
      </c>
      <c r="D128" s="561"/>
      <c r="E128" s="468"/>
      <c r="F128" s="466"/>
      <c r="G128" s="468"/>
      <c r="H128" s="468"/>
      <c r="I128" s="468"/>
      <c r="J128" s="468"/>
      <c r="K128" s="468"/>
    </row>
    <row r="129" spans="1:11" ht="12.75" customHeight="1" x14ac:dyDescent="0.2">
      <c r="A129" s="463" t="s">
        <v>1447</v>
      </c>
      <c r="B129" s="562">
        <v>3130</v>
      </c>
      <c r="C129" s="466">
        <v>2006</v>
      </c>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577510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15031</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1381432</v>
      </c>
      <c r="G152" s="467"/>
      <c r="H152" s="468"/>
      <c r="I152" s="468"/>
      <c r="J152" s="468"/>
      <c r="K152" s="468"/>
    </row>
    <row r="153" spans="1:11" ht="12.75" customHeight="1" x14ac:dyDescent="0.2">
      <c r="A153" s="463" t="s">
        <v>1057</v>
      </c>
      <c r="B153" s="562">
        <v>3510</v>
      </c>
      <c r="C153" s="551"/>
      <c r="D153" s="466"/>
      <c r="E153" s="561"/>
      <c r="F153" s="466">
        <v>1343040</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2724472</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407703</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4067</v>
      </c>
      <c r="D168" s="580"/>
      <c r="E168" s="580"/>
      <c r="F168" s="580"/>
      <c r="G168" s="581"/>
      <c r="H168" s="582"/>
      <c r="I168" s="581"/>
      <c r="J168" s="581"/>
      <c r="K168" s="582"/>
    </row>
    <row r="169" spans="1:11" ht="12.75" customHeight="1" thickTop="1" thickBot="1" x14ac:dyDescent="0.25">
      <c r="A169" s="2153" t="s">
        <v>398</v>
      </c>
      <c r="B169" s="2154"/>
      <c r="C169" s="1722">
        <f t="shared" ref="C169:K169" si="6">SUM(C132,C141,C145,C146:C150,C155,C156:C167,C168)</f>
        <v>1004311</v>
      </c>
      <c r="D169" s="1722">
        <f t="shared" si="6"/>
        <v>0</v>
      </c>
      <c r="E169" s="1722">
        <f t="shared" si="6"/>
        <v>0</v>
      </c>
      <c r="F169" s="1722">
        <f t="shared" si="6"/>
        <v>2724472</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6926027</v>
      </c>
      <c r="D170" s="1715">
        <f t="shared" si="7"/>
        <v>0</v>
      </c>
      <c r="E170" s="1715">
        <f t="shared" si="7"/>
        <v>0</v>
      </c>
      <c r="F170" s="1715">
        <f t="shared" si="7"/>
        <v>2724472</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55" t="s">
        <v>1492</v>
      </c>
      <c r="B172" s="2156"/>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9" t="s">
        <v>1665</v>
      </c>
      <c r="B175" s="2160"/>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63" t="s">
        <v>1664</v>
      </c>
      <c r="B176" s="2164"/>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61" t="s">
        <v>785</v>
      </c>
      <c r="B181" s="2162"/>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7" t="s">
        <v>1801</v>
      </c>
      <c r="B182" s="2158"/>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764912</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171931</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936843</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488170</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v>13721</v>
      </c>
      <c r="D203" s="466"/>
      <c r="E203" s="468"/>
      <c r="F203" s="466"/>
      <c r="G203" s="466"/>
      <c r="H203" s="468"/>
      <c r="I203" s="468"/>
      <c r="J203" s="468"/>
      <c r="K203" s="468"/>
    </row>
    <row r="204" spans="1:11" ht="12.75" customHeight="1" thickBot="1" x14ac:dyDescent="0.25">
      <c r="A204" s="1708" t="s">
        <v>400</v>
      </c>
      <c r="B204" s="1709"/>
      <c r="C204" s="1707">
        <f>SUM(C200:C203)</f>
        <v>501891</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44372</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827401</v>
      </c>
      <c r="D213" s="466"/>
      <c r="E213" s="468"/>
      <c r="F213" s="466"/>
      <c r="G213" s="466"/>
      <c r="H213" s="468"/>
      <c r="I213" s="468"/>
      <c r="J213" s="468"/>
      <c r="K213" s="468"/>
    </row>
    <row r="214" spans="1:11" ht="12.75" customHeight="1" x14ac:dyDescent="0.2">
      <c r="A214" s="463" t="s">
        <v>1054</v>
      </c>
      <c r="B214" s="470">
        <v>4625</v>
      </c>
      <c r="C214" s="551">
        <v>44942</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916715</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v>639</v>
      </c>
      <c r="D255" s="468"/>
      <c r="E255" s="468"/>
      <c r="F255" s="578"/>
      <c r="G255" s="573"/>
      <c r="H255" s="468"/>
      <c r="I255" s="468"/>
      <c r="J255" s="468"/>
      <c r="K255" s="468"/>
    </row>
    <row r="256" spans="1:11" ht="12.75" customHeight="1" thickTop="1" thickBot="1" x14ac:dyDescent="0.25">
      <c r="A256" s="463" t="s">
        <v>1457</v>
      </c>
      <c r="B256" s="470">
        <v>4909</v>
      </c>
      <c r="C256" s="576">
        <v>113180</v>
      </c>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139272</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1933</v>
      </c>
      <c r="B261" s="470">
        <v>4981</v>
      </c>
      <c r="C261" s="575"/>
      <c r="D261" s="576"/>
      <c r="E261" s="468"/>
      <c r="F261" s="576"/>
      <c r="G261" s="576"/>
      <c r="H261" s="468"/>
      <c r="I261" s="468"/>
      <c r="J261" s="468"/>
      <c r="K261" s="468"/>
    </row>
    <row r="262" spans="1:11" ht="12.75" customHeight="1" thickTop="1" thickBot="1" x14ac:dyDescent="0.25">
      <c r="A262" s="1931" t="s">
        <v>1934</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81038</v>
      </c>
      <c r="D263" s="576"/>
      <c r="E263" s="468"/>
      <c r="F263" s="576"/>
      <c r="G263" s="576"/>
      <c r="H263" s="468"/>
      <c r="I263" s="468"/>
      <c r="J263" s="468"/>
      <c r="K263" s="468"/>
    </row>
    <row r="264" spans="1:11" ht="12.75" customHeight="1" thickTop="1" thickBot="1" x14ac:dyDescent="0.25">
      <c r="A264" s="463" t="s">
        <v>377</v>
      </c>
      <c r="B264" s="470">
        <v>4992</v>
      </c>
      <c r="C264" s="575">
        <v>566843</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3256421</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3256421</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62481189</v>
      </c>
      <c r="D268" s="1715">
        <f t="shared" si="12"/>
        <v>5665433</v>
      </c>
      <c r="E268" s="1715">
        <f t="shared" si="12"/>
        <v>4760381</v>
      </c>
      <c r="F268" s="1715">
        <f t="shared" si="12"/>
        <v>5128654</v>
      </c>
      <c r="G268" s="1715">
        <f t="shared" si="12"/>
        <v>2842749</v>
      </c>
      <c r="H268" s="1715">
        <f t="shared" si="12"/>
        <v>60263</v>
      </c>
      <c r="I268" s="1715">
        <f t="shared" si="12"/>
        <v>657422</v>
      </c>
      <c r="J268" s="1715">
        <f t="shared" si="12"/>
        <v>18889</v>
      </c>
      <c r="K268" s="1702">
        <f t="shared" si="12"/>
        <v>4</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90" zoomScaleNormal="90" workbookViewId="0">
      <pane ySplit="2" topLeftCell="A316" activePane="bottomLeft" state="frozen"/>
      <selection pane="bottomLeft" activeCell="L321" sqref="L321"/>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3" t="s">
        <v>1800</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5"/>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71" t="s">
        <v>297</v>
      </c>
      <c r="B3" s="2172"/>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23905912</v>
      </c>
      <c r="D5" s="466">
        <v>5174825</v>
      </c>
      <c r="E5" s="466">
        <v>43842</v>
      </c>
      <c r="F5" s="466">
        <v>1446393</v>
      </c>
      <c r="G5" s="466">
        <v>527261</v>
      </c>
      <c r="H5" s="466">
        <v>4141</v>
      </c>
      <c r="I5" s="467">
        <v>34356</v>
      </c>
      <c r="J5" s="467"/>
      <c r="K5" s="1671">
        <f>SUM(C5:J5)</f>
        <v>31136730</v>
      </c>
      <c r="L5" s="466">
        <v>31421085</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v>266503</v>
      </c>
      <c r="D7" s="467">
        <v>128105</v>
      </c>
      <c r="E7" s="467">
        <v>109</v>
      </c>
      <c r="F7" s="467">
        <v>26744</v>
      </c>
      <c r="G7" s="467"/>
      <c r="H7" s="467"/>
      <c r="I7" s="467"/>
      <c r="J7" s="467"/>
      <c r="K7" s="1671">
        <f t="shared" ref="K7:K32" si="0">SUM(C7:J7)</f>
        <v>421461</v>
      </c>
      <c r="L7" s="466">
        <v>320305</v>
      </c>
    </row>
    <row r="8" spans="1:14" x14ac:dyDescent="0.2">
      <c r="A8" s="1504" t="s">
        <v>164</v>
      </c>
      <c r="B8" s="614">
        <v>1200</v>
      </c>
      <c r="C8" s="466">
        <v>5441133</v>
      </c>
      <c r="D8" s="466">
        <v>1609393</v>
      </c>
      <c r="E8" s="466">
        <v>23366</v>
      </c>
      <c r="F8" s="466">
        <v>57801</v>
      </c>
      <c r="G8" s="466">
        <v>2170</v>
      </c>
      <c r="H8" s="466"/>
      <c r="I8" s="467">
        <v>4481</v>
      </c>
      <c r="J8" s="467"/>
      <c r="K8" s="1671">
        <f t="shared" si="0"/>
        <v>7138344</v>
      </c>
      <c r="L8" s="466">
        <v>7703147</v>
      </c>
    </row>
    <row r="9" spans="1:14" x14ac:dyDescent="0.2">
      <c r="A9" s="1504" t="s">
        <v>721</v>
      </c>
      <c r="B9" s="614" t="s">
        <v>968</v>
      </c>
      <c r="C9" s="467">
        <v>421488</v>
      </c>
      <c r="D9" s="467">
        <v>140749</v>
      </c>
      <c r="E9" s="467"/>
      <c r="F9" s="467">
        <v>4612</v>
      </c>
      <c r="G9" s="467"/>
      <c r="H9" s="467"/>
      <c r="I9" s="467">
        <v>1923</v>
      </c>
      <c r="J9" s="467"/>
      <c r="K9" s="1671">
        <f t="shared" si="0"/>
        <v>568772</v>
      </c>
      <c r="L9" s="466">
        <v>669035</v>
      </c>
    </row>
    <row r="10" spans="1:14" x14ac:dyDescent="0.2">
      <c r="A10" s="1504" t="s">
        <v>722</v>
      </c>
      <c r="B10" s="614">
        <v>1250</v>
      </c>
      <c r="C10" s="466">
        <v>11627</v>
      </c>
      <c r="D10" s="466">
        <v>1320</v>
      </c>
      <c r="E10" s="466"/>
      <c r="F10" s="466"/>
      <c r="G10" s="466"/>
      <c r="H10" s="466"/>
      <c r="I10" s="467"/>
      <c r="J10" s="467"/>
      <c r="K10" s="1671">
        <f t="shared" si="0"/>
        <v>12947</v>
      </c>
      <c r="L10" s="466">
        <v>11628</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c r="F13" s="466"/>
      <c r="G13" s="466"/>
      <c r="H13" s="466"/>
      <c r="I13" s="467"/>
      <c r="J13" s="467"/>
      <c r="K13" s="1671">
        <f t="shared" si="0"/>
        <v>0</v>
      </c>
      <c r="L13" s="466"/>
    </row>
    <row r="14" spans="1:14" x14ac:dyDescent="0.2">
      <c r="A14" s="1504" t="s">
        <v>963</v>
      </c>
      <c r="B14" s="614">
        <v>1500</v>
      </c>
      <c r="C14" s="466">
        <v>272414</v>
      </c>
      <c r="D14" s="466">
        <v>3564</v>
      </c>
      <c r="E14" s="466">
        <v>20998</v>
      </c>
      <c r="F14" s="466">
        <v>1690</v>
      </c>
      <c r="G14" s="466"/>
      <c r="H14" s="466">
        <v>1151</v>
      </c>
      <c r="I14" s="467"/>
      <c r="J14" s="467"/>
      <c r="K14" s="1671">
        <f t="shared" si="0"/>
        <v>299817</v>
      </c>
      <c r="L14" s="466">
        <v>305273</v>
      </c>
    </row>
    <row r="15" spans="1:14" x14ac:dyDescent="0.2">
      <c r="A15" s="1504" t="s">
        <v>964</v>
      </c>
      <c r="B15" s="614">
        <v>1600</v>
      </c>
      <c r="C15" s="466">
        <v>219561</v>
      </c>
      <c r="D15" s="466">
        <v>5122</v>
      </c>
      <c r="E15" s="466"/>
      <c r="F15" s="466">
        <v>852</v>
      </c>
      <c r="G15" s="466"/>
      <c r="H15" s="466"/>
      <c r="I15" s="467"/>
      <c r="J15" s="467"/>
      <c r="K15" s="1671">
        <f t="shared" si="0"/>
        <v>225535</v>
      </c>
      <c r="L15" s="466">
        <v>241247</v>
      </c>
    </row>
    <row r="16" spans="1:14" x14ac:dyDescent="0.2">
      <c r="A16" s="1504" t="s">
        <v>987</v>
      </c>
      <c r="B16" s="614" t="s">
        <v>424</v>
      </c>
      <c r="C16" s="466">
        <v>447040</v>
      </c>
      <c r="D16" s="466">
        <v>73238</v>
      </c>
      <c r="E16" s="466"/>
      <c r="F16" s="466">
        <v>861</v>
      </c>
      <c r="G16" s="466"/>
      <c r="H16" s="466"/>
      <c r="I16" s="467"/>
      <c r="J16" s="467"/>
      <c r="K16" s="1671">
        <f t="shared" si="0"/>
        <v>521139</v>
      </c>
      <c r="L16" s="466">
        <v>513941</v>
      </c>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v>2783887</v>
      </c>
      <c r="D18" s="466">
        <v>653174</v>
      </c>
      <c r="E18" s="466">
        <v>2913</v>
      </c>
      <c r="F18" s="466">
        <v>11153</v>
      </c>
      <c r="G18" s="466"/>
      <c r="H18" s="466"/>
      <c r="I18" s="467"/>
      <c r="J18" s="467"/>
      <c r="K18" s="1671">
        <f t="shared" si="0"/>
        <v>3451127</v>
      </c>
      <c r="L18" s="466">
        <v>3266900</v>
      </c>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v>1101326</v>
      </c>
      <c r="I22" s="616"/>
      <c r="J22" s="477"/>
      <c r="K22" s="1671">
        <f t="shared" si="0"/>
        <v>1101326</v>
      </c>
      <c r="L22" s="471">
        <v>1210000</v>
      </c>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33769565</v>
      </c>
      <c r="D33" s="1670">
        <f t="shared" ref="D33:L33" si="1">SUM(D5:D32)</f>
        <v>7789490</v>
      </c>
      <c r="E33" s="1670">
        <f t="shared" si="1"/>
        <v>91228</v>
      </c>
      <c r="F33" s="1670">
        <f t="shared" si="1"/>
        <v>1550106</v>
      </c>
      <c r="G33" s="1670">
        <f t="shared" si="1"/>
        <v>529431</v>
      </c>
      <c r="H33" s="1670">
        <f t="shared" si="1"/>
        <v>1106618</v>
      </c>
      <c r="I33" s="1670">
        <f t="shared" si="1"/>
        <v>40760</v>
      </c>
      <c r="J33" s="1670">
        <f t="shared" si="1"/>
        <v>0</v>
      </c>
      <c r="K33" s="1670">
        <f t="shared" si="1"/>
        <v>44877198</v>
      </c>
      <c r="L33" s="1670">
        <f t="shared" si="1"/>
        <v>45662561</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1141896</v>
      </c>
      <c r="D36" s="481">
        <v>207558</v>
      </c>
      <c r="E36" s="481">
        <v>86825</v>
      </c>
      <c r="F36" s="481">
        <v>3803</v>
      </c>
      <c r="G36" s="481"/>
      <c r="H36" s="481"/>
      <c r="I36" s="467"/>
      <c r="J36" s="467"/>
      <c r="K36" s="1671">
        <f t="shared" ref="K36:K41" si="2">SUM(C36:J36)</f>
        <v>1440082</v>
      </c>
      <c r="L36" s="466">
        <v>1357898</v>
      </c>
    </row>
    <row r="37" spans="1:14" x14ac:dyDescent="0.2">
      <c r="A37" s="1504" t="s">
        <v>1090</v>
      </c>
      <c r="B37" s="614">
        <v>2120</v>
      </c>
      <c r="C37" s="466"/>
      <c r="D37" s="466"/>
      <c r="E37" s="466"/>
      <c r="F37" s="466"/>
      <c r="G37" s="466"/>
      <c r="H37" s="466"/>
      <c r="I37" s="467"/>
      <c r="J37" s="467"/>
      <c r="K37" s="1671">
        <f t="shared" si="2"/>
        <v>0</v>
      </c>
      <c r="L37" s="466"/>
    </row>
    <row r="38" spans="1:14" x14ac:dyDescent="0.2">
      <c r="A38" s="1504" t="s">
        <v>198</v>
      </c>
      <c r="B38" s="614">
        <v>2130</v>
      </c>
      <c r="C38" s="466">
        <v>1193606</v>
      </c>
      <c r="D38" s="466">
        <v>347342</v>
      </c>
      <c r="E38" s="466">
        <v>9228</v>
      </c>
      <c r="F38" s="466">
        <v>20269</v>
      </c>
      <c r="G38" s="466">
        <v>4035</v>
      </c>
      <c r="H38" s="466">
        <v>432</v>
      </c>
      <c r="I38" s="467">
        <v>3045</v>
      </c>
      <c r="J38" s="467"/>
      <c r="K38" s="1671">
        <f t="shared" si="2"/>
        <v>1577957</v>
      </c>
      <c r="L38" s="466">
        <v>1617616</v>
      </c>
    </row>
    <row r="39" spans="1:14" x14ac:dyDescent="0.2">
      <c r="A39" s="1504" t="s">
        <v>199</v>
      </c>
      <c r="B39" s="614">
        <v>2140</v>
      </c>
      <c r="C39" s="466">
        <v>550018</v>
      </c>
      <c r="D39" s="466">
        <v>80727</v>
      </c>
      <c r="E39" s="466">
        <v>85275</v>
      </c>
      <c r="F39" s="466">
        <v>9143</v>
      </c>
      <c r="G39" s="466"/>
      <c r="H39" s="466"/>
      <c r="I39" s="467"/>
      <c r="J39" s="467"/>
      <c r="K39" s="1671">
        <f t="shared" si="2"/>
        <v>725163</v>
      </c>
      <c r="L39" s="466">
        <v>760462</v>
      </c>
    </row>
    <row r="40" spans="1:14" x14ac:dyDescent="0.2">
      <c r="A40" s="1504" t="s">
        <v>200</v>
      </c>
      <c r="B40" s="614">
        <v>2150</v>
      </c>
      <c r="C40" s="466">
        <v>980181</v>
      </c>
      <c r="D40" s="466">
        <v>172114</v>
      </c>
      <c r="E40" s="466">
        <v>247396</v>
      </c>
      <c r="F40" s="466">
        <v>13158</v>
      </c>
      <c r="G40" s="466"/>
      <c r="H40" s="466"/>
      <c r="I40" s="467"/>
      <c r="J40" s="467"/>
      <c r="K40" s="1671">
        <f t="shared" si="2"/>
        <v>1412849</v>
      </c>
      <c r="L40" s="466">
        <v>1405454</v>
      </c>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3865701</v>
      </c>
      <c r="D42" s="1670">
        <f t="shared" ref="D42:L42" si="3">SUM(D36:D41)</f>
        <v>807741</v>
      </c>
      <c r="E42" s="1670">
        <f t="shared" si="3"/>
        <v>428724</v>
      </c>
      <c r="F42" s="1670">
        <f t="shared" si="3"/>
        <v>46373</v>
      </c>
      <c r="G42" s="1670">
        <f t="shared" si="3"/>
        <v>4035</v>
      </c>
      <c r="H42" s="1670">
        <f t="shared" si="3"/>
        <v>432</v>
      </c>
      <c r="I42" s="1670">
        <f t="shared" si="3"/>
        <v>3045</v>
      </c>
      <c r="J42" s="1670">
        <f t="shared" si="3"/>
        <v>0</v>
      </c>
      <c r="K42" s="1670">
        <f t="shared" si="3"/>
        <v>5156051</v>
      </c>
      <c r="L42" s="1670">
        <f t="shared" si="3"/>
        <v>5141430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1131694</v>
      </c>
      <c r="D44" s="481">
        <v>127969</v>
      </c>
      <c r="E44" s="481">
        <v>286836</v>
      </c>
      <c r="F44" s="481">
        <v>6975</v>
      </c>
      <c r="G44" s="481"/>
      <c r="H44" s="481">
        <v>5420</v>
      </c>
      <c r="I44" s="467"/>
      <c r="J44" s="467"/>
      <c r="K44" s="1672">
        <f>SUM(C44:J44)</f>
        <v>1558894</v>
      </c>
      <c r="L44" s="481">
        <v>1555748</v>
      </c>
    </row>
    <row r="45" spans="1:14" x14ac:dyDescent="0.2">
      <c r="A45" s="1504" t="s">
        <v>815</v>
      </c>
      <c r="B45" s="614">
        <v>2220</v>
      </c>
      <c r="C45" s="466">
        <v>621947</v>
      </c>
      <c r="D45" s="466">
        <v>192625</v>
      </c>
      <c r="E45" s="466"/>
      <c r="F45" s="466">
        <v>59130</v>
      </c>
      <c r="G45" s="466">
        <v>2887</v>
      </c>
      <c r="H45" s="466"/>
      <c r="I45" s="467"/>
      <c r="J45" s="467"/>
      <c r="K45" s="1672">
        <f>SUM(C45:J45)</f>
        <v>876589</v>
      </c>
      <c r="L45" s="466">
        <v>874665</v>
      </c>
    </row>
    <row r="46" spans="1:14" x14ac:dyDescent="0.2">
      <c r="A46" s="1504" t="s">
        <v>816</v>
      </c>
      <c r="B46" s="614">
        <v>2230</v>
      </c>
      <c r="C46" s="466"/>
      <c r="D46" s="466"/>
      <c r="E46" s="466">
        <v>126067</v>
      </c>
      <c r="F46" s="466">
        <v>1111</v>
      </c>
      <c r="G46" s="466"/>
      <c r="H46" s="466"/>
      <c r="I46" s="467"/>
      <c r="J46" s="467"/>
      <c r="K46" s="1672">
        <f>SUM(C46:J46)</f>
        <v>127178</v>
      </c>
      <c r="L46" s="466">
        <v>164125</v>
      </c>
    </row>
    <row r="47" spans="1:14" ht="12.75" customHeight="1" thickBot="1" x14ac:dyDescent="0.25">
      <c r="A47" s="1668" t="s">
        <v>561</v>
      </c>
      <c r="B47" s="1669" t="s">
        <v>32</v>
      </c>
      <c r="C47" s="1670">
        <f>SUM(C44:C46)</f>
        <v>1753641</v>
      </c>
      <c r="D47" s="1670">
        <f t="shared" ref="D47:K47" si="4">SUM(D44:D46)</f>
        <v>320594</v>
      </c>
      <c r="E47" s="1670">
        <f t="shared" si="4"/>
        <v>412903</v>
      </c>
      <c r="F47" s="1670">
        <f t="shared" si="4"/>
        <v>67216</v>
      </c>
      <c r="G47" s="1670">
        <f t="shared" si="4"/>
        <v>2887</v>
      </c>
      <c r="H47" s="1670">
        <f t="shared" si="4"/>
        <v>5420</v>
      </c>
      <c r="I47" s="1670">
        <f t="shared" si="4"/>
        <v>0</v>
      </c>
      <c r="J47" s="1670">
        <f t="shared" si="4"/>
        <v>0</v>
      </c>
      <c r="K47" s="1670">
        <f t="shared" si="4"/>
        <v>2562661</v>
      </c>
      <c r="L47" s="1670">
        <f>SUM(L44:L46)</f>
        <v>2594538</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v>65249</v>
      </c>
      <c r="F49" s="481">
        <v>4959</v>
      </c>
      <c r="G49" s="481"/>
      <c r="H49" s="481">
        <v>31214</v>
      </c>
      <c r="I49" s="467"/>
      <c r="J49" s="467"/>
      <c r="K49" s="1672">
        <f>SUM(C49:J49)</f>
        <v>101422</v>
      </c>
      <c r="L49" s="481">
        <v>144988</v>
      </c>
    </row>
    <row r="50" spans="1:14" x14ac:dyDescent="0.2">
      <c r="A50" s="1504" t="s">
        <v>818</v>
      </c>
      <c r="B50" s="614">
        <v>2320</v>
      </c>
      <c r="C50" s="466">
        <v>440141</v>
      </c>
      <c r="D50" s="466">
        <v>24077</v>
      </c>
      <c r="E50" s="466">
        <v>2674</v>
      </c>
      <c r="F50" s="466">
        <v>4030</v>
      </c>
      <c r="G50" s="466"/>
      <c r="H50" s="466">
        <v>11486</v>
      </c>
      <c r="I50" s="467"/>
      <c r="J50" s="467"/>
      <c r="K50" s="1672">
        <f>SUM(C50:J50)</f>
        <v>482408</v>
      </c>
      <c r="L50" s="466">
        <v>487439</v>
      </c>
    </row>
    <row r="51" spans="1:14" x14ac:dyDescent="0.2">
      <c r="A51" s="1504" t="s">
        <v>42</v>
      </c>
      <c r="B51" s="614">
        <v>2330</v>
      </c>
      <c r="C51" s="466">
        <v>1043223</v>
      </c>
      <c r="D51" s="466">
        <v>40990</v>
      </c>
      <c r="E51" s="466">
        <v>32594</v>
      </c>
      <c r="F51" s="466">
        <v>6130</v>
      </c>
      <c r="G51" s="466"/>
      <c r="H51" s="466">
        <v>3021</v>
      </c>
      <c r="I51" s="467"/>
      <c r="J51" s="467"/>
      <c r="K51" s="1672">
        <f>SUM(C51:J51)</f>
        <v>1125958</v>
      </c>
      <c r="L51" s="466">
        <v>1144992</v>
      </c>
    </row>
    <row r="52" spans="1:14" ht="22.5" x14ac:dyDescent="0.2">
      <c r="A52" s="1505" t="s">
        <v>298</v>
      </c>
      <c r="B52" s="627" t="s">
        <v>366</v>
      </c>
      <c r="C52" s="474"/>
      <c r="D52" s="474"/>
      <c r="E52" s="474">
        <v>1294901</v>
      </c>
      <c r="F52" s="474"/>
      <c r="G52" s="474"/>
      <c r="H52" s="474"/>
      <c r="I52" s="474"/>
      <c r="J52" s="474"/>
      <c r="K52" s="1672">
        <f>SUM(C52:J52)</f>
        <v>1294901</v>
      </c>
      <c r="L52" s="474">
        <v>1251063</v>
      </c>
    </row>
    <row r="53" spans="1:14" ht="12.75" customHeight="1" thickBot="1" x14ac:dyDescent="0.25">
      <c r="A53" s="1668" t="s">
        <v>717</v>
      </c>
      <c r="B53" s="1669" t="s">
        <v>33</v>
      </c>
      <c r="C53" s="1670">
        <f>SUM(C49:C52)</f>
        <v>1483364</v>
      </c>
      <c r="D53" s="1670">
        <f t="shared" ref="D53:L53" si="5">SUM(D49:D52)</f>
        <v>65067</v>
      </c>
      <c r="E53" s="1670">
        <f t="shared" si="5"/>
        <v>1395418</v>
      </c>
      <c r="F53" s="1670">
        <f t="shared" si="5"/>
        <v>15119</v>
      </c>
      <c r="G53" s="1670">
        <f t="shared" si="5"/>
        <v>0</v>
      </c>
      <c r="H53" s="1670">
        <f t="shared" si="5"/>
        <v>45721</v>
      </c>
      <c r="I53" s="1670">
        <f t="shared" si="5"/>
        <v>0</v>
      </c>
      <c r="J53" s="1670">
        <f t="shared" si="5"/>
        <v>0</v>
      </c>
      <c r="K53" s="1670">
        <f t="shared" si="5"/>
        <v>3004689</v>
      </c>
      <c r="L53" s="1670">
        <f t="shared" si="5"/>
        <v>3028482</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2666584</v>
      </c>
      <c r="D55" s="481">
        <v>324110</v>
      </c>
      <c r="E55" s="481">
        <v>5475</v>
      </c>
      <c r="F55" s="481">
        <v>8483</v>
      </c>
      <c r="G55" s="481"/>
      <c r="H55" s="481">
        <v>14743</v>
      </c>
      <c r="I55" s="467">
        <v>4510</v>
      </c>
      <c r="J55" s="467"/>
      <c r="K55" s="1672">
        <f>SUM(C55:J55)</f>
        <v>3023905</v>
      </c>
      <c r="L55" s="481">
        <v>3038847</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2666584</v>
      </c>
      <c r="D57" s="1674">
        <f t="shared" ref="D57:K57" si="6">SUM(D55:D56)</f>
        <v>324110</v>
      </c>
      <c r="E57" s="1674">
        <f t="shared" si="6"/>
        <v>5475</v>
      </c>
      <c r="F57" s="1674">
        <f t="shared" si="6"/>
        <v>8483</v>
      </c>
      <c r="G57" s="1674">
        <f t="shared" si="6"/>
        <v>0</v>
      </c>
      <c r="H57" s="1674">
        <f t="shared" si="6"/>
        <v>14743</v>
      </c>
      <c r="I57" s="1674">
        <f t="shared" si="6"/>
        <v>4510</v>
      </c>
      <c r="J57" s="1674">
        <f t="shared" si="6"/>
        <v>0</v>
      </c>
      <c r="K57" s="1674">
        <f t="shared" si="6"/>
        <v>3023905</v>
      </c>
      <c r="L57" s="1670">
        <f>SUM(L55:L56)</f>
        <v>3038847</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v>224720</v>
      </c>
      <c r="D59" s="481">
        <v>9485</v>
      </c>
      <c r="E59" s="481">
        <v>2949</v>
      </c>
      <c r="F59" s="481"/>
      <c r="G59" s="481"/>
      <c r="H59" s="481">
        <v>1445</v>
      </c>
      <c r="I59" s="467"/>
      <c r="J59" s="467"/>
      <c r="K59" s="1672">
        <f t="shared" ref="K59:K64" si="7">SUM(C59:J59)</f>
        <v>238599</v>
      </c>
      <c r="L59" s="481">
        <v>264475</v>
      </c>
      <c r="M59" s="609"/>
      <c r="N59" s="609"/>
    </row>
    <row r="60" spans="1:14" s="343" customFormat="1" x14ac:dyDescent="0.2">
      <c r="A60" s="1504" t="s">
        <v>463</v>
      </c>
      <c r="B60" s="614">
        <v>2520</v>
      </c>
      <c r="C60" s="466">
        <v>549017</v>
      </c>
      <c r="D60" s="466">
        <v>68582</v>
      </c>
      <c r="E60" s="466">
        <v>83977</v>
      </c>
      <c r="F60" s="466">
        <v>6248</v>
      </c>
      <c r="G60" s="466"/>
      <c r="H60" s="466">
        <v>58</v>
      </c>
      <c r="I60" s="467"/>
      <c r="J60" s="467"/>
      <c r="K60" s="1672">
        <f t="shared" si="7"/>
        <v>707882</v>
      </c>
      <c r="L60" s="466">
        <v>749116</v>
      </c>
      <c r="M60" s="609"/>
      <c r="N60" s="609"/>
    </row>
    <row r="61" spans="1:14" s="343" customFormat="1" x14ac:dyDescent="0.2">
      <c r="A61" s="1504" t="s">
        <v>197</v>
      </c>
      <c r="B61" s="614">
        <v>2540</v>
      </c>
      <c r="C61" s="466"/>
      <c r="D61" s="466"/>
      <c r="E61" s="466"/>
      <c r="F61" s="466"/>
      <c r="G61" s="466">
        <v>25048</v>
      </c>
      <c r="H61" s="466"/>
      <c r="I61" s="467"/>
      <c r="J61" s="467"/>
      <c r="K61" s="1672">
        <f t="shared" si="7"/>
        <v>25048</v>
      </c>
      <c r="L61" s="466">
        <v>0</v>
      </c>
      <c r="M61" s="609"/>
      <c r="N61" s="609"/>
    </row>
    <row r="62" spans="1:14" s="343" customFormat="1" x14ac:dyDescent="0.2">
      <c r="A62" s="1504" t="s">
        <v>953</v>
      </c>
      <c r="B62" s="614">
        <v>2550</v>
      </c>
      <c r="C62" s="466"/>
      <c r="D62" s="466"/>
      <c r="E62" s="466">
        <v>34083</v>
      </c>
      <c r="F62" s="466"/>
      <c r="G62" s="466"/>
      <c r="H62" s="466"/>
      <c r="I62" s="467"/>
      <c r="J62" s="467"/>
      <c r="K62" s="1672">
        <f t="shared" si="7"/>
        <v>34083</v>
      </c>
      <c r="L62" s="466">
        <v>40400</v>
      </c>
      <c r="M62" s="609"/>
      <c r="N62" s="609"/>
    </row>
    <row r="63" spans="1:14" s="609" customFormat="1" x14ac:dyDescent="0.2">
      <c r="A63" s="1504" t="s">
        <v>100</v>
      </c>
      <c r="B63" s="614">
        <v>2560</v>
      </c>
      <c r="C63" s="466">
        <v>222530</v>
      </c>
      <c r="D63" s="466">
        <v>5648</v>
      </c>
      <c r="E63" s="466">
        <v>1141214</v>
      </c>
      <c r="F63" s="466">
        <v>10550</v>
      </c>
      <c r="G63" s="466">
        <v>3864</v>
      </c>
      <c r="H63" s="466">
        <v>1240</v>
      </c>
      <c r="I63" s="467">
        <v>12990</v>
      </c>
      <c r="J63" s="467"/>
      <c r="K63" s="1672">
        <f t="shared" si="7"/>
        <v>1398036</v>
      </c>
      <c r="L63" s="466">
        <v>1579349</v>
      </c>
    </row>
    <row r="64" spans="1:14" s="609" customFormat="1" x14ac:dyDescent="0.2">
      <c r="A64" s="1509" t="s">
        <v>101</v>
      </c>
      <c r="B64" s="630">
        <v>2570</v>
      </c>
      <c r="C64" s="481">
        <v>50937</v>
      </c>
      <c r="D64" s="481">
        <v>22795</v>
      </c>
      <c r="E64" s="481">
        <v>342805</v>
      </c>
      <c r="F64" s="481">
        <v>71595</v>
      </c>
      <c r="G64" s="481"/>
      <c r="H64" s="481"/>
      <c r="I64" s="467"/>
      <c r="J64" s="467"/>
      <c r="K64" s="1672">
        <f t="shared" si="7"/>
        <v>488132</v>
      </c>
      <c r="L64" s="481">
        <v>554854</v>
      </c>
    </row>
    <row r="65" spans="1:14" s="343" customFormat="1" ht="12.75" customHeight="1" thickBot="1" x14ac:dyDescent="0.25">
      <c r="A65" s="1668" t="s">
        <v>719</v>
      </c>
      <c r="B65" s="1669" t="s">
        <v>35</v>
      </c>
      <c r="C65" s="1670">
        <f>SUM(C59:C64)</f>
        <v>1047204</v>
      </c>
      <c r="D65" s="1670">
        <f t="shared" ref="D65:L65" si="8">SUM(D59:D64)</f>
        <v>106510</v>
      </c>
      <c r="E65" s="1670">
        <f t="shared" si="8"/>
        <v>1605028</v>
      </c>
      <c r="F65" s="1670">
        <f t="shared" si="8"/>
        <v>88393</v>
      </c>
      <c r="G65" s="1670">
        <f t="shared" si="8"/>
        <v>28912</v>
      </c>
      <c r="H65" s="1670">
        <f t="shared" si="8"/>
        <v>2743</v>
      </c>
      <c r="I65" s="1670">
        <f t="shared" si="8"/>
        <v>12990</v>
      </c>
      <c r="J65" s="1670">
        <f t="shared" si="8"/>
        <v>0</v>
      </c>
      <c r="K65" s="1670">
        <f t="shared" si="8"/>
        <v>2891780</v>
      </c>
      <c r="L65" s="1670">
        <f t="shared" si="8"/>
        <v>3188194</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v>82233</v>
      </c>
      <c r="D69" s="466">
        <v>3490</v>
      </c>
      <c r="E69" s="466">
        <v>16229</v>
      </c>
      <c r="F69" s="466">
        <v>920</v>
      </c>
      <c r="G69" s="466"/>
      <c r="H69" s="466">
        <v>410</v>
      </c>
      <c r="I69" s="467"/>
      <c r="J69" s="467"/>
      <c r="K69" s="1672">
        <f>SUM(C69:J69)</f>
        <v>103282</v>
      </c>
      <c r="L69" s="466">
        <v>100222</v>
      </c>
      <c r="M69" s="609"/>
      <c r="N69" s="609"/>
    </row>
    <row r="70" spans="1:14" s="343" customFormat="1" x14ac:dyDescent="0.2">
      <c r="A70" s="1504" t="s">
        <v>403</v>
      </c>
      <c r="B70" s="614">
        <v>2640</v>
      </c>
      <c r="C70" s="466">
        <v>364650</v>
      </c>
      <c r="D70" s="466">
        <v>7323</v>
      </c>
      <c r="E70" s="466">
        <v>30421</v>
      </c>
      <c r="F70" s="466">
        <v>1940</v>
      </c>
      <c r="G70" s="466"/>
      <c r="H70" s="466">
        <v>5110</v>
      </c>
      <c r="I70" s="467">
        <v>720</v>
      </c>
      <c r="J70" s="467"/>
      <c r="K70" s="1672">
        <f>SUM(C70:J70)</f>
        <v>410164</v>
      </c>
      <c r="L70" s="466">
        <v>539156</v>
      </c>
      <c r="M70" s="609"/>
      <c r="N70" s="609"/>
    </row>
    <row r="71" spans="1:14" s="343" customFormat="1" x14ac:dyDescent="0.2">
      <c r="A71" s="1504" t="s">
        <v>404</v>
      </c>
      <c r="B71" s="614">
        <v>2660</v>
      </c>
      <c r="C71" s="466">
        <v>959350</v>
      </c>
      <c r="D71" s="466">
        <v>30998</v>
      </c>
      <c r="E71" s="466">
        <v>561277</v>
      </c>
      <c r="F71" s="466">
        <v>88939</v>
      </c>
      <c r="G71" s="466">
        <v>30260</v>
      </c>
      <c r="H71" s="466">
        <v>3410</v>
      </c>
      <c r="I71" s="467">
        <v>94106</v>
      </c>
      <c r="J71" s="467"/>
      <c r="K71" s="1672">
        <f>SUM(C71:J71)</f>
        <v>1768340</v>
      </c>
      <c r="L71" s="466">
        <v>1833256</v>
      </c>
      <c r="M71" s="609"/>
      <c r="N71" s="609"/>
    </row>
    <row r="72" spans="1:14" s="343" customFormat="1" ht="12.75" customHeight="1" thickBot="1" x14ac:dyDescent="0.25">
      <c r="A72" s="1668" t="s">
        <v>37</v>
      </c>
      <c r="B72" s="1675" t="s">
        <v>36</v>
      </c>
      <c r="C72" s="1670">
        <f>SUM(C67:C71)</f>
        <v>1406233</v>
      </c>
      <c r="D72" s="1670">
        <f t="shared" ref="D72:K72" si="9">SUM(D67:D71)</f>
        <v>41811</v>
      </c>
      <c r="E72" s="1670">
        <f t="shared" si="9"/>
        <v>607927</v>
      </c>
      <c r="F72" s="1670">
        <f t="shared" si="9"/>
        <v>91799</v>
      </c>
      <c r="G72" s="1670">
        <f t="shared" si="9"/>
        <v>30260</v>
      </c>
      <c r="H72" s="1670">
        <f t="shared" si="9"/>
        <v>8930</v>
      </c>
      <c r="I72" s="1670">
        <f t="shared" si="9"/>
        <v>94826</v>
      </c>
      <c r="J72" s="1670">
        <f t="shared" si="9"/>
        <v>0</v>
      </c>
      <c r="K72" s="1670">
        <f t="shared" si="9"/>
        <v>2281786</v>
      </c>
      <c r="L72" s="1670">
        <f>SUM(L67:L71)</f>
        <v>2472634</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v>37000</v>
      </c>
      <c r="M73" s="609"/>
      <c r="N73" s="609"/>
    </row>
    <row r="74" spans="1:14" ht="12.75" customHeight="1" thickTop="1" thickBot="1" x14ac:dyDescent="0.25">
      <c r="A74" s="1668" t="s">
        <v>811</v>
      </c>
      <c r="B74" s="1676">
        <v>2000</v>
      </c>
      <c r="C74" s="1677">
        <f>SUM(C42,C47,C53,C57,C65,C72,C73)</f>
        <v>12222727</v>
      </c>
      <c r="D74" s="1677">
        <f t="shared" ref="D74:K74" si="10">SUM(D42,D47,D53,D57,D65,D72,D73)</f>
        <v>1665833</v>
      </c>
      <c r="E74" s="1677">
        <f t="shared" si="10"/>
        <v>4455475</v>
      </c>
      <c r="F74" s="1677">
        <f t="shared" si="10"/>
        <v>317383</v>
      </c>
      <c r="G74" s="1677">
        <f t="shared" si="10"/>
        <v>66094</v>
      </c>
      <c r="H74" s="1677">
        <f t="shared" si="10"/>
        <v>77989</v>
      </c>
      <c r="I74" s="1677">
        <f t="shared" si="10"/>
        <v>115371</v>
      </c>
      <c r="J74" s="1677">
        <f t="shared" si="10"/>
        <v>0</v>
      </c>
      <c r="K74" s="1677">
        <f t="shared" si="10"/>
        <v>18920872</v>
      </c>
      <c r="L74" s="1677">
        <f>SUM(L42,L47,L53,L57,L65,L72,L73)</f>
        <v>19501125</v>
      </c>
    </row>
    <row r="75" spans="1:14" s="259" customFormat="1" ht="15.75" customHeight="1" thickTop="1" thickBot="1" x14ac:dyDescent="0.25">
      <c r="A75" s="1610" t="s">
        <v>47</v>
      </c>
      <c r="B75" s="1611" t="s">
        <v>575</v>
      </c>
      <c r="C75" s="573">
        <v>37121</v>
      </c>
      <c r="D75" s="573">
        <v>7758</v>
      </c>
      <c r="E75" s="573">
        <v>26458</v>
      </c>
      <c r="F75" s="573">
        <v>7532</v>
      </c>
      <c r="G75" s="573"/>
      <c r="H75" s="573"/>
      <c r="I75" s="531"/>
      <c r="J75" s="531"/>
      <c r="K75" s="1670">
        <f>SUM(C75:J75)</f>
        <v>78869</v>
      </c>
      <c r="L75" s="576">
        <v>58394</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v>222459</v>
      </c>
      <c r="F79" s="616"/>
      <c r="G79" s="616"/>
      <c r="H79" s="466">
        <v>84756</v>
      </c>
      <c r="I79" s="477"/>
      <c r="J79" s="477"/>
      <c r="K79" s="1671">
        <f t="shared" si="11"/>
        <v>307215</v>
      </c>
      <c r="L79" s="466">
        <f>201787+85750</f>
        <v>287537</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222459</v>
      </c>
      <c r="F84" s="616"/>
      <c r="G84" s="616"/>
      <c r="H84" s="1670">
        <f>SUM(H78:H83)</f>
        <v>84756</v>
      </c>
      <c r="I84" s="477"/>
      <c r="J84" s="477"/>
      <c r="K84" s="1670">
        <f>SUM(K78:K83)</f>
        <v>307215</v>
      </c>
      <c r="L84" s="1670">
        <f>SUM(L78:L83)</f>
        <v>287537</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v>1443062</v>
      </c>
      <c r="I86" s="477"/>
      <c r="J86" s="477"/>
      <c r="K86" s="1677">
        <f t="shared" ref="K86:K98" si="12">H86</f>
        <v>1443062</v>
      </c>
      <c r="L86" s="530">
        <v>1467306</v>
      </c>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1443062</v>
      </c>
      <c r="I92" s="477"/>
      <c r="J92" s="477"/>
      <c r="K92" s="1677">
        <f t="shared" si="12"/>
        <v>1443062</v>
      </c>
      <c r="L92" s="1670">
        <f>SUM(L85:L91)</f>
        <v>1467306</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222459</v>
      </c>
      <c r="F102" s="616"/>
      <c r="G102" s="616"/>
      <c r="H102" s="1677">
        <f>SUM(H84,H92,H100,H101)</f>
        <v>1527818</v>
      </c>
      <c r="I102" s="477"/>
      <c r="J102" s="477"/>
      <c r="K102" s="1677">
        <f>SUM(K84,K92,K100,K101)</f>
        <v>1750277</v>
      </c>
      <c r="L102" s="1677">
        <f>SUM(L84,L92,L100,L101)</f>
        <v>1754843</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46029413</v>
      </c>
      <c r="D114" s="1670">
        <f t="shared" ref="D114:K114" si="13">SUM(D33,D74,D75,D102,D112,D113)</f>
        <v>9463081</v>
      </c>
      <c r="E114" s="1670">
        <f t="shared" si="13"/>
        <v>4795620</v>
      </c>
      <c r="F114" s="1670">
        <f t="shared" si="13"/>
        <v>1875021</v>
      </c>
      <c r="G114" s="1670">
        <f t="shared" si="13"/>
        <v>595525</v>
      </c>
      <c r="H114" s="1670">
        <f>SUM(H33,H74,H75,H102,H112,H113)</f>
        <v>2712425</v>
      </c>
      <c r="I114" s="1670">
        <f t="shared" si="13"/>
        <v>156131</v>
      </c>
      <c r="J114" s="1670">
        <f t="shared" si="13"/>
        <v>0</v>
      </c>
      <c r="K114" s="1670">
        <f t="shared" si="13"/>
        <v>65627216</v>
      </c>
      <c r="L114" s="1670">
        <f>SUM(L33,L74,L75,L102,L112,L113)</f>
        <v>66976923</v>
      </c>
    </row>
    <row r="115" spans="1:14" ht="13.5" thickTop="1" x14ac:dyDescent="0.2">
      <c r="A115" s="2190" t="s">
        <v>996</v>
      </c>
      <c r="B115" s="2191"/>
      <c r="C115" s="618"/>
      <c r="D115" s="618"/>
      <c r="E115" s="618"/>
      <c r="F115" s="618"/>
      <c r="G115" s="618"/>
      <c r="H115" s="618"/>
      <c r="I115" s="618"/>
      <c r="J115" s="618"/>
      <c r="K115" s="1684">
        <f>'Revenues 9-14'!C268-'Expenditures 15-22'!K114</f>
        <v>-3146027</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8" t="s">
        <v>296</v>
      </c>
      <c r="B117" s="2169"/>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2056</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1916994</v>
      </c>
      <c r="D124" s="466">
        <v>398533</v>
      </c>
      <c r="E124" s="466">
        <v>1996796</v>
      </c>
      <c r="F124" s="466">
        <v>1257235</v>
      </c>
      <c r="G124" s="466">
        <v>73242</v>
      </c>
      <c r="H124" s="466">
        <v>840</v>
      </c>
      <c r="I124" s="467">
        <v>10638</v>
      </c>
      <c r="J124" s="467"/>
      <c r="K124" s="1670">
        <f>SUM(C124:J124)</f>
        <v>5654278</v>
      </c>
      <c r="L124" s="466">
        <v>6011785</v>
      </c>
    </row>
    <row r="125" spans="1:14" ht="14.25" thickTop="1" thickBot="1" x14ac:dyDescent="0.25">
      <c r="A125" s="1504" t="s">
        <v>953</v>
      </c>
      <c r="B125" s="614">
        <v>2550</v>
      </c>
      <c r="C125" s="466"/>
      <c r="D125" s="466"/>
      <c r="E125" s="466"/>
      <c r="F125" s="466">
        <v>26764</v>
      </c>
      <c r="G125" s="466"/>
      <c r="H125" s="466"/>
      <c r="I125" s="467"/>
      <c r="J125" s="467"/>
      <c r="K125" s="1670">
        <f>SUM(C125:J125)</f>
        <v>26764</v>
      </c>
      <c r="L125" s="466">
        <v>34500</v>
      </c>
    </row>
    <row r="126" spans="1:14" ht="14.25" thickTop="1" thickBot="1" x14ac:dyDescent="0.25">
      <c r="A126" s="1504" t="s">
        <v>100</v>
      </c>
      <c r="B126" s="614">
        <v>2560</v>
      </c>
      <c r="C126" s="654"/>
      <c r="D126" s="654"/>
      <c r="E126" s="654"/>
      <c r="F126" s="654"/>
      <c r="G126" s="466"/>
      <c r="H126" s="654"/>
      <c r="I126" s="474"/>
      <c r="J126" s="616"/>
      <c r="K126" s="1670">
        <f>SUM(C126:J126)</f>
        <v>0</v>
      </c>
      <c r="L126" s="466">
        <v>6000</v>
      </c>
    </row>
    <row r="127" spans="1:14" ht="12.75" customHeight="1" thickTop="1" thickBot="1" x14ac:dyDescent="0.25">
      <c r="A127" s="1668" t="s">
        <v>719</v>
      </c>
      <c r="B127" s="1669" t="s">
        <v>35</v>
      </c>
      <c r="C127" s="1670">
        <f>SUM(C122:C126)</f>
        <v>1916994</v>
      </c>
      <c r="D127" s="1670">
        <f t="shared" ref="D127:L127" si="14">SUM(D122:D126)</f>
        <v>398533</v>
      </c>
      <c r="E127" s="1670">
        <f t="shared" si="14"/>
        <v>1996796</v>
      </c>
      <c r="F127" s="1670">
        <f t="shared" si="14"/>
        <v>1283999</v>
      </c>
      <c r="G127" s="1670">
        <f t="shared" si="14"/>
        <v>73242</v>
      </c>
      <c r="H127" s="1670">
        <f t="shared" si="14"/>
        <v>840</v>
      </c>
      <c r="I127" s="1670">
        <f t="shared" si="14"/>
        <v>10638</v>
      </c>
      <c r="J127" s="1670">
        <f t="shared" si="14"/>
        <v>0</v>
      </c>
      <c r="K127" s="1670">
        <f t="shared" si="14"/>
        <v>5681042</v>
      </c>
      <c r="L127" s="1670">
        <f t="shared" si="14"/>
        <v>6052285</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1916994</v>
      </c>
      <c r="D129" s="1677">
        <f t="shared" ref="D129:L129" si="15">SUM(D120,D127,D128)</f>
        <v>398533</v>
      </c>
      <c r="E129" s="1677">
        <f t="shared" si="15"/>
        <v>1996796</v>
      </c>
      <c r="F129" s="1677">
        <f t="shared" si="15"/>
        <v>1283999</v>
      </c>
      <c r="G129" s="1677">
        <f t="shared" si="15"/>
        <v>73242</v>
      </c>
      <c r="H129" s="1677">
        <f t="shared" si="15"/>
        <v>840</v>
      </c>
      <c r="I129" s="1677">
        <f t="shared" si="15"/>
        <v>10638</v>
      </c>
      <c r="J129" s="1677">
        <f t="shared" si="15"/>
        <v>0</v>
      </c>
      <c r="K129" s="1677">
        <f t="shared" si="15"/>
        <v>5681042</v>
      </c>
      <c r="L129" s="1677">
        <f t="shared" si="15"/>
        <v>6052285</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1842</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80" t="s">
        <v>620</v>
      </c>
      <c r="B151" s="2162"/>
      <c r="C151" s="1670">
        <f>SUM(C129,C130,C139,C149,C150)</f>
        <v>1916994</v>
      </c>
      <c r="D151" s="1670">
        <f t="shared" ref="D151:K151" si="16">SUM(D129,D130,D139,D149,D150)</f>
        <v>398533</v>
      </c>
      <c r="E151" s="1670">
        <f t="shared" si="16"/>
        <v>1996796</v>
      </c>
      <c r="F151" s="1670">
        <f t="shared" si="16"/>
        <v>1283999</v>
      </c>
      <c r="G151" s="1670">
        <f t="shared" si="16"/>
        <v>73242</v>
      </c>
      <c r="H151" s="1670">
        <f t="shared" si="16"/>
        <v>840</v>
      </c>
      <c r="I151" s="1670">
        <f t="shared" si="16"/>
        <v>10638</v>
      </c>
      <c r="J151" s="1670">
        <f t="shared" si="16"/>
        <v>0</v>
      </c>
      <c r="K151" s="1670">
        <f t="shared" si="16"/>
        <v>5681042</v>
      </c>
      <c r="L151" s="1670">
        <f>SUM(L129,L130,L139,L149,L150)</f>
        <v>6052285</v>
      </c>
    </row>
    <row r="152" spans="1:14" ht="12.75" customHeight="1" thickTop="1" x14ac:dyDescent="0.2">
      <c r="A152" s="2183" t="s">
        <v>1178</v>
      </c>
      <c r="B152" s="2184"/>
      <c r="C152" s="618"/>
      <c r="D152" s="618"/>
      <c r="E152" s="618"/>
      <c r="F152" s="618"/>
      <c r="G152" s="618"/>
      <c r="H152" s="618"/>
      <c r="I152" s="618"/>
      <c r="J152" s="616"/>
      <c r="K152" s="1684">
        <f>'Revenues 9-14'!D268-'Expenditures 15-22'!K151</f>
        <v>-15609</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8" t="s">
        <v>621</v>
      </c>
      <c r="B154" s="2170"/>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1843</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1842</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1844</v>
      </c>
      <c r="C158" s="616"/>
      <c r="D158" s="616"/>
      <c r="E158" s="616"/>
      <c r="F158" s="616"/>
      <c r="G158" s="616"/>
      <c r="H158" s="467"/>
      <c r="I158" s="616"/>
      <c r="J158" s="616"/>
      <c r="K158" s="1671">
        <f>H158</f>
        <v>0</v>
      </c>
      <c r="L158" s="467"/>
      <c r="M158" s="619"/>
      <c r="N158" s="619"/>
    </row>
    <row r="159" spans="1:14" s="620" customFormat="1" ht="12" x14ac:dyDescent="0.2">
      <c r="A159" s="1826" t="s">
        <v>1845</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1846</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2794562</v>
      </c>
      <c r="I169" s="616"/>
      <c r="J169" s="616"/>
      <c r="K169" s="1671">
        <f>SUM(C169:H169)</f>
        <v>2794562</v>
      </c>
      <c r="L169" s="656">
        <v>2794565</v>
      </c>
    </row>
    <row r="170" spans="1:14" ht="33.75" customHeight="1" x14ac:dyDescent="0.2">
      <c r="A170" s="669" t="s">
        <v>1670</v>
      </c>
      <c r="B170" s="671" t="s">
        <v>31</v>
      </c>
      <c r="C170" s="616"/>
      <c r="D170" s="616"/>
      <c r="E170" s="616"/>
      <c r="F170" s="616"/>
      <c r="G170" s="616"/>
      <c r="H170" s="569">
        <v>3905138</v>
      </c>
      <c r="I170" s="616"/>
      <c r="J170" s="616"/>
      <c r="K170" s="1671">
        <f>SUM(C170:J170)</f>
        <v>3905138</v>
      </c>
      <c r="L170" s="569">
        <v>3905140</v>
      </c>
    </row>
    <row r="171" spans="1:14" ht="15.75" customHeight="1" x14ac:dyDescent="0.2">
      <c r="A171" s="621" t="s">
        <v>766</v>
      </c>
      <c r="B171" s="672" t="s">
        <v>84</v>
      </c>
      <c r="C171" s="616"/>
      <c r="D171" s="616"/>
      <c r="E171" s="466"/>
      <c r="F171" s="616"/>
      <c r="G171" s="616"/>
      <c r="H171" s="569">
        <v>3309</v>
      </c>
      <c r="I171" s="477"/>
      <c r="J171" s="616"/>
      <c r="K171" s="1671">
        <f>SUM(C171:J171)</f>
        <v>3309</v>
      </c>
      <c r="L171" s="569">
        <v>3000</v>
      </c>
    </row>
    <row r="172" spans="1:14" ht="12.75" customHeight="1" thickBot="1" x14ac:dyDescent="0.25">
      <c r="A172" s="1668" t="s">
        <v>638</v>
      </c>
      <c r="B172" s="1669" t="s">
        <v>492</v>
      </c>
      <c r="C172" s="616"/>
      <c r="D172" s="616"/>
      <c r="E172" s="1677">
        <f>SUM(E168,E169,E170,E171)</f>
        <v>0</v>
      </c>
      <c r="F172" s="616"/>
      <c r="G172" s="616"/>
      <c r="H172" s="1677">
        <f>SUM(H168,H169,H170,H171)</f>
        <v>6703009</v>
      </c>
      <c r="I172" s="638"/>
      <c r="J172" s="616"/>
      <c r="K172" s="1677">
        <f>SUM(K168,K169,K170,K171)</f>
        <v>6703009</v>
      </c>
      <c r="L172" s="1677">
        <f>SUM(L168,L169,L170,L171)</f>
        <v>6702705</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6703009</v>
      </c>
      <c r="I174" s="638"/>
      <c r="J174" s="616"/>
      <c r="K174" s="1677">
        <f>SUM(K160,K172,K173)</f>
        <v>6703009</v>
      </c>
      <c r="L174" s="1677">
        <f>SUM(L160,L172,L173)</f>
        <v>6702705</v>
      </c>
    </row>
    <row r="175" spans="1:14" ht="13.5" thickTop="1" x14ac:dyDescent="0.2">
      <c r="A175" s="2190" t="s">
        <v>996</v>
      </c>
      <c r="B175" s="2191"/>
      <c r="C175" s="616"/>
      <c r="D175" s="616"/>
      <c r="E175" s="616"/>
      <c r="F175" s="616"/>
      <c r="G175" s="616"/>
      <c r="H175" s="618"/>
      <c r="I175" s="616"/>
      <c r="J175" s="616"/>
      <c r="K175" s="1684">
        <f>'Revenues 9-14'!E268-'Expenditures 15-22'!K174</f>
        <v>-1942628</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2056</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2595263</v>
      </c>
      <c r="D182" s="466">
        <v>729573</v>
      </c>
      <c r="E182" s="466">
        <v>1309380</v>
      </c>
      <c r="F182" s="466">
        <v>403390</v>
      </c>
      <c r="G182" s="466"/>
      <c r="H182" s="466">
        <v>3658</v>
      </c>
      <c r="I182" s="467">
        <v>279</v>
      </c>
      <c r="J182" s="467"/>
      <c r="K182" s="1671">
        <f>SUM(C182:J182)</f>
        <v>5041543</v>
      </c>
      <c r="L182" s="466">
        <v>5179638</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2595263</v>
      </c>
      <c r="D184" s="1677">
        <f t="shared" ref="D184:J184" si="17">SUM(D180,D182,D183)</f>
        <v>729573</v>
      </c>
      <c r="E184" s="1677">
        <f t="shared" si="17"/>
        <v>1309380</v>
      </c>
      <c r="F184" s="1677">
        <f t="shared" si="17"/>
        <v>403390</v>
      </c>
      <c r="G184" s="1677">
        <f t="shared" si="17"/>
        <v>0</v>
      </c>
      <c r="H184" s="1677">
        <f t="shared" si="17"/>
        <v>3658</v>
      </c>
      <c r="I184" s="1677">
        <f t="shared" si="17"/>
        <v>279</v>
      </c>
      <c r="J184" s="1677">
        <f t="shared" si="17"/>
        <v>0</v>
      </c>
      <c r="K184" s="1677">
        <f>SUM(K180,K182,K183)</f>
        <v>5041543</v>
      </c>
      <c r="L184" s="1677">
        <f>SUM(L180, L182:L183)</f>
        <v>5179638</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2595263</v>
      </c>
      <c r="D210" s="1670">
        <f>SUM(D184,D185)</f>
        <v>729573</v>
      </c>
      <c r="E210" s="1670">
        <f>SUM(E184,E185,E196)</f>
        <v>1309380</v>
      </c>
      <c r="F210" s="1670">
        <f>SUM(F184,F185)</f>
        <v>403390</v>
      </c>
      <c r="G210" s="1670">
        <f>SUM(G184,G185)</f>
        <v>0</v>
      </c>
      <c r="H210" s="1670">
        <f>SUM(H184,H185,H196,H208,H209)</f>
        <v>3658</v>
      </c>
      <c r="I210" s="1670">
        <f>SUM(I184,I185)</f>
        <v>279</v>
      </c>
      <c r="J210" s="1670">
        <f>SUM(J184,J185)</f>
        <v>0</v>
      </c>
      <c r="K210" s="1671">
        <f>SUM(K184,K185,K196,K208,K209)</f>
        <v>5041543</v>
      </c>
      <c r="L210" s="1670">
        <f>SUM(L184,L185,L196,L208,L209)</f>
        <v>5179638</v>
      </c>
    </row>
    <row r="211" spans="1:14" ht="13.5" thickTop="1" x14ac:dyDescent="0.2">
      <c r="A211" s="2190" t="s">
        <v>996</v>
      </c>
      <c r="B211" s="2191"/>
      <c r="C211" s="618"/>
      <c r="D211" s="618"/>
      <c r="E211" s="618"/>
      <c r="F211" s="618"/>
      <c r="G211" s="618"/>
      <c r="H211" s="618"/>
      <c r="I211" s="616"/>
      <c r="J211" s="616"/>
      <c r="K211" s="1684">
        <f>'Revenues 9-14'!F268-'Expenditures 15-22'!K210</f>
        <v>87111</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5" t="s">
        <v>965</v>
      </c>
      <c r="B213" s="2186"/>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431834</v>
      </c>
      <c r="E215" s="616"/>
      <c r="F215" s="616"/>
      <c r="G215" s="616"/>
      <c r="H215" s="616"/>
      <c r="I215" s="616"/>
      <c r="J215" s="616"/>
      <c r="K215" s="1671">
        <f>D215</f>
        <v>431834</v>
      </c>
      <c r="L215" s="466">
        <v>80178</v>
      </c>
    </row>
    <row r="216" spans="1:14" x14ac:dyDescent="0.2">
      <c r="A216" s="1504" t="s">
        <v>163</v>
      </c>
      <c r="B216" s="614" t="s">
        <v>967</v>
      </c>
      <c r="C216" s="616"/>
      <c r="D216" s="467">
        <v>20588</v>
      </c>
      <c r="E216" s="616"/>
      <c r="F216" s="616"/>
      <c r="G216" s="616"/>
      <c r="H216" s="616"/>
      <c r="I216" s="616"/>
      <c r="J216" s="616"/>
      <c r="K216" s="1671">
        <f t="shared" ref="K216:K228" si="19">D216</f>
        <v>20588</v>
      </c>
      <c r="L216" s="466">
        <v>422228</v>
      </c>
    </row>
    <row r="217" spans="1:14" x14ac:dyDescent="0.2">
      <c r="A217" s="1504" t="s">
        <v>164</v>
      </c>
      <c r="B217" s="614">
        <v>1200</v>
      </c>
      <c r="C217" s="616"/>
      <c r="D217" s="466">
        <v>362593</v>
      </c>
      <c r="E217" s="616"/>
      <c r="F217" s="616"/>
      <c r="G217" s="616"/>
      <c r="H217" s="616"/>
      <c r="I217" s="616"/>
      <c r="J217" s="616"/>
      <c r="K217" s="1671">
        <f t="shared" si="19"/>
        <v>362593</v>
      </c>
      <c r="L217" s="466">
        <v>443352</v>
      </c>
    </row>
    <row r="218" spans="1:14" x14ac:dyDescent="0.2">
      <c r="A218" s="1504" t="s">
        <v>278</v>
      </c>
      <c r="B218" s="614" t="s">
        <v>968</v>
      </c>
      <c r="C218" s="616"/>
      <c r="D218" s="467">
        <v>38478</v>
      </c>
      <c r="E218" s="616"/>
      <c r="F218" s="616"/>
      <c r="G218" s="616"/>
      <c r="H218" s="616"/>
      <c r="I218" s="616"/>
      <c r="J218" s="616"/>
      <c r="K218" s="1671">
        <f t="shared" si="19"/>
        <v>38478</v>
      </c>
      <c r="L218" s="466">
        <v>41367</v>
      </c>
    </row>
    <row r="219" spans="1:14" x14ac:dyDescent="0.2">
      <c r="A219" s="1504" t="s">
        <v>279</v>
      </c>
      <c r="B219" s="614">
        <v>1250</v>
      </c>
      <c r="C219" s="616"/>
      <c r="D219" s="466">
        <v>169</v>
      </c>
      <c r="E219" s="616"/>
      <c r="F219" s="616"/>
      <c r="G219" s="616"/>
      <c r="H219" s="616"/>
      <c r="I219" s="616"/>
      <c r="J219" s="616"/>
      <c r="K219" s="1671">
        <f t="shared" si="19"/>
        <v>169</v>
      </c>
      <c r="L219" s="466">
        <v>0</v>
      </c>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v>10408</v>
      </c>
      <c r="E223" s="616"/>
      <c r="F223" s="616"/>
      <c r="G223" s="616"/>
      <c r="H223" s="616"/>
      <c r="I223" s="616"/>
      <c r="J223" s="616"/>
      <c r="K223" s="1671">
        <f t="shared" si="19"/>
        <v>10408</v>
      </c>
      <c r="L223" s="466">
        <v>9167</v>
      </c>
    </row>
    <row r="224" spans="1:14" x14ac:dyDescent="0.2">
      <c r="A224" s="1504" t="s">
        <v>964</v>
      </c>
      <c r="B224" s="614">
        <v>1600</v>
      </c>
      <c r="C224" s="616"/>
      <c r="D224" s="466">
        <v>12137</v>
      </c>
      <c r="E224" s="616"/>
      <c r="F224" s="616"/>
      <c r="G224" s="616"/>
      <c r="H224" s="616"/>
      <c r="I224" s="616"/>
      <c r="J224" s="616"/>
      <c r="K224" s="1671">
        <f t="shared" si="19"/>
        <v>12137</v>
      </c>
      <c r="L224" s="466">
        <v>12541</v>
      </c>
    </row>
    <row r="225" spans="1:12" x14ac:dyDescent="0.2">
      <c r="A225" s="1504" t="s">
        <v>987</v>
      </c>
      <c r="B225" s="614">
        <v>1650</v>
      </c>
      <c r="C225" s="616"/>
      <c r="D225" s="466">
        <v>10254</v>
      </c>
      <c r="E225" s="616"/>
      <c r="F225" s="616"/>
      <c r="G225" s="616"/>
      <c r="H225" s="616"/>
      <c r="I225" s="616"/>
      <c r="J225" s="616"/>
      <c r="K225" s="1671">
        <f t="shared" si="19"/>
        <v>10254</v>
      </c>
      <c r="L225" s="466">
        <v>9412</v>
      </c>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v>78551</v>
      </c>
      <c r="E227" s="616"/>
      <c r="F227" s="616"/>
      <c r="G227" s="616"/>
      <c r="H227" s="616"/>
      <c r="I227" s="616"/>
      <c r="J227" s="616"/>
      <c r="K227" s="1671">
        <f t="shared" si="19"/>
        <v>78551</v>
      </c>
      <c r="L227" s="466">
        <v>62064</v>
      </c>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965012</v>
      </c>
      <c r="E229" s="616"/>
      <c r="F229" s="616"/>
      <c r="G229" s="616"/>
      <c r="H229" s="616"/>
      <c r="I229" s="616"/>
      <c r="J229" s="616"/>
      <c r="K229" s="1670">
        <f>SUM(K215:K228)</f>
        <v>965012</v>
      </c>
      <c r="L229" s="1670">
        <f>SUM(L215:L228)</f>
        <v>1080309</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16106</v>
      </c>
      <c r="E232" s="616"/>
      <c r="F232" s="616"/>
      <c r="G232" s="616"/>
      <c r="H232" s="616"/>
      <c r="I232" s="616"/>
      <c r="J232" s="616"/>
      <c r="K232" s="1671">
        <f t="shared" ref="K232:K237" si="20">D232</f>
        <v>16106</v>
      </c>
      <c r="L232" s="466">
        <v>17298</v>
      </c>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v>184011</v>
      </c>
      <c r="E234" s="616"/>
      <c r="F234" s="616"/>
      <c r="G234" s="616"/>
      <c r="H234" s="616"/>
      <c r="I234" s="616"/>
      <c r="J234" s="616"/>
      <c r="K234" s="1671">
        <f t="shared" si="20"/>
        <v>184011</v>
      </c>
      <c r="L234" s="466">
        <v>170341</v>
      </c>
    </row>
    <row r="235" spans="1:12" x14ac:dyDescent="0.2">
      <c r="A235" s="1504" t="s">
        <v>199</v>
      </c>
      <c r="B235" s="614">
        <v>2140</v>
      </c>
      <c r="C235" s="616"/>
      <c r="D235" s="466">
        <v>7874</v>
      </c>
      <c r="E235" s="616"/>
      <c r="F235" s="616"/>
      <c r="G235" s="616"/>
      <c r="H235" s="616"/>
      <c r="I235" s="616"/>
      <c r="J235" s="616"/>
      <c r="K235" s="1671">
        <f t="shared" si="20"/>
        <v>7874</v>
      </c>
      <c r="L235" s="466">
        <v>8445</v>
      </c>
    </row>
    <row r="236" spans="1:12" x14ac:dyDescent="0.2">
      <c r="A236" s="1504" t="s">
        <v>200</v>
      </c>
      <c r="B236" s="614">
        <v>2150</v>
      </c>
      <c r="C236" s="616"/>
      <c r="D236" s="466">
        <v>14303</v>
      </c>
      <c r="E236" s="616"/>
      <c r="F236" s="616"/>
      <c r="G236" s="616"/>
      <c r="H236" s="616"/>
      <c r="I236" s="616"/>
      <c r="J236" s="616"/>
      <c r="K236" s="1671">
        <f t="shared" si="20"/>
        <v>14303</v>
      </c>
      <c r="L236" s="466">
        <v>16670</v>
      </c>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222294</v>
      </c>
      <c r="E238" s="616"/>
      <c r="F238" s="616"/>
      <c r="G238" s="616"/>
      <c r="H238" s="616"/>
      <c r="I238" s="616"/>
      <c r="J238" s="616"/>
      <c r="K238" s="1670">
        <f>SUM(K232:K237)</f>
        <v>222294</v>
      </c>
      <c r="L238" s="1670">
        <f>SUM(L232:L237)</f>
        <v>212754</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24458</v>
      </c>
      <c r="E240" s="616"/>
      <c r="F240" s="616"/>
      <c r="G240" s="616"/>
      <c r="H240" s="616"/>
      <c r="I240" s="616"/>
      <c r="J240" s="616"/>
      <c r="K240" s="1672">
        <f>D240</f>
        <v>24458</v>
      </c>
      <c r="L240" s="481">
        <v>26775</v>
      </c>
    </row>
    <row r="241" spans="1:12" x14ac:dyDescent="0.2">
      <c r="A241" s="1504" t="s">
        <v>815</v>
      </c>
      <c r="B241" s="614">
        <v>2220</v>
      </c>
      <c r="C241" s="616"/>
      <c r="D241" s="466">
        <v>48600</v>
      </c>
      <c r="E241" s="616"/>
      <c r="F241" s="616"/>
      <c r="G241" s="616"/>
      <c r="H241" s="616"/>
      <c r="I241" s="616"/>
      <c r="J241" s="616"/>
      <c r="K241" s="1672">
        <f>D241</f>
        <v>48600</v>
      </c>
      <c r="L241" s="466">
        <v>50803</v>
      </c>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73058</v>
      </c>
      <c r="E243" s="616"/>
      <c r="F243" s="616"/>
      <c r="G243" s="616"/>
      <c r="H243" s="616"/>
      <c r="I243" s="616"/>
      <c r="J243" s="616"/>
      <c r="K243" s="1670">
        <f>SUM(K240:K242)</f>
        <v>73058</v>
      </c>
      <c r="L243" s="1670">
        <f>SUM(L240:L242)</f>
        <v>77578</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v>31208</v>
      </c>
      <c r="E246" s="616"/>
      <c r="F246" s="616"/>
      <c r="G246" s="616"/>
      <c r="H246" s="616"/>
      <c r="I246" s="616"/>
      <c r="J246" s="616"/>
      <c r="K246" s="1672">
        <f t="shared" ref="K246:K256" si="21">D246</f>
        <v>31208</v>
      </c>
      <c r="L246" s="466">
        <v>47432</v>
      </c>
    </row>
    <row r="247" spans="1:12" x14ac:dyDescent="0.2">
      <c r="A247" s="1504" t="s">
        <v>819</v>
      </c>
      <c r="B247" s="614">
        <v>2330</v>
      </c>
      <c r="C247" s="616"/>
      <c r="D247" s="466">
        <v>39898</v>
      </c>
      <c r="E247" s="616"/>
      <c r="F247" s="616"/>
      <c r="G247" s="616"/>
      <c r="H247" s="616"/>
      <c r="I247" s="616"/>
      <c r="J247" s="616"/>
      <c r="K247" s="1672">
        <f t="shared" si="21"/>
        <v>39898</v>
      </c>
      <c r="L247" s="466">
        <v>41172</v>
      </c>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1803</v>
      </c>
      <c r="B249" s="683" t="s">
        <v>282</v>
      </c>
      <c r="C249" s="616"/>
      <c r="D249" s="474"/>
      <c r="E249" s="616"/>
      <c r="F249" s="616"/>
      <c r="G249" s="616"/>
      <c r="H249" s="616"/>
      <c r="I249" s="616"/>
      <c r="J249" s="616"/>
      <c r="K249" s="1672">
        <f t="shared" si="21"/>
        <v>0</v>
      </c>
      <c r="L249" s="466"/>
    </row>
    <row r="250" spans="1:12" x14ac:dyDescent="0.2">
      <c r="A250" s="1505" t="s">
        <v>1804</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71106</v>
      </c>
      <c r="E257" s="616"/>
      <c r="F257" s="616"/>
      <c r="G257" s="616"/>
      <c r="H257" s="616"/>
      <c r="I257" s="616"/>
      <c r="J257" s="616"/>
      <c r="K257" s="1670">
        <f>SUM(K245:K256)</f>
        <v>71106</v>
      </c>
      <c r="L257" s="1670">
        <f>SUM(L245:L256)</f>
        <v>88604</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145771</v>
      </c>
      <c r="E259" s="616"/>
      <c r="F259" s="616"/>
      <c r="G259" s="616"/>
      <c r="H259" s="616"/>
      <c r="I259" s="616"/>
      <c r="J259" s="616"/>
      <c r="K259" s="1672">
        <f>D259</f>
        <v>145771</v>
      </c>
      <c r="L259" s="481">
        <v>155486</v>
      </c>
    </row>
    <row r="260" spans="1:14" s="597" customFormat="1" x14ac:dyDescent="0.2">
      <c r="A260" s="1522" t="s">
        <v>1802</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145771</v>
      </c>
      <c r="E261" s="616"/>
      <c r="F261" s="616"/>
      <c r="G261" s="616"/>
      <c r="H261" s="616"/>
      <c r="I261" s="616"/>
      <c r="J261" s="616"/>
      <c r="K261" s="1670">
        <f>SUM(K259:K260)</f>
        <v>145771</v>
      </c>
      <c r="L261" s="1670">
        <f>SUM(L259:L260)</f>
        <v>155486</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v>3091</v>
      </c>
      <c r="E263" s="616"/>
      <c r="F263" s="616"/>
      <c r="G263" s="616"/>
      <c r="H263" s="616"/>
      <c r="I263" s="616"/>
      <c r="J263" s="616"/>
      <c r="K263" s="1672">
        <f>D263</f>
        <v>3091</v>
      </c>
      <c r="L263" s="481">
        <v>3169</v>
      </c>
    </row>
    <row r="264" spans="1:14" x14ac:dyDescent="0.2">
      <c r="A264" s="1504" t="s">
        <v>463</v>
      </c>
      <c r="B264" s="685">
        <v>2520</v>
      </c>
      <c r="C264" s="616"/>
      <c r="D264" s="466">
        <v>101271</v>
      </c>
      <c r="E264" s="616"/>
      <c r="F264" s="616"/>
      <c r="G264" s="616"/>
      <c r="H264" s="616"/>
      <c r="I264" s="616"/>
      <c r="J264" s="616"/>
      <c r="K264" s="1672">
        <f t="shared" ref="K264:K269" si="22">D264</f>
        <v>101271</v>
      </c>
      <c r="L264" s="466">
        <v>108093</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328242</v>
      </c>
      <c r="E266" s="616"/>
      <c r="F266" s="616"/>
      <c r="G266" s="616"/>
      <c r="H266" s="616"/>
      <c r="I266" s="616"/>
      <c r="J266" s="616"/>
      <c r="K266" s="1672">
        <f t="shared" si="22"/>
        <v>328242</v>
      </c>
      <c r="L266" s="466">
        <v>352080</v>
      </c>
    </row>
    <row r="267" spans="1:14" x14ac:dyDescent="0.2">
      <c r="A267" s="1504" t="s">
        <v>953</v>
      </c>
      <c r="B267" s="614">
        <v>2550</v>
      </c>
      <c r="C267" s="616"/>
      <c r="D267" s="466">
        <v>473719</v>
      </c>
      <c r="E267" s="616"/>
      <c r="F267" s="616"/>
      <c r="G267" s="616"/>
      <c r="H267" s="616"/>
      <c r="I267" s="616"/>
      <c r="J267" s="616"/>
      <c r="K267" s="1672">
        <f t="shared" si="22"/>
        <v>473719</v>
      </c>
      <c r="L267" s="466">
        <v>511186</v>
      </c>
    </row>
    <row r="268" spans="1:14" x14ac:dyDescent="0.2">
      <c r="A268" s="1504" t="s">
        <v>100</v>
      </c>
      <c r="B268" s="614">
        <v>2560</v>
      </c>
      <c r="C268" s="616"/>
      <c r="D268" s="466">
        <v>6262</v>
      </c>
      <c r="E268" s="616"/>
      <c r="F268" s="616"/>
      <c r="G268" s="616"/>
      <c r="H268" s="616"/>
      <c r="I268" s="616"/>
      <c r="J268" s="616"/>
      <c r="K268" s="1672">
        <f t="shared" si="22"/>
        <v>6262</v>
      </c>
      <c r="L268" s="466">
        <v>792</v>
      </c>
    </row>
    <row r="269" spans="1:14" x14ac:dyDescent="0.2">
      <c r="A269" s="1504" t="s">
        <v>101</v>
      </c>
      <c r="B269" s="614">
        <v>2570</v>
      </c>
      <c r="C269" s="616"/>
      <c r="D269" s="466">
        <v>9067</v>
      </c>
      <c r="E269" s="616"/>
      <c r="F269" s="616"/>
      <c r="G269" s="616"/>
      <c r="H269" s="616"/>
      <c r="I269" s="616"/>
      <c r="J269" s="616"/>
      <c r="K269" s="1672">
        <f t="shared" si="22"/>
        <v>9067</v>
      </c>
      <c r="L269" s="466">
        <v>10790</v>
      </c>
    </row>
    <row r="270" spans="1:14" ht="12.75" customHeight="1" thickBot="1" x14ac:dyDescent="0.25">
      <c r="A270" s="1668" t="s">
        <v>719</v>
      </c>
      <c r="B270" s="1675" t="s">
        <v>35</v>
      </c>
      <c r="C270" s="616"/>
      <c r="D270" s="1670">
        <f>SUM(D263:D269)</f>
        <v>921652</v>
      </c>
      <c r="E270" s="616"/>
      <c r="F270" s="616"/>
      <c r="G270" s="616"/>
      <c r="H270" s="616"/>
      <c r="I270" s="616"/>
      <c r="J270" s="616"/>
      <c r="K270" s="1670">
        <f>SUM(K263:K269)</f>
        <v>921652</v>
      </c>
      <c r="L270" s="1670">
        <f>SUM(L263:L269)</f>
        <v>986110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v>14937</v>
      </c>
      <c r="E274" s="616"/>
      <c r="F274" s="616"/>
      <c r="G274" s="616"/>
      <c r="H274" s="616"/>
      <c r="I274" s="616"/>
      <c r="J274" s="616"/>
      <c r="K274" s="1672">
        <f>D274</f>
        <v>14937</v>
      </c>
      <c r="L274" s="466">
        <v>15451</v>
      </c>
    </row>
    <row r="275" spans="1:12" x14ac:dyDescent="0.2">
      <c r="A275" s="1504" t="s">
        <v>403</v>
      </c>
      <c r="B275" s="614">
        <v>2640</v>
      </c>
      <c r="C275" s="616"/>
      <c r="D275" s="466">
        <v>57720</v>
      </c>
      <c r="E275" s="616"/>
      <c r="F275" s="616"/>
      <c r="G275" s="616"/>
      <c r="H275" s="616"/>
      <c r="I275" s="616"/>
      <c r="J275" s="616"/>
      <c r="K275" s="1672">
        <f>D275</f>
        <v>57720</v>
      </c>
      <c r="L275" s="466">
        <v>82195</v>
      </c>
    </row>
    <row r="276" spans="1:12" x14ac:dyDescent="0.2">
      <c r="A276" s="1504" t="s">
        <v>404</v>
      </c>
      <c r="B276" s="614">
        <v>2660</v>
      </c>
      <c r="C276" s="616"/>
      <c r="D276" s="466">
        <v>176918</v>
      </c>
      <c r="E276" s="616"/>
      <c r="F276" s="616"/>
      <c r="G276" s="616"/>
      <c r="H276" s="616"/>
      <c r="I276" s="616"/>
      <c r="J276" s="616"/>
      <c r="K276" s="1672">
        <f>D276</f>
        <v>176918</v>
      </c>
      <c r="L276" s="466">
        <v>175180</v>
      </c>
    </row>
    <row r="277" spans="1:12" ht="12.75" customHeight="1" thickBot="1" x14ac:dyDescent="0.25">
      <c r="A277" s="1691" t="s">
        <v>37</v>
      </c>
      <c r="B277" s="1669" t="s">
        <v>36</v>
      </c>
      <c r="C277" s="616"/>
      <c r="D277" s="1670">
        <f>SUM(D272:D276)</f>
        <v>249575</v>
      </c>
      <c r="E277" s="616"/>
      <c r="F277" s="616"/>
      <c r="G277" s="616"/>
      <c r="H277" s="616"/>
      <c r="I277" s="616"/>
      <c r="J277" s="616"/>
      <c r="K277" s="1670">
        <f>SUM(K272:K276)</f>
        <v>249575</v>
      </c>
      <c r="L277" s="1670">
        <f>SUM(L272:L276)</f>
        <v>272826</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1683456</v>
      </c>
      <c r="E279" s="616"/>
      <c r="F279" s="616"/>
      <c r="G279" s="616"/>
      <c r="H279" s="616"/>
      <c r="I279" s="616"/>
      <c r="J279" s="616"/>
      <c r="K279" s="1677">
        <f>SUM(K238,K243,K257,K261,K270,K277,K278)</f>
        <v>1683456</v>
      </c>
      <c r="L279" s="1677">
        <f>SUM(L238,L243,L257,L261,L270,L277,L278)</f>
        <v>1793358</v>
      </c>
    </row>
    <row r="280" spans="1:12" ht="15.75" customHeight="1" thickTop="1" thickBot="1" x14ac:dyDescent="0.25">
      <c r="A280" s="1624" t="s">
        <v>875</v>
      </c>
      <c r="B280" s="1613">
        <v>3000</v>
      </c>
      <c r="C280" s="616"/>
      <c r="D280" s="576">
        <v>6801</v>
      </c>
      <c r="E280" s="616"/>
      <c r="F280" s="616"/>
      <c r="G280" s="616"/>
      <c r="H280" s="616"/>
      <c r="I280" s="616"/>
      <c r="J280" s="616"/>
      <c r="K280" s="1679">
        <f>D280</f>
        <v>6801</v>
      </c>
      <c r="L280" s="576">
        <v>3620</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1842</v>
      </c>
      <c r="C282" s="616"/>
      <c r="D282" s="467"/>
      <c r="E282" s="616"/>
      <c r="F282" s="616"/>
      <c r="G282" s="616"/>
      <c r="H282" s="616"/>
      <c r="I282" s="616"/>
      <c r="J282" s="616"/>
      <c r="K282" s="1671">
        <f>D282</f>
        <v>0</v>
      </c>
      <c r="L282" s="467"/>
    </row>
    <row r="283" spans="1:12" x14ac:dyDescent="0.2">
      <c r="A283" s="1504" t="s">
        <v>304</v>
      </c>
      <c r="B283" s="614">
        <v>4120</v>
      </c>
      <c r="C283" s="616"/>
      <c r="D283" s="466">
        <v>115293</v>
      </c>
      <c r="E283" s="616"/>
      <c r="F283" s="616"/>
      <c r="G283" s="616"/>
      <c r="H283" s="616"/>
      <c r="I283" s="616"/>
      <c r="J283" s="616"/>
      <c r="K283" s="1671">
        <f>D283</f>
        <v>115293</v>
      </c>
      <c r="L283" s="466">
        <v>115300</v>
      </c>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115293</v>
      </c>
      <c r="E285" s="616"/>
      <c r="F285" s="616"/>
      <c r="G285" s="616"/>
      <c r="H285" s="616"/>
      <c r="I285" s="616"/>
      <c r="J285" s="616"/>
      <c r="K285" s="1670">
        <f>SUM(K282:K284)</f>
        <v>115293</v>
      </c>
      <c r="L285" s="1670">
        <f>SUM(L282:L284)</f>
        <v>115300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81" t="s">
        <v>505</v>
      </c>
      <c r="B295" s="2182"/>
      <c r="C295" s="616"/>
      <c r="D295" s="1670">
        <f>SUM(D229,D279,D280,D285)</f>
        <v>2770562</v>
      </c>
      <c r="E295" s="616"/>
      <c r="F295" s="616"/>
      <c r="G295" s="616"/>
      <c r="H295" s="1670">
        <f>H293</f>
        <v>0</v>
      </c>
      <c r="I295" s="616"/>
      <c r="J295" s="616"/>
      <c r="K295" s="1670">
        <f>SUM(K229,K279,K280,K285,K293,K294)</f>
        <v>2770562</v>
      </c>
      <c r="L295" s="1670">
        <f>SUM(L229,L279,L280,L285,L293,L294)</f>
        <v>2992587</v>
      </c>
    </row>
    <row r="296" spans="1:14" ht="13.5" thickTop="1" x14ac:dyDescent="0.2">
      <c r="A296" s="2190" t="s">
        <v>996</v>
      </c>
      <c r="B296" s="2191"/>
      <c r="C296" s="616"/>
      <c r="D296" s="618"/>
      <c r="E296" s="616"/>
      <c r="F296" s="616"/>
      <c r="G296" s="616"/>
      <c r="H296" s="687"/>
      <c r="I296" s="616"/>
      <c r="J296" s="616"/>
      <c r="K296" s="1684">
        <f>'Revenues 9-14'!G268-'Expenditures 15-22'!K295</f>
        <v>72187</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3" t="s">
        <v>143</v>
      </c>
      <c r="B298" s="2167"/>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v>1561</v>
      </c>
      <c r="F301" s="466"/>
      <c r="G301" s="466">
        <v>4746985</v>
      </c>
      <c r="H301" s="466"/>
      <c r="I301" s="467"/>
      <c r="J301" s="467"/>
      <c r="K301" s="1671">
        <f>SUM(C301:J301)</f>
        <v>4748546</v>
      </c>
      <c r="L301" s="467">
        <v>5110956</v>
      </c>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1561</v>
      </c>
      <c r="F303" s="1677">
        <f t="shared" si="23"/>
        <v>0</v>
      </c>
      <c r="G303" s="1677">
        <f t="shared" si="23"/>
        <v>4746985</v>
      </c>
      <c r="H303" s="1677">
        <f t="shared" si="23"/>
        <v>0</v>
      </c>
      <c r="I303" s="1677">
        <f t="shared" si="23"/>
        <v>0</v>
      </c>
      <c r="J303" s="1677">
        <f t="shared" si="23"/>
        <v>0</v>
      </c>
      <c r="K303" s="1677">
        <f t="shared" si="23"/>
        <v>4748546</v>
      </c>
      <c r="L303" s="1677">
        <f t="shared" si="23"/>
        <v>5110956</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1847</v>
      </c>
      <c r="B306" s="690" t="s">
        <v>1842</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8" t="s">
        <v>277</v>
      </c>
      <c r="B312" s="2179"/>
      <c r="C312" s="1670">
        <f>SUM(C303)</f>
        <v>0</v>
      </c>
      <c r="D312" s="1670">
        <f>SUM(D303)</f>
        <v>0</v>
      </c>
      <c r="E312" s="1670">
        <f>SUM(E303,E310)</f>
        <v>1561</v>
      </c>
      <c r="F312" s="1670">
        <f>SUM(F303)</f>
        <v>0</v>
      </c>
      <c r="G312" s="1670">
        <f>SUM(G303)</f>
        <v>4746985</v>
      </c>
      <c r="H312" s="1670">
        <f>SUM(H303,H310)</f>
        <v>0</v>
      </c>
      <c r="I312" s="1670">
        <f>SUM(I303)</f>
        <v>0</v>
      </c>
      <c r="J312" s="1670">
        <f>SUM(J303)</f>
        <v>0</v>
      </c>
      <c r="K312" s="1670">
        <f>SUM(K303,K310,K311)</f>
        <v>4748546</v>
      </c>
      <c r="L312" s="1670">
        <f>SUM(L303,L310,L311)</f>
        <v>5110956</v>
      </c>
      <c r="M312" s="665"/>
      <c r="N312" s="665"/>
    </row>
    <row r="313" spans="1:14" ht="13.5" thickTop="1" x14ac:dyDescent="0.2">
      <c r="A313" s="2174" t="s">
        <v>996</v>
      </c>
      <c r="B313" s="2175"/>
      <c r="C313" s="626"/>
      <c r="D313" s="626"/>
      <c r="E313" s="626"/>
      <c r="F313" s="626"/>
      <c r="G313" s="626"/>
      <c r="H313" s="626"/>
      <c r="I313" s="626"/>
      <c r="J313" s="626"/>
      <c r="K313" s="1685">
        <f>'Revenues 9-14'!H268-'Expenditures 15-22'!K312</f>
        <v>-4688283</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7" t="s">
        <v>149</v>
      </c>
      <c r="B315" s="2188"/>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9" t="s">
        <v>898</v>
      </c>
      <c r="B317" s="2188"/>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1803</v>
      </c>
      <c r="B320" s="698" t="s">
        <v>282</v>
      </c>
      <c r="C320" s="467"/>
      <c r="D320" s="467"/>
      <c r="E320" s="467">
        <v>20486</v>
      </c>
      <c r="F320" s="467"/>
      <c r="G320" s="467"/>
      <c r="H320" s="467"/>
      <c r="I320" s="467"/>
      <c r="J320" s="467"/>
      <c r="K320" s="1671">
        <f t="shared" ref="K320:K327" si="24">SUM(C320:J320)</f>
        <v>20486</v>
      </c>
      <c r="L320" s="467">
        <v>21350</v>
      </c>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20486</v>
      </c>
      <c r="F330" s="1670">
        <f t="shared" si="25"/>
        <v>0</v>
      </c>
      <c r="G330" s="1670">
        <f t="shared" si="25"/>
        <v>0</v>
      </c>
      <c r="H330" s="1670">
        <f t="shared" si="25"/>
        <v>0</v>
      </c>
      <c r="I330" s="1670">
        <f t="shared" si="25"/>
        <v>0</v>
      </c>
      <c r="J330" s="1670">
        <f t="shared" si="25"/>
        <v>0</v>
      </c>
      <c r="K330" s="1670">
        <f>SUM(K319:K329)</f>
        <v>20486</v>
      </c>
      <c r="L330" s="1670">
        <f>SUM(L319:L329)</f>
        <v>21350</v>
      </c>
      <c r="M330" s="665"/>
      <c r="N330" s="665"/>
    </row>
    <row r="331" spans="1:14" s="674" customFormat="1" ht="12.75" customHeight="1" thickTop="1" x14ac:dyDescent="0.2">
      <c r="A331" s="1831" t="s">
        <v>1848</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1842</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1844</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1849</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20486</v>
      </c>
      <c r="F342" s="1670">
        <f>SUM(F330)</f>
        <v>0</v>
      </c>
      <c r="G342" s="1670">
        <f>SUM(G330)</f>
        <v>0</v>
      </c>
      <c r="H342" s="1670">
        <f>SUM(H330,H334,H340)</f>
        <v>0</v>
      </c>
      <c r="I342" s="1670">
        <f>SUM(I330)</f>
        <v>0</v>
      </c>
      <c r="J342" s="1670">
        <f>SUM(J330)</f>
        <v>0</v>
      </c>
      <c r="K342" s="1670">
        <f>SUM(K330,K334,K340)</f>
        <v>20486</v>
      </c>
      <c r="L342" s="1677">
        <f>SUM(L330,L334,L340,L341)</f>
        <v>21350</v>
      </c>
    </row>
    <row r="343" spans="1:14" ht="12.75" customHeight="1" thickTop="1" x14ac:dyDescent="0.2">
      <c r="A343" s="2176" t="s">
        <v>996</v>
      </c>
      <c r="B343" s="2177"/>
      <c r="C343" s="616"/>
      <c r="D343" s="616"/>
      <c r="E343" s="616"/>
      <c r="F343" s="616"/>
      <c r="G343" s="616"/>
      <c r="H343" s="616"/>
      <c r="I343" s="616"/>
      <c r="J343" s="616"/>
      <c r="K343" s="1684">
        <f>'Revenues 9-14'!J268-'Expenditures 15-22'!K342</f>
        <v>-1597</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6" t="s">
        <v>966</v>
      </c>
      <c r="B345" s="2167"/>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1850</v>
      </c>
      <c r="B354" s="683" t="s">
        <v>1842</v>
      </c>
      <c r="C354" s="616"/>
      <c r="D354" s="616"/>
      <c r="E354" s="616"/>
      <c r="F354" s="616"/>
      <c r="G354" s="616"/>
      <c r="H354" s="474"/>
      <c r="I354" s="701"/>
      <c r="J354" s="616"/>
      <c r="K354" s="1699">
        <f>H354</f>
        <v>0</v>
      </c>
      <c r="L354" s="471"/>
    </row>
    <row r="355" spans="1:14" ht="12.75" customHeight="1" x14ac:dyDescent="0.2">
      <c r="A355" s="1513" t="s">
        <v>1851</v>
      </c>
      <c r="B355" s="690" t="s">
        <v>1844</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90" t="s">
        <v>996</v>
      </c>
      <c r="B368" s="2191"/>
      <c r="C368" s="654"/>
      <c r="D368" s="654"/>
      <c r="E368" s="626"/>
      <c r="F368" s="626"/>
      <c r="G368" s="626"/>
      <c r="H368" s="626"/>
      <c r="I368" s="626"/>
      <c r="J368" s="623"/>
      <c r="K368" s="1671">
        <f>'Revenues 9-14'!K268-'Expenditures 15-22'!K367</f>
        <v>4</v>
      </c>
      <c r="L368" s="654"/>
    </row>
  </sheetData>
  <sheetProtection algorithmName="SHA-512" hashValue="jzzNE6gaZWET+y6T5aosJtCATdA6zyfwuTqC+CTODp4dbJrQt41UnBxqpssdLhxOdI8LmMLRZDYFsF1oB0M7Iw==" saltValue="LNHf/VcevKDKMmwcM5/SP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microsoft.com/office/2006/metadata/properties"/>
    <ds:schemaRef ds:uri="http://purl.org/dc/terms/"/>
    <ds:schemaRef ds:uri="6ce3111e-7420-4802-b50a-75d4e9a0b980"/>
    <ds:schemaRef ds:uri="http://schemas.microsoft.com/office/infopath/2007/PartnerControls"/>
    <ds:schemaRef ds:uri="http://schemas.openxmlformats.org/package/2006/metadata/core-properties"/>
    <ds:schemaRef ds:uri="d21dc803-237d-4c68-8692-8d731fd29118"/>
    <ds:schemaRef ds:uri="http://purl.org/dc/elements/1.1/"/>
    <ds:schemaRef ds:uri="4d435f69-8686-490b-bd6d-b153bf22ab50"/>
    <ds:schemaRef ds:uri="http://schemas.microsoft.com/office/2006/documentManagement/types"/>
    <ds:schemaRef ds:uri="http://schemas.microsoft.com/sharepoint/v3"/>
    <ds:schemaRef ds:uri="http://www.w3.org/XML/1998/namespace"/>
    <ds:schemaRef ds:uri="http://purl.org/dc/dcmityp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SEFA NOTES</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HEMBERGER MICHELLE</cp:lastModifiedBy>
  <cp:lastPrinted>2019-10-09T16:30:55Z</cp:lastPrinted>
  <dcterms:created xsi:type="dcterms:W3CDTF">2003-10-29T19:06:34Z</dcterms:created>
  <dcterms:modified xsi:type="dcterms:W3CDTF">2019-12-03T18:51:32Z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Version">
    <vt:i4>20</vt:i4>
  </property>
  <property fmtid="{D5CDD505-2E9C-101B-9397-08002B2CF9AE}" pid="5" name="tabName">
    <vt:lpwstr>AFR</vt:lpwstr>
  </property>
  <property fmtid="{D5CDD505-2E9C-101B-9397-08002B2CF9AE}" pid="6" name="tabIndex">
    <vt:lpwstr>145</vt:lpwstr>
  </property>
  <property fmtid="{D5CDD505-2E9C-101B-9397-08002B2CF9AE}" pid="7" name="workpaperIndex">
    <vt:lpwstr/>
  </property>
</Properties>
</file>