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22895B3-C71F-45D2-A916-C4C82860CD9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7" i="183" l="1"/>
  <c r="I27" i="183"/>
  <c r="L17" i="183"/>
  <c r="L16" i="183"/>
  <c r="E16" i="183"/>
  <c r="E11" i="108" l="1"/>
  <c r="L22" i="179"/>
  <c r="L19" i="179"/>
  <c r="I17" i="184"/>
  <c r="G17" i="184"/>
  <c r="F17" i="184"/>
  <c r="E17" i="184"/>
  <c r="I26" i="183"/>
  <c r="F26" i="183"/>
  <c r="E26" i="183"/>
  <c r="I21" i="179"/>
  <c r="G21" i="179"/>
  <c r="F21" i="179"/>
  <c r="E21" i="179"/>
  <c r="F27" i="179"/>
  <c r="F27" i="183" s="1"/>
  <c r="E26" i="179"/>
  <c r="E27" i="183" s="1"/>
  <c r="G19" i="184" l="1"/>
  <c r="L21" i="179"/>
  <c r="E19" i="184"/>
  <c r="F19" i="184"/>
  <c r="I19" i="184"/>
  <c r="D45" i="174" s="1"/>
  <c r="L17" i="184"/>
  <c r="L15" i="184"/>
  <c r="L14" i="184"/>
  <c r="B4" i="184"/>
  <c r="L27" i="183"/>
  <c r="L25" i="183"/>
  <c r="L24" i="183"/>
  <c r="L22" i="183"/>
  <c r="L15" i="183"/>
  <c r="L14" i="183"/>
  <c r="L13" i="183"/>
  <c r="B4" i="183"/>
  <c r="L19" i="184"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15" i="179"/>
  <c r="L14" i="179"/>
  <c r="L13" i="179"/>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84"/>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J21" i="12"/>
  <c r="J23" i="12" s="1"/>
  <c r="B7729" i="106"/>
  <c r="D7729" i="106" s="1"/>
  <c r="B7734" i="106"/>
  <c r="D7734" i="106" s="1"/>
  <c r="B7726" i="106"/>
  <c r="B30" i="36"/>
  <c r="B33" i="36" s="1"/>
  <c r="B43" i="36" s="1"/>
  <c r="B56" i="36" s="1"/>
  <c r="B66" i="36" s="1"/>
  <c r="B70" i="36" s="1"/>
  <c r="B74" i="36" s="1"/>
  <c r="L127" i="29"/>
  <c r="L129" i="29" s="1"/>
  <c r="L139" i="29"/>
  <c r="L149" i="29"/>
  <c r="I7" i="145"/>
  <c r="I6" i="145"/>
  <c r="D78" i="36"/>
  <c r="K185" i="29"/>
  <c r="B2836" i="106" s="1"/>
  <c r="D2836" i="106"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B1312" i="106"/>
  <c r="D1312" i="106" s="1"/>
  <c r="B1315" i="106"/>
  <c r="D1315" i="106" s="1"/>
  <c r="D1319" i="106"/>
  <c r="D1320" i="106"/>
  <c r="D1321" i="106"/>
  <c r="D1322" i="106"/>
  <c r="B1323" i="106"/>
  <c r="D1323" i="106" s="1"/>
  <c r="K169" i="29"/>
  <c r="B1326" i="106" s="1"/>
  <c r="D1326" i="106" s="1"/>
  <c r="K170" i="29"/>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4" i="106"/>
  <c r="D3374"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127" i="106"/>
  <c r="D5127"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9" i="106"/>
  <c r="D5879"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42" i="106"/>
  <c r="D6142" i="106" s="1"/>
  <c r="B6147" i="106"/>
  <c r="D6147"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24" i="106"/>
  <c r="D6224" i="106" s="1"/>
  <c r="J18" i="4"/>
  <c r="B6228" i="106" s="1"/>
  <c r="D6228"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22" i="106"/>
  <c r="D7022" i="106" s="1"/>
  <c r="B7023" i="106"/>
  <c r="D7023" i="106" s="1"/>
  <c r="B7053" i="106"/>
  <c r="D7053" i="106" s="1"/>
  <c r="D7056" i="106"/>
  <c r="B7057" i="106"/>
  <c r="D7057" i="106" s="1"/>
  <c r="B7058" i="106"/>
  <c r="D7058" i="106" s="1"/>
  <c r="B7065" i="106"/>
  <c r="D7065" i="106" s="1"/>
  <c r="B7066" i="106"/>
  <c r="D7066" i="106" s="1"/>
  <c r="A7245" i="106"/>
  <c r="A7246" i="106" s="1"/>
  <c r="A7247" i="106" s="1"/>
  <c r="A7248" i="106" s="1"/>
  <c r="A7249" i="106" s="1"/>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1" i="36"/>
  <c r="D32" i="36"/>
  <c r="D39" i="36"/>
  <c r="D40" i="36"/>
  <c r="D41" i="36"/>
  <c r="D4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L5" i="11" s="1"/>
  <c r="B2056" i="106" s="1"/>
  <c r="D2056" i="106" s="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F14" i="4"/>
  <c r="B2597" i="106" s="1"/>
  <c r="D2597" i="106" s="1"/>
  <c r="D7" i="118"/>
  <c r="D8" i="118"/>
  <c r="D9" i="118"/>
  <c r="H29" i="118"/>
  <c r="D11" i="37"/>
  <c r="D24" i="37"/>
  <c r="B4270" i="106" s="1"/>
  <c r="D4270" i="106" s="1"/>
  <c r="N22" i="3" l="1"/>
  <c r="B283" i="106" s="1"/>
  <c r="D283" i="106" s="1"/>
  <c r="H28" i="118"/>
  <c r="K28" i="118" s="1"/>
  <c r="O27" i="118" s="1"/>
  <c r="O29" i="118" s="1"/>
  <c r="L22" i="37"/>
  <c r="J22" i="37"/>
  <c r="D22" i="37"/>
  <c r="D69" i="36"/>
  <c r="F19" i="7"/>
  <c r="B1807" i="106" s="1"/>
  <c r="D180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B2895" i="106"/>
  <c r="D2895" i="106" s="1"/>
  <c r="L15" i="11"/>
  <c r="B3459" i="106" s="1"/>
  <c r="D3459" i="106" s="1"/>
  <c r="H33" i="118"/>
  <c r="L367" i="29"/>
  <c r="L13" i="11"/>
  <c r="B2060" i="106" s="1"/>
  <c r="D2060" i="106" s="1"/>
  <c r="L342" i="29"/>
  <c r="I24" i="12"/>
  <c r="L312" i="29"/>
  <c r="F21" i="8"/>
  <c r="K24" i="12"/>
  <c r="B1329" i="106"/>
  <c r="D1329" i="106" s="1"/>
  <c r="F61" i="34"/>
  <c r="J90" i="28"/>
  <c r="B79" i="36"/>
  <c r="B77" i="36"/>
  <c r="F16" i="11"/>
  <c r="B2031" i="106" s="1"/>
  <c r="D2031"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L151" i="29"/>
  <c r="J24" i="12"/>
  <c r="B7730" i="106"/>
  <c r="D7730" i="106" s="1"/>
  <c r="B7270" i="106"/>
  <c r="M23" i="3" l="1"/>
  <c r="B273" i="106"/>
  <c r="D273" i="106" s="1"/>
  <c r="L16" i="11"/>
  <c r="B2061" i="106" s="1"/>
  <c r="D2061" i="106" s="1"/>
  <c r="B2914" i="106"/>
  <c r="D2914" i="106" s="1"/>
  <c r="L34" i="3"/>
  <c r="L114" i="29"/>
  <c r="D7255" i="106"/>
  <c r="B1996" i="106"/>
  <c r="D1996" i="106" s="1"/>
  <c r="I26" i="12"/>
  <c r="B7741" i="106" s="1"/>
  <c r="D7741" i="106" s="1"/>
  <c r="B7733" i="106"/>
  <c r="D7733" i="106" s="1"/>
  <c r="K26" i="12"/>
  <c r="B7743" i="106" s="1"/>
  <c r="D7743" i="106" s="1"/>
  <c r="B1879" i="106"/>
  <c r="D1879" i="106" s="1"/>
  <c r="H22" i="37"/>
  <c r="B7760" i="106"/>
  <c r="D7760" i="106" s="1"/>
  <c r="D24"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B279" i="106"/>
  <c r="D279" i="106" s="1"/>
  <c r="B2916" i="106"/>
  <c r="D2916" i="106" s="1"/>
  <c r="L41" i="3"/>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B7659" i="106" l="1"/>
  <c r="D7659" i="106" s="1"/>
  <c r="B7665" i="106"/>
  <c r="D7665" i="106" s="1"/>
  <c r="B6253" i="106"/>
  <c r="D6253" i="106" s="1"/>
  <c r="B6245" i="106"/>
  <c r="D6245" i="106" s="1"/>
  <c r="B2769" i="106"/>
  <c r="D2769" i="106" s="1"/>
  <c r="B651" i="106"/>
  <c r="D651" i="106" s="1"/>
  <c r="E40" i="4"/>
  <c r="B6288" i="106" s="1"/>
  <c r="D6288" i="106" s="1"/>
  <c r="B6248" i="106"/>
  <c r="D6248" i="106" s="1"/>
  <c r="B7753" i="106"/>
  <c r="D7753" i="106" s="1"/>
  <c r="B6260" i="106"/>
  <c r="D6260" i="106" s="1"/>
  <c r="B3080" i="106"/>
  <c r="D3080" i="106" s="1"/>
  <c r="B6254" i="106"/>
  <c r="D6254" i="106" s="1"/>
  <c r="B3295" i="106"/>
  <c r="D3295" i="106" s="1"/>
  <c r="B7669" i="106"/>
  <c r="D7669" i="106" s="1"/>
  <c r="B500" i="106"/>
  <c r="D500" i="106" s="1"/>
  <c r="B7651" i="106"/>
  <c r="D7651" i="106" s="1"/>
  <c r="B3579" i="106"/>
  <c r="D3579" i="106" s="1"/>
  <c r="B3234" i="106"/>
  <c r="D3234" i="106" s="1"/>
  <c r="B5022" i="106"/>
  <c r="D5022" i="106" s="1"/>
  <c r="C76" i="4"/>
  <c r="B3231" i="106" s="1"/>
  <c r="D3231" i="106" s="1"/>
  <c r="B7673" i="106"/>
  <c r="D7673" i="106" s="1"/>
  <c r="B2840" i="106"/>
  <c r="D2840" i="106" s="1"/>
  <c r="B6294" i="106"/>
  <c r="D6294" i="106" s="1"/>
  <c r="B7658" i="106"/>
  <c r="D7658" i="106" s="1"/>
  <c r="B3582" i="106"/>
  <c r="D3582" i="106" s="1"/>
  <c r="B3084" i="106"/>
  <c r="D3084" i="106" s="1"/>
  <c r="B7667" i="106"/>
  <c r="D7667" i="106" s="1"/>
  <c r="J76" i="4"/>
  <c r="B6261" i="106" s="1"/>
  <c r="D6261" i="106" s="1"/>
  <c r="B6239" i="106"/>
  <c r="D6239" i="106" s="1"/>
  <c r="B7660" i="106"/>
  <c r="D7660" i="106" s="1"/>
  <c r="B3589" i="106"/>
  <c r="D3589" i="106" s="1"/>
  <c r="B7684" i="106"/>
  <c r="D7684" i="106" s="1"/>
  <c r="B2757" i="106"/>
  <c r="D2757" i="106" s="1"/>
  <c r="D72" i="36"/>
  <c r="B2806" i="106"/>
  <c r="D2806" i="106" s="1"/>
  <c r="B2760" i="106"/>
  <c r="D2760" i="106" s="1"/>
  <c r="B6264" i="106"/>
  <c r="D6264" i="106" s="1"/>
  <c r="B6243" i="106"/>
  <c r="D6243" i="106" s="1"/>
  <c r="E38" i="4"/>
  <c r="B6286" i="106" s="1"/>
  <c r="D6286" i="106" s="1"/>
  <c r="B3533" i="106"/>
  <c r="D3533" i="106" s="1"/>
  <c r="B6251" i="106"/>
  <c r="D6251" i="106" s="1"/>
  <c r="B4217" i="106"/>
  <c r="D4217" i="106" s="1"/>
  <c r="G44" i="4"/>
  <c r="B7752" i="106"/>
  <c r="D7752" i="106" s="1"/>
  <c r="B3275" i="106"/>
  <c r="D3275" i="106" s="1"/>
  <c r="B619" i="106"/>
  <c r="D619" i="106" s="1"/>
  <c r="B7681" i="106"/>
  <c r="D7681" i="106" s="1"/>
  <c r="B3530" i="106"/>
  <c r="D3530" i="106" s="1"/>
  <c r="B7666" i="106"/>
  <c r="D7666" i="106" s="1"/>
  <c r="B7654" i="106"/>
  <c r="D7654" i="106" s="1"/>
  <c r="B3534" i="106"/>
  <c r="D3534" i="106" s="1"/>
  <c r="E76" i="4"/>
  <c r="B3276" i="106" s="1"/>
  <c r="D3276" i="106" s="1"/>
  <c r="B2817" i="106"/>
  <c r="D2817" i="106" s="1"/>
  <c r="B6246" i="106"/>
  <c r="D6246" i="106" s="1"/>
  <c r="E39" i="4"/>
  <c r="B6287" i="106" s="1"/>
  <c r="D6287" i="106" s="1"/>
  <c r="B3316" i="106"/>
  <c r="D3316" i="106" s="1"/>
  <c r="B3230" i="106"/>
  <c r="D3230" i="106" s="1"/>
  <c r="B3259" i="106"/>
  <c r="D3259" i="106" s="1"/>
  <c r="G76" i="4"/>
  <c r="B3260" i="106" s="1"/>
  <c r="D3260" i="106" s="1"/>
  <c r="B2848" i="106"/>
  <c r="D2848" i="106" s="1"/>
  <c r="B2766" i="106"/>
  <c r="D2766" i="106" s="1"/>
  <c r="B7678" i="106"/>
  <c r="D7678" i="106" s="1"/>
  <c r="B3492" i="106"/>
  <c r="D3492" i="106" s="1"/>
  <c r="B324" i="106"/>
  <c r="D324" i="106" s="1"/>
  <c r="B3273" i="106"/>
  <c r="D3273" i="106" s="1"/>
  <c r="B6234" i="106"/>
  <c r="D6234" i="106" s="1"/>
  <c r="B6292" i="106"/>
  <c r="D6292" i="106" s="1"/>
  <c r="B7683" i="106"/>
  <c r="D7683" i="106" s="1"/>
  <c r="B6258" i="106"/>
  <c r="D6258" i="106" s="1"/>
  <c r="B7661" i="106"/>
  <c r="D7661" i="106" s="1"/>
  <c r="K44" i="4"/>
  <c r="B3584" i="106" s="1"/>
  <c r="D3584" i="106" s="1"/>
  <c r="B7755" i="106"/>
  <c r="D7755" i="106" s="1"/>
  <c r="B7653" i="106"/>
  <c r="D7653" i="106" s="1"/>
  <c r="B3251" i="106"/>
  <c r="D3251" i="106" s="1"/>
  <c r="B1645" i="106"/>
  <c r="D1645" i="106" s="1"/>
  <c r="B3085" i="106"/>
  <c r="D3085" i="106" s="1"/>
  <c r="B6295" i="106"/>
  <c r="D6295" i="106" s="1"/>
  <c r="B3585" i="106"/>
  <c r="D3585" i="106" s="1"/>
  <c r="B7656" i="106"/>
  <c r="D7656" i="106" s="1"/>
  <c r="B6256" i="106"/>
  <c r="D6256" i="106" s="1"/>
  <c r="B6235" i="106"/>
  <c r="D6235" i="106" s="1"/>
  <c r="B6236" i="106"/>
  <c r="D6236" i="106" s="1"/>
  <c r="B325" i="106"/>
  <c r="D325" i="106" s="1"/>
  <c r="B3083" i="106"/>
  <c r="D3083" i="106" s="1"/>
  <c r="B6255" i="106"/>
  <c r="D6255" i="106" s="1"/>
  <c r="B3577" i="106"/>
  <c r="D3577" i="106" s="1"/>
  <c r="B7663" i="106"/>
  <c r="D7663" i="106" s="1"/>
  <c r="B7749" i="106"/>
  <c r="D7749" i="106" s="1"/>
  <c r="D44" i="4"/>
  <c r="B3235" i="106" s="1"/>
  <c r="D3235" i="106" s="1"/>
  <c r="B6247" i="106"/>
  <c r="D6247" i="106" s="1"/>
  <c r="B3079" i="106"/>
  <c r="D3079" i="106" s="1"/>
  <c r="D76" i="4"/>
  <c r="B3237" i="106" s="1"/>
  <c r="D3237" i="106" s="1"/>
  <c r="B5023" i="106"/>
  <c r="D5023" i="106" s="1"/>
  <c r="B6231" i="106"/>
  <c r="D6231" i="106" s="1"/>
  <c r="B7750" i="106"/>
  <c r="D7750" i="106" s="1"/>
  <c r="B6232" i="106"/>
  <c r="D6232" i="106" s="1"/>
  <c r="F44" i="4"/>
  <c r="B7751" i="106"/>
  <c r="D7751" i="106" s="1"/>
  <c r="B7685" i="106"/>
  <c r="D7685" i="106" s="1"/>
  <c r="B3257" i="106"/>
  <c r="D3257" i="106" s="1"/>
  <c r="B6293" i="106"/>
  <c r="D6293" i="106" s="1"/>
  <c r="B3580" i="106"/>
  <c r="D3580" i="106" s="1"/>
  <c r="B6296" i="106"/>
  <c r="D6296" i="106" s="1"/>
  <c r="B3253" i="106"/>
  <c r="D3253" i="106" s="1"/>
  <c r="B6241" i="106"/>
  <c r="D6241" i="106" s="1"/>
  <c r="J44" i="4"/>
  <c r="B7754" i="106"/>
  <c r="D7754" i="106" s="1"/>
  <c r="B7652" i="106"/>
  <c r="D7652" i="106" s="1"/>
  <c r="B1673" i="106"/>
  <c r="D1673" i="106" s="1"/>
  <c r="B620" i="106"/>
  <c r="D620" i="106" s="1"/>
  <c r="B7668" i="106"/>
  <c r="D7668" i="106" s="1"/>
  <c r="B7671" i="106"/>
  <c r="D7671" i="106" s="1"/>
  <c r="B5012" i="106"/>
  <c r="D5012" i="106" s="1"/>
  <c r="D71" i="36"/>
  <c r="B3236" i="106"/>
  <c r="D3236" i="106" s="1"/>
  <c r="B7674" i="106"/>
  <c r="D7674" i="106" s="1"/>
  <c r="B3698" i="106"/>
  <c r="D3698" i="106" s="1"/>
  <c r="K52" i="4"/>
  <c r="B3531" i="106"/>
  <c r="D3531" i="106" s="1"/>
  <c r="B3581" i="106"/>
  <c r="D3581" i="106" s="1"/>
  <c r="B7675" i="106"/>
  <c r="D7675" i="106" s="1"/>
  <c r="B3699" i="106"/>
  <c r="D3699" i="106" s="1"/>
  <c r="K53" i="4"/>
  <c r="B3703" i="106" s="1"/>
  <c r="D3703" i="106" s="1"/>
  <c r="B501" i="106"/>
  <c r="D501" i="106" s="1"/>
  <c r="B6242" i="106"/>
  <c r="D6242" i="106" s="1"/>
  <c r="B3493" i="106"/>
  <c r="D3493" i="106" s="1"/>
  <c r="B323" i="106"/>
  <c r="D323" i="106" s="1"/>
  <c r="D68" i="36"/>
  <c r="B6233" i="106"/>
  <c r="D6233" i="106" s="1"/>
  <c r="B3161" i="106"/>
  <c r="D3161" i="106" s="1"/>
  <c r="H51" i="4"/>
  <c r="B3170" i="106" s="1"/>
  <c r="D3170" i="106" s="1"/>
  <c r="B6244" i="106"/>
  <c r="D6244" i="106" s="1"/>
  <c r="B2794" i="106"/>
  <c r="D2794" i="106" s="1"/>
  <c r="B2763" i="106"/>
  <c r="D2763" i="106" s="1"/>
  <c r="B618" i="106"/>
  <c r="D618" i="106" s="1"/>
  <c r="B1659" i="106"/>
  <c r="D1659" i="106" s="1"/>
  <c r="B652" i="106"/>
  <c r="D652" i="106" s="1"/>
  <c r="B653" i="106"/>
  <c r="D653" i="106" s="1"/>
  <c r="B7670" i="106"/>
  <c r="D7670" i="106" s="1"/>
  <c r="H14" i="118"/>
  <c r="B6240" i="106"/>
  <c r="D6240" i="106" s="1"/>
  <c r="E37" i="4"/>
  <c r="B6285" i="106" s="1"/>
  <c r="D6285" i="106" s="1"/>
  <c r="H19" i="118"/>
  <c r="B6250" i="106"/>
  <c r="D6250" i="106" s="1"/>
  <c r="H41" i="4"/>
  <c r="B6289" i="106" s="1"/>
  <c r="D6289" i="106" s="1"/>
  <c r="B3078" i="106"/>
  <c r="D3078" i="106" s="1"/>
  <c r="I48" i="4"/>
  <c r="B2106" i="106" s="1"/>
  <c r="D2106" i="106" s="1"/>
  <c r="B321" i="106"/>
  <c r="D321" i="106" s="1"/>
  <c r="B432" i="106"/>
  <c r="D432" i="106" s="1"/>
  <c r="D73" i="36"/>
  <c r="B6290" i="106"/>
  <c r="D6290" i="106" s="1"/>
  <c r="B6257" i="106"/>
  <c r="D6257" i="106" s="1"/>
  <c r="B3297" i="106"/>
  <c r="D3297" i="106" s="1"/>
  <c r="B7664" i="106"/>
  <c r="D7664" i="106" s="1"/>
  <c r="B7662" i="106"/>
  <c r="D7662" i="106" s="1"/>
  <c r="B5024" i="106"/>
  <c r="D5024" i="106" s="1"/>
  <c r="F76" i="4"/>
  <c r="B3254" i="106" s="1"/>
  <c r="D3254" i="106" s="1"/>
  <c r="B3490" i="106"/>
  <c r="D3490" i="106" s="1"/>
  <c r="B7679" i="106"/>
  <c r="D7679" i="106" s="1"/>
  <c r="B7657" i="106"/>
  <c r="D7657" i="106" s="1"/>
  <c r="B7672" i="106"/>
  <c r="D7672" i="106" s="1"/>
  <c r="B6252" i="106"/>
  <c r="D6252" i="106" s="1"/>
  <c r="B3082" i="106"/>
  <c r="D3082" i="106" s="1"/>
  <c r="B3228" i="106"/>
  <c r="D3228" i="106" s="1"/>
  <c r="C44" i="4"/>
  <c r="B7748" i="106"/>
  <c r="D7748" i="106" s="1"/>
  <c r="I47" i="4"/>
  <c r="B3532" i="106"/>
  <c r="D3532" i="106" s="1"/>
  <c r="B2758" i="106"/>
  <c r="D2758" i="106" s="1"/>
  <c r="B6259" i="106"/>
  <c r="D6259" i="106" s="1"/>
  <c r="B1631" i="106"/>
  <c r="D1631" i="106" s="1"/>
  <c r="B3583" i="106"/>
  <c r="B6249" i="106"/>
  <c r="D6249" i="106" s="1"/>
  <c r="I44" i="4"/>
  <c r="B3317" i="106" s="1"/>
  <c r="D3317" i="106" s="1"/>
  <c r="B2772" i="106"/>
  <c r="D2772" i="106" s="1"/>
  <c r="B7686" i="106"/>
  <c r="D7686" i="106" s="1"/>
  <c r="B3578" i="106"/>
  <c r="D3578" i="106" s="1"/>
  <c r="B5014" i="106"/>
  <c r="D5014" i="106" s="1"/>
  <c r="B7677" i="106"/>
  <c r="D7677" i="106" s="1"/>
  <c r="B5013" i="106"/>
  <c r="D5013" i="106" s="1"/>
  <c r="B2762" i="106"/>
  <c r="D2762" i="106" s="1"/>
  <c r="B7676" i="106"/>
  <c r="D7676" i="106" s="1"/>
  <c r="B7655" i="106"/>
  <c r="D7655" i="106" s="1"/>
  <c r="B7682" i="106"/>
  <c r="D7682" i="106" s="1"/>
  <c r="B7680" i="106"/>
  <c r="D7680" i="106" s="1"/>
  <c r="B6237" i="106"/>
  <c r="D6237" i="106" s="1"/>
  <c r="B6291" i="106"/>
  <c r="D6291" i="106" s="1"/>
  <c r="H44" i="4"/>
  <c r="A7262" i="106"/>
  <c r="C77" i="4" l="1"/>
  <c r="B3232" i="106" s="1"/>
  <c r="D3232" i="106" s="1"/>
  <c r="B3229" i="106"/>
  <c r="D3229" i="106" s="1"/>
  <c r="D77" i="4"/>
  <c r="B3238" i="106" s="1"/>
  <c r="D3238" i="106" s="1"/>
  <c r="F77" i="4"/>
  <c r="B3255" i="106" s="1"/>
  <c r="D3255" i="106" s="1"/>
  <c r="B3252" i="106"/>
  <c r="D3252" i="106" s="1"/>
  <c r="B3635" i="106"/>
  <c r="D3635" i="106" s="1"/>
  <c r="D3583" i="106"/>
  <c r="J77" i="4"/>
  <c r="B6262" i="106" s="1"/>
  <c r="D6262" i="106" s="1"/>
  <c r="B6238" i="106"/>
  <c r="D6238" i="106" s="1"/>
  <c r="H76" i="4"/>
  <c r="B3298" i="106" s="1"/>
  <c r="D3298" i="106" s="1"/>
  <c r="B3258" i="106"/>
  <c r="D3258" i="106" s="1"/>
  <c r="G77" i="4"/>
  <c r="B3261" i="106" s="1"/>
  <c r="D3261" i="106" s="1"/>
  <c r="I76" i="4"/>
  <c r="B2105" i="106"/>
  <c r="D2105" i="106" s="1"/>
  <c r="B3702" i="106"/>
  <c r="D3702" i="106" s="1"/>
  <c r="K76" i="4"/>
  <c r="E44" i="4"/>
  <c r="B3296" i="106"/>
  <c r="D3296" i="106" s="1"/>
  <c r="A7263" i="106"/>
  <c r="B6815" i="106" l="1"/>
  <c r="D6815" i="106" s="1"/>
  <c r="B5310" i="106"/>
  <c r="D5310" i="106" s="1"/>
  <c r="B7728" i="106"/>
  <c r="D7728" i="106" s="1"/>
  <c r="B4201" i="106"/>
  <c r="D4201" i="106" s="1"/>
  <c r="K136" i="29"/>
  <c r="B2988" i="106" s="1"/>
  <c r="D2988" i="106" s="1"/>
  <c r="D72" i="29"/>
  <c r="B811" i="106" s="1"/>
  <c r="D811" i="106" s="1"/>
  <c r="B804" i="106"/>
  <c r="D804" i="106" s="1"/>
  <c r="B6819" i="106"/>
  <c r="D6819" i="106" s="1"/>
  <c r="B6802" i="106"/>
  <c r="D6802" i="106" s="1"/>
  <c r="B3375" i="106"/>
  <c r="D3375" i="106" s="1"/>
  <c r="K268" i="29"/>
  <c r="B1497" i="106" s="1"/>
  <c r="D1497" i="106" s="1"/>
  <c r="B1433" i="106"/>
  <c r="D1433" i="106" s="1"/>
  <c r="B6312" i="106"/>
  <c r="D6312" i="106" s="1"/>
  <c r="F87" i="34"/>
  <c r="B854" i="106"/>
  <c r="D854" i="106" s="1"/>
  <c r="E65" i="29"/>
  <c r="B861" i="106" s="1"/>
  <c r="D861" i="106" s="1"/>
  <c r="B3372" i="106"/>
  <c r="D3372" i="106" s="1"/>
  <c r="B917" i="106"/>
  <c r="D917" i="106" s="1"/>
  <c r="B5726" i="106"/>
  <c r="D5726" i="106" s="1"/>
  <c r="G18" i="5"/>
  <c r="B5730" i="106" s="1"/>
  <c r="D5730" i="106" s="1"/>
  <c r="B5338" i="106"/>
  <c r="D5338" i="106" s="1"/>
  <c r="D243" i="29"/>
  <c r="B1421" i="106" s="1"/>
  <c r="D1421" i="106" s="1"/>
  <c r="K240" i="29"/>
  <c r="B1418" i="106"/>
  <c r="D1418" i="106" s="1"/>
  <c r="B6403" i="106"/>
  <c r="D6403" i="106" s="1"/>
  <c r="B986" i="106"/>
  <c r="D986" i="106" s="1"/>
  <c r="B5877" i="106"/>
  <c r="D5877" i="106" s="1"/>
  <c r="B4889" i="106"/>
  <c r="D4889" i="106" s="1"/>
  <c r="B5724" i="106"/>
  <c r="D5724" i="106" s="1"/>
  <c r="B7155" i="106"/>
  <c r="D7155" i="106" s="1"/>
  <c r="K10" i="29"/>
  <c r="B3062" i="106" s="1"/>
  <c r="D3062" i="106" s="1"/>
  <c r="B3055" i="106"/>
  <c r="D3055" i="106" s="1"/>
  <c r="B5553" i="106"/>
  <c r="D5553" i="106" s="1"/>
  <c r="B7" i="7"/>
  <c r="F12" i="5"/>
  <c r="B2800" i="106"/>
  <c r="D2800" i="106" s="1"/>
  <c r="B4355" i="106"/>
  <c r="D4355" i="106" s="1"/>
  <c r="B1227" i="106"/>
  <c r="D1227" i="106" s="1"/>
  <c r="D127" i="29"/>
  <c r="E18" i="5"/>
  <c r="B5518" i="106" s="1"/>
  <c r="D5518" i="106" s="1"/>
  <c r="B5514" i="106"/>
  <c r="D5514" i="106" s="1"/>
  <c r="B5695" i="106"/>
  <c r="D5695" i="106" s="1"/>
  <c r="B6750" i="106"/>
  <c r="D6750" i="106" s="1"/>
  <c r="B5384" i="106"/>
  <c r="D5384" i="106" s="1"/>
  <c r="B7147" i="106"/>
  <c r="D7147" i="106" s="1"/>
  <c r="B764" i="106"/>
  <c r="D764" i="106" s="1"/>
  <c r="B6340" i="106"/>
  <c r="D6340" i="106" s="1"/>
  <c r="B1236" i="106"/>
  <c r="D1236" i="106" s="1"/>
  <c r="B4919" i="106"/>
  <c r="D4919" i="106" s="1"/>
  <c r="B3487" i="106"/>
  <c r="D3487" i="106" s="1"/>
  <c r="B1313" i="106"/>
  <c r="D1313" i="106" s="1"/>
  <c r="K167" i="29"/>
  <c r="B1327" i="106" s="1"/>
  <c r="D1327" i="106" s="1"/>
  <c r="B6116" i="106"/>
  <c r="D6116" i="106" s="1"/>
  <c r="B6636" i="106"/>
  <c r="D6636" i="106" s="1"/>
  <c r="B6685" i="106"/>
  <c r="D6685" i="106" s="1"/>
  <c r="B4416" i="106"/>
  <c r="D4416" i="106" s="1"/>
  <c r="B6708" i="106"/>
  <c r="D6708" i="106" s="1"/>
  <c r="B108" i="106"/>
  <c r="D108" i="106" s="1"/>
  <c r="B7265" i="106"/>
  <c r="C181" i="5"/>
  <c r="B5230" i="106"/>
  <c r="D5230" i="106" s="1"/>
  <c r="F122" i="34"/>
  <c r="B893" i="106"/>
  <c r="D893" i="106" s="1"/>
  <c r="B6329" i="106"/>
  <c r="D6329" i="106" s="1"/>
  <c r="B7085" i="106"/>
  <c r="D7085" i="106" s="1"/>
  <c r="K250" i="29"/>
  <c r="B7086" i="106" s="1"/>
  <c r="D7086" i="106" s="1"/>
  <c r="K276" i="29"/>
  <c r="B1506" i="106" s="1"/>
  <c r="D1506" i="106" s="1"/>
  <c r="B1442" i="106"/>
  <c r="D1442" i="106" s="1"/>
  <c r="B7779" i="106"/>
  <c r="D7779" i="106" s="1"/>
  <c r="K158" i="29"/>
  <c r="B7780" i="106" s="1"/>
  <c r="D7780" i="106" s="1"/>
  <c r="K217" i="29"/>
  <c r="B3391" i="106" s="1"/>
  <c r="D3391" i="106" s="1"/>
  <c r="B3388" i="106"/>
  <c r="D3388" i="106" s="1"/>
  <c r="B6677" i="106"/>
  <c r="D6677" i="106" s="1"/>
  <c r="I169" i="5"/>
  <c r="B6372" i="106"/>
  <c r="D6372" i="106" s="1"/>
  <c r="B7138" i="106"/>
  <c r="D7138" i="106" s="1"/>
  <c r="B1269" i="106"/>
  <c r="D1269" i="106" s="1"/>
  <c r="K143" i="29"/>
  <c r="B1284" i="106" s="1"/>
  <c r="D1284" i="106" s="1"/>
  <c r="B7091" i="106"/>
  <c r="D7091" i="106" s="1"/>
  <c r="K253" i="29"/>
  <c r="B7092" i="106" s="1"/>
  <c r="D7092" i="106" s="1"/>
  <c r="F29" i="34"/>
  <c r="B5387" i="106"/>
  <c r="D5387" i="106" s="1"/>
  <c r="B1311" i="106"/>
  <c r="D1311" i="106" s="1"/>
  <c r="K164" i="29"/>
  <c r="B1325" i="106" s="1"/>
  <c r="D1325" i="106" s="1"/>
  <c r="B4336" i="106"/>
  <c r="D4336" i="106" s="1"/>
  <c r="B7002" i="106"/>
  <c r="D7002" i="106" s="1"/>
  <c r="K96" i="29"/>
  <c r="B7003" i="106" s="1"/>
  <c r="D7003" i="106" s="1"/>
  <c r="B6321" i="106"/>
  <c r="D6321" i="106" s="1"/>
  <c r="D17" i="171"/>
  <c r="B4362" i="106"/>
  <c r="D4362" i="106" s="1"/>
  <c r="F169" i="34"/>
  <c r="B6707" i="106"/>
  <c r="D6707" i="106" s="1"/>
  <c r="B6093" i="106"/>
  <c r="D6093" i="106" s="1"/>
  <c r="K68" i="29"/>
  <c r="B747" i="106"/>
  <c r="D747" i="106" s="1"/>
  <c r="K73" i="29"/>
  <c r="B754" i="106"/>
  <c r="D754" i="106" s="1"/>
  <c r="B2989" i="106"/>
  <c r="D2989" i="106" s="1"/>
  <c r="E194" i="29"/>
  <c r="K188" i="29"/>
  <c r="B5989" i="106"/>
  <c r="D5989" i="106" s="1"/>
  <c r="B6402" i="106"/>
  <c r="D6402" i="106" s="1"/>
  <c r="G198" i="5"/>
  <c r="B6409" i="106" s="1"/>
  <c r="D6409" i="106" s="1"/>
  <c r="B4369" i="106"/>
  <c r="D4369" i="106" s="1"/>
  <c r="B6652" i="106"/>
  <c r="D6652" i="106" s="1"/>
  <c r="B749" i="106"/>
  <c r="D749" i="106" s="1"/>
  <c r="K70" i="29"/>
  <c r="B1415" i="106"/>
  <c r="D1415" i="106" s="1"/>
  <c r="K236" i="29"/>
  <c r="B1479" i="106" s="1"/>
  <c r="D1479" i="106" s="1"/>
  <c r="B6354" i="106"/>
  <c r="D6354" i="106" s="1"/>
  <c r="F181" i="5"/>
  <c r="B5658" i="106" s="1"/>
  <c r="D5658" i="106" s="1"/>
  <c r="B4804" i="106"/>
  <c r="D4804" i="106" s="1"/>
  <c r="B1450" i="106"/>
  <c r="D1450" i="106" s="1"/>
  <c r="K289" i="29"/>
  <c r="B1513" i="106" s="1"/>
  <c r="D1513" i="106" s="1"/>
  <c r="B777" i="106"/>
  <c r="D777" i="106" s="1"/>
  <c r="B6671" i="106"/>
  <c r="D6671" i="106" s="1"/>
  <c r="D141" i="5"/>
  <c r="B5383" i="106" s="1"/>
  <c r="D5383" i="106" s="1"/>
  <c r="B5370" i="106"/>
  <c r="D5370" i="106" s="1"/>
  <c r="B6305" i="106"/>
  <c r="D6305" i="106" s="1"/>
  <c r="B5590" i="106"/>
  <c r="D5590" i="106" s="1"/>
  <c r="B5823" i="106"/>
  <c r="D5823" i="106" s="1"/>
  <c r="B5821" i="106"/>
  <c r="D5821" i="106" s="1"/>
  <c r="B5591" i="106"/>
  <c r="D5591" i="106" s="1"/>
  <c r="B6987" i="106"/>
  <c r="D6987" i="106" s="1"/>
  <c r="K88" i="29"/>
  <c r="B6988" i="106" s="1"/>
  <c r="D6988" i="106" s="1"/>
  <c r="B6696" i="106"/>
  <c r="D6696" i="106" s="1"/>
  <c r="B6966" i="106"/>
  <c r="D6966" i="106" s="1"/>
  <c r="B6658" i="106"/>
  <c r="D6658" i="106" s="1"/>
  <c r="B6379" i="106"/>
  <c r="D6379" i="106" s="1"/>
  <c r="B6092" i="106"/>
  <c r="D6092" i="106" s="1"/>
  <c r="B7006" i="106"/>
  <c r="D7006" i="106" s="1"/>
  <c r="K98" i="29"/>
  <c r="B7007" i="106" s="1"/>
  <c r="D7007" i="106" s="1"/>
  <c r="B5091" i="106"/>
  <c r="D5091" i="106" s="1"/>
  <c r="B3561" i="106"/>
  <c r="D3561" i="106" s="1"/>
  <c r="B6931" i="106"/>
  <c r="D6931" i="106" s="1"/>
  <c r="B6112" i="106"/>
  <c r="D6112" i="106" s="1"/>
  <c r="B6184" i="106"/>
  <c r="D6184" i="106" s="1"/>
  <c r="F22" i="34"/>
  <c r="B6313" i="106"/>
  <c r="D6313" i="106" s="1"/>
  <c r="B7016" i="106"/>
  <c r="D7016" i="106" s="1"/>
  <c r="K111" i="29"/>
  <c r="B7017" i="106" s="1"/>
  <c r="D7017" i="106" s="1"/>
  <c r="B6824" i="106"/>
  <c r="D6824" i="106" s="1"/>
  <c r="B1026" i="106"/>
  <c r="D1026" i="106" s="1"/>
  <c r="B6798" i="106"/>
  <c r="D6798" i="106" s="1"/>
  <c r="G303" i="29"/>
  <c r="B1543" i="106"/>
  <c r="D1543" i="106" s="1"/>
  <c r="F114" i="34"/>
  <c r="B5194" i="106"/>
  <c r="D5194" i="106" s="1"/>
  <c r="H33" i="29"/>
  <c r="B1010" i="106" s="1"/>
  <c r="D1010" i="106" s="1"/>
  <c r="B995" i="106"/>
  <c r="D995" i="106" s="1"/>
  <c r="B6733" i="106"/>
  <c r="D6733" i="106" s="1"/>
  <c r="D12" i="171"/>
  <c r="B5123" i="106"/>
  <c r="D5123" i="106" s="1"/>
  <c r="B1248" i="106"/>
  <c r="D1248" i="106" s="1"/>
  <c r="B5920" i="106"/>
  <c r="D5920" i="106" s="1"/>
  <c r="B956" i="106"/>
  <c r="D956" i="106" s="1"/>
  <c r="B879" i="106"/>
  <c r="D879" i="106" s="1"/>
  <c r="F33" i="29"/>
  <c r="B894" i="106" s="1"/>
  <c r="D894" i="106" s="1"/>
  <c r="B5822" i="106"/>
  <c r="D5822" i="106" s="1"/>
  <c r="B6730" i="106"/>
  <c r="D6730" i="106" s="1"/>
  <c r="H65" i="29"/>
  <c r="B1035" i="106" s="1"/>
  <c r="D1035" i="106" s="1"/>
  <c r="B1028" i="106"/>
  <c r="D1028" i="106" s="1"/>
  <c r="B5101" i="106"/>
  <c r="D5101" i="106" s="1"/>
  <c r="B3641" i="106"/>
  <c r="D3641" i="106" s="1"/>
  <c r="B822" i="106"/>
  <c r="D822" i="106" s="1"/>
  <c r="D252" i="5"/>
  <c r="B6834" i="106" s="1"/>
  <c r="D6834" i="106" s="1"/>
  <c r="B6615" i="106"/>
  <c r="D6615" i="106" s="1"/>
  <c r="B5885" i="106"/>
  <c r="D5885" i="106" s="1"/>
  <c r="B7026" i="106"/>
  <c r="D7026" i="106" s="1"/>
  <c r="B6787" i="106"/>
  <c r="D6787" i="106" s="1"/>
  <c r="B5664" i="106"/>
  <c r="D5664" i="106" s="1"/>
  <c r="F204" i="5"/>
  <c r="B5677" i="106" s="1"/>
  <c r="D5677" i="106" s="1"/>
  <c r="B6776" i="106"/>
  <c r="D6776" i="106" s="1"/>
  <c r="B6709" i="106"/>
  <c r="D6709" i="106" s="1"/>
  <c r="K80" i="29"/>
  <c r="B2975" i="106" s="1"/>
  <c r="D2975" i="106" s="1"/>
  <c r="B2951" i="106"/>
  <c r="D2951" i="106" s="1"/>
  <c r="B7087" i="106"/>
  <c r="D7087" i="106" s="1"/>
  <c r="K251" i="29"/>
  <c r="B7088" i="106" s="1"/>
  <c r="D7088" i="106" s="1"/>
  <c r="B6647" i="106"/>
  <c r="D6647" i="106" s="1"/>
  <c r="D37" i="36"/>
  <c r="B3419" i="106"/>
  <c r="D3419" i="106" s="1"/>
  <c r="F13" i="3"/>
  <c r="B157" i="106" s="1"/>
  <c r="D157" i="106" s="1"/>
  <c r="D261" i="29"/>
  <c r="B1427" i="106" s="1"/>
  <c r="D1427" i="106" s="1"/>
  <c r="B1425" i="106"/>
  <c r="D1425" i="106" s="1"/>
  <c r="K259" i="29"/>
  <c r="B1525" i="106"/>
  <c r="D1525" i="106" s="1"/>
  <c r="D303" i="29"/>
  <c r="B859" i="106"/>
  <c r="D859" i="106" s="1"/>
  <c r="J65" i="29"/>
  <c r="B6962" i="106" s="1"/>
  <c r="D6962" i="106" s="1"/>
  <c r="B6951" i="106"/>
  <c r="D6951" i="106" s="1"/>
  <c r="F42" i="29"/>
  <c r="B895" i="106"/>
  <c r="D895" i="106" s="1"/>
  <c r="B7097" i="106"/>
  <c r="D7097" i="106" s="1"/>
  <c r="K256" i="29"/>
  <c r="B7098" i="106" s="1"/>
  <c r="D7098" i="106" s="1"/>
  <c r="B6326" i="106"/>
  <c r="D6326" i="106" s="1"/>
  <c r="B6878" i="106"/>
  <c r="D6878" i="106" s="1"/>
  <c r="K21" i="29"/>
  <c r="B5568" i="106"/>
  <c r="D5568" i="106" s="1"/>
  <c r="F20" i="34"/>
  <c r="K255" i="29"/>
  <c r="B7096" i="106" s="1"/>
  <c r="D7096" i="106" s="1"/>
  <c r="B7095" i="106"/>
  <c r="D7095" i="106" s="1"/>
  <c r="B5573" i="106"/>
  <c r="D5573" i="106" s="1"/>
  <c r="F91" i="34"/>
  <c r="B5340" i="106"/>
  <c r="D5340" i="106" s="1"/>
  <c r="D67" i="5"/>
  <c r="B5342" i="106" s="1"/>
  <c r="D5342" i="106" s="1"/>
  <c r="B801" i="106"/>
  <c r="D801" i="106" s="1"/>
  <c r="B6140" i="106"/>
  <c r="D6140" i="106" s="1"/>
  <c r="B798" i="106"/>
  <c r="D798" i="106" s="1"/>
  <c r="F167" i="34"/>
  <c r="B7813" i="106"/>
  <c r="D7813" i="106" s="1"/>
  <c r="B5345" i="106"/>
  <c r="D5345" i="106" s="1"/>
  <c r="B4378" i="106"/>
  <c r="D4378" i="106" s="1"/>
  <c r="B5855" i="106"/>
  <c r="D5855" i="106" s="1"/>
  <c r="B1254" i="106"/>
  <c r="D1254" i="106" s="1"/>
  <c r="K126" i="29"/>
  <c r="B1277" i="106" s="1"/>
  <c r="D1277" i="106" s="1"/>
  <c r="B1224" i="106"/>
  <c r="D1224" i="106" s="1"/>
  <c r="K128" i="29"/>
  <c r="B1280" i="106" s="1"/>
  <c r="D1280" i="106" s="1"/>
  <c r="B6646" i="106"/>
  <c r="D6646" i="106" s="1"/>
  <c r="B923" i="106"/>
  <c r="D923" i="106" s="1"/>
  <c r="B6123" i="106"/>
  <c r="D6123" i="106" s="1"/>
  <c r="D33" i="29"/>
  <c r="B778" i="106" s="1"/>
  <c r="D778" i="106" s="1"/>
  <c r="B763" i="106"/>
  <c r="D763" i="106" s="1"/>
  <c r="B6317" i="106"/>
  <c r="D6317" i="106" s="1"/>
  <c r="K130" i="29"/>
  <c r="G39" i="108" s="1"/>
  <c r="B2797" i="106"/>
  <c r="D2797" i="106" s="1"/>
  <c r="B1051" i="106"/>
  <c r="D1051" i="106" s="1"/>
  <c r="K109" i="29"/>
  <c r="B1149" i="106" s="1"/>
  <c r="D1149" i="106" s="1"/>
  <c r="B1316" i="106"/>
  <c r="D1316" i="106" s="1"/>
  <c r="C72" i="29"/>
  <c r="B753" i="106" s="1"/>
  <c r="D753" i="106" s="1"/>
  <c r="B746" i="106"/>
  <c r="D746" i="106" s="1"/>
  <c r="K67" i="29"/>
  <c r="B7133" i="106"/>
  <c r="D7133" i="106" s="1"/>
  <c r="C350" i="29"/>
  <c r="B3617" i="106"/>
  <c r="D3617" i="106" s="1"/>
  <c r="K348" i="29"/>
  <c r="B1038" i="106"/>
  <c r="D1038" i="106" s="1"/>
  <c r="G175" i="5"/>
  <c r="B5780" i="106" s="1"/>
  <c r="D5780" i="106" s="1"/>
  <c r="B5779" i="106"/>
  <c r="D5779" i="106" s="1"/>
  <c r="B6932" i="106"/>
  <c r="D6932" i="106" s="1"/>
  <c r="K52" i="29"/>
  <c r="B6940" i="106" s="1"/>
  <c r="D6940" i="106" s="1"/>
  <c r="B104" i="106"/>
  <c r="D104" i="106" s="1"/>
  <c r="K202" i="29"/>
  <c r="B2842" i="106" s="1"/>
  <c r="D2842" i="106" s="1"/>
  <c r="B2832" i="106"/>
  <c r="D2832" i="106" s="1"/>
  <c r="B4796" i="106"/>
  <c r="D4796" i="106" s="1"/>
  <c r="B179" i="106"/>
  <c r="D179" i="106" s="1"/>
  <c r="B7173" i="106"/>
  <c r="D7173" i="106" s="1"/>
  <c r="B5876" i="106"/>
  <c r="D5876" i="106" s="1"/>
  <c r="B5395" i="106"/>
  <c r="D5395" i="106" s="1"/>
  <c r="B6960" i="106"/>
  <c r="D6960" i="106" s="1"/>
  <c r="B4309" i="106"/>
  <c r="D4309" i="106" s="1"/>
  <c r="B6810" i="106"/>
  <c r="D6810" i="106" s="1"/>
  <c r="B1221" i="106"/>
  <c r="D1221" i="106" s="1"/>
  <c r="K124" i="29"/>
  <c r="B1276" i="106" s="1"/>
  <c r="D1276" i="106" s="1"/>
  <c r="B6342" i="106"/>
  <c r="D6342" i="106" s="1"/>
  <c r="H57" i="29"/>
  <c r="B1027" i="106" s="1"/>
  <c r="D1027" i="106" s="1"/>
  <c r="B1025" i="106"/>
  <c r="D1025" i="106" s="1"/>
  <c r="B7236" i="106"/>
  <c r="D7236" i="106" s="1"/>
  <c r="H357" i="29"/>
  <c r="B7791" i="106"/>
  <c r="D7791" i="106" s="1"/>
  <c r="K354" i="29"/>
  <c r="B6976" i="106"/>
  <c r="D6976" i="106" s="1"/>
  <c r="B5732" i="106"/>
  <c r="D5732" i="106" s="1"/>
  <c r="B7027" i="106"/>
  <c r="D7027" i="106" s="1"/>
  <c r="B794" i="106"/>
  <c r="D794" i="106" s="1"/>
  <c r="B5763" i="106"/>
  <c r="D5763" i="106" s="1"/>
  <c r="B864" i="106"/>
  <c r="D864" i="106" s="1"/>
  <c r="B6805" i="106"/>
  <c r="D6805" i="106" s="1"/>
  <c r="B5571" i="106"/>
  <c r="D5571" i="106" s="1"/>
  <c r="F23" i="34"/>
  <c r="B6772" i="106"/>
  <c r="D6772" i="106" s="1"/>
  <c r="B152" i="106"/>
  <c r="D152" i="106" s="1"/>
  <c r="B6302" i="106"/>
  <c r="D6302" i="106" s="1"/>
  <c r="J18" i="5"/>
  <c r="B6306" i="106" s="1"/>
  <c r="D6306" i="106" s="1"/>
  <c r="B5916" i="106"/>
  <c r="D5916" i="106" s="1"/>
  <c r="I12" i="5"/>
  <c r="B10" i="7"/>
  <c r="B4945" i="106"/>
  <c r="D4945" i="106" s="1"/>
  <c r="B774" i="106"/>
  <c r="D774" i="106" s="1"/>
  <c r="B5458" i="106"/>
  <c r="D5458" i="106" s="1"/>
  <c r="D217" i="5"/>
  <c r="B5470" i="106" s="1"/>
  <c r="D5470" i="106" s="1"/>
  <c r="F31" i="34"/>
  <c r="B4887" i="106"/>
  <c r="D4887" i="106" s="1"/>
  <c r="B4314" i="106"/>
  <c r="D4314" i="106" s="1"/>
  <c r="B6338" i="106"/>
  <c r="D6338" i="106" s="1"/>
  <c r="B198" i="106"/>
  <c r="D198" i="106" s="1"/>
  <c r="B7120" i="106"/>
  <c r="D7120" i="106" s="1"/>
  <c r="E330" i="29"/>
  <c r="B971" i="106"/>
  <c r="D971" i="106" s="1"/>
  <c r="C198" i="5"/>
  <c r="B6401" i="106"/>
  <c r="D6401" i="106" s="1"/>
  <c r="F109" i="34"/>
  <c r="B4351" i="106"/>
  <c r="D4351" i="106" s="1"/>
  <c r="K349" i="29"/>
  <c r="B3669" i="106" s="1"/>
  <c r="D3669" i="106" s="1"/>
  <c r="B3618" i="106"/>
  <c r="D3618" i="106" s="1"/>
  <c r="B5705" i="106"/>
  <c r="D5705" i="106" s="1"/>
  <c r="K241" i="29"/>
  <c r="B1483" i="106" s="1"/>
  <c r="D1483" i="106" s="1"/>
  <c r="B1419" i="106"/>
  <c r="D1419" i="106" s="1"/>
  <c r="B4877" i="106"/>
  <c r="D4877" i="106" s="1"/>
  <c r="C127" i="29"/>
  <c r="B1219" i="106"/>
  <c r="D1219" i="106" s="1"/>
  <c r="K122" i="29"/>
  <c r="B6190" i="106"/>
  <c r="D6190" i="106" s="1"/>
  <c r="B6662" i="106"/>
  <c r="D6662" i="106" s="1"/>
  <c r="B805" i="106"/>
  <c r="D805" i="106" s="1"/>
  <c r="B6989" i="106"/>
  <c r="D6989" i="106" s="1"/>
  <c r="K89" i="29"/>
  <c r="B6990" i="106" s="1"/>
  <c r="D6990" i="106" s="1"/>
  <c r="K224" i="29"/>
  <c r="B1473" i="106" s="1"/>
  <c r="D1473" i="106" s="1"/>
  <c r="B1409" i="106"/>
  <c r="D1409" i="106" s="1"/>
  <c r="B841" i="106"/>
  <c r="D841" i="106" s="1"/>
  <c r="B4394" i="106"/>
  <c r="D4394" i="106" s="1"/>
  <c r="B3639" i="106"/>
  <c r="D3639" i="106" s="1"/>
  <c r="B5098" i="106"/>
  <c r="D5098" i="106" s="1"/>
  <c r="B6954" i="106"/>
  <c r="D6954" i="106" s="1"/>
  <c r="B5765" i="106"/>
  <c r="D5765" i="106" s="1"/>
  <c r="B4946" i="106"/>
  <c r="D4946" i="106" s="1"/>
  <c r="B1019" i="106"/>
  <c r="D1019" i="106" s="1"/>
  <c r="B6643" i="106"/>
  <c r="D6643" i="106" s="1"/>
  <c r="B5065" i="106"/>
  <c r="D5065" i="106" s="1"/>
  <c r="B18" i="7"/>
  <c r="B2801" i="106"/>
  <c r="D2801" i="106" s="1"/>
  <c r="B6350" i="106"/>
  <c r="D6350" i="106" s="1"/>
  <c r="B6628" i="106"/>
  <c r="D6628" i="106" s="1"/>
  <c r="B921" i="106"/>
  <c r="D921" i="106" s="1"/>
  <c r="B6155" i="106"/>
  <c r="D6155" i="106" s="1"/>
  <c r="B97" i="106"/>
  <c r="D97" i="106" s="1"/>
  <c r="B5085" i="106"/>
  <c r="D5085" i="106" s="1"/>
  <c r="B5749" i="106"/>
  <c r="D5749" i="106" s="1"/>
  <c r="G141" i="5"/>
  <c r="B6152" i="106"/>
  <c r="D6152" i="106" s="1"/>
  <c r="B782" i="106"/>
  <c r="D782" i="106" s="1"/>
  <c r="B5072" i="106"/>
  <c r="D5072" i="106" s="1"/>
  <c r="C40" i="5"/>
  <c r="B5087" i="106" s="1"/>
  <c r="D5087" i="106" s="1"/>
  <c r="B6811" i="106"/>
  <c r="D6811" i="106" s="1"/>
  <c r="B6820" i="106"/>
  <c r="D6820" i="106" s="1"/>
  <c r="F118" i="34"/>
  <c r="B6388" i="106"/>
  <c r="D6388" i="106" s="1"/>
  <c r="B6392" i="106"/>
  <c r="D6392" i="106" s="1"/>
  <c r="B6830" i="106"/>
  <c r="D6830" i="106" s="1"/>
  <c r="B6911" i="106"/>
  <c r="D6911" i="106" s="1"/>
  <c r="B1366" i="106"/>
  <c r="D1366" i="106" s="1"/>
  <c r="H184" i="29"/>
  <c r="B1370" i="106" s="1"/>
  <c r="D1370" i="106" s="1"/>
  <c r="B7815" i="106"/>
  <c r="D7815" i="106" s="1"/>
  <c r="B978" i="106"/>
  <c r="D978" i="106" s="1"/>
  <c r="G72" i="29"/>
  <c r="B985" i="106" s="1"/>
  <c r="D985" i="106" s="1"/>
  <c r="K56" i="29"/>
  <c r="B736" i="106"/>
  <c r="D736" i="106" s="1"/>
  <c r="B6168" i="106"/>
  <c r="D6168" i="106" s="1"/>
  <c r="D57" i="29"/>
  <c r="B795" i="106" s="1"/>
  <c r="D795" i="106" s="1"/>
  <c r="B793" i="106"/>
  <c r="D793" i="106" s="1"/>
  <c r="B6309" i="106"/>
  <c r="D6309" i="106" s="1"/>
  <c r="B5511" i="106"/>
  <c r="D5511" i="106" s="1"/>
  <c r="E108" i="5"/>
  <c r="B5526" i="106" s="1"/>
  <c r="D5526" i="106" s="1"/>
  <c r="B5522" i="106"/>
  <c r="D5522" i="106" s="1"/>
  <c r="B4421" i="106"/>
  <c r="D4421" i="106" s="1"/>
  <c r="B953" i="106"/>
  <c r="D953" i="106" s="1"/>
  <c r="G42" i="29"/>
  <c r="K205" i="29"/>
  <c r="B7068" i="106" s="1"/>
  <c r="D7068" i="106" s="1"/>
  <c r="B7067" i="106"/>
  <c r="D7067" i="106" s="1"/>
  <c r="B208" i="106"/>
  <c r="D208" i="106" s="1"/>
  <c r="B88" i="106"/>
  <c r="D88" i="106" s="1"/>
  <c r="B6394" i="106"/>
  <c r="D6394" i="106" s="1"/>
  <c r="B7259" i="106"/>
  <c r="D7259" i="106" s="1"/>
  <c r="B1033" i="106"/>
  <c r="D1033" i="106" s="1"/>
  <c r="B5572" i="106"/>
  <c r="D5572" i="106" s="1"/>
  <c r="F89" i="34"/>
  <c r="B5609" i="106"/>
  <c r="D5609" i="106" s="1"/>
  <c r="B6094" i="106"/>
  <c r="D6094" i="106" s="1"/>
  <c r="B5439" i="106"/>
  <c r="D5439" i="106" s="1"/>
  <c r="B4882" i="106"/>
  <c r="D4882" i="106" s="1"/>
  <c r="B4368" i="106"/>
  <c r="D4368" i="106" s="1"/>
  <c r="K175" i="5"/>
  <c r="B4951" i="106" s="1"/>
  <c r="D4951" i="106" s="1"/>
  <c r="B3367" i="106"/>
  <c r="D3367" i="106" s="1"/>
  <c r="K19" i="29"/>
  <c r="B3381" i="106" s="1"/>
  <c r="D3381" i="106" s="1"/>
  <c r="B938" i="106"/>
  <c r="D938" i="106" s="1"/>
  <c r="K232" i="29"/>
  <c r="D238" i="29"/>
  <c r="B1411" i="106"/>
  <c r="D1411" i="106" s="1"/>
  <c r="F96" i="34"/>
  <c r="B5103" i="106"/>
  <c r="D5103" i="106" s="1"/>
  <c r="C93" i="5"/>
  <c r="B5112" i="106" s="1"/>
  <c r="D5112" i="106" s="1"/>
  <c r="G145" i="5"/>
  <c r="B5756" i="106" s="1"/>
  <c r="D5756" i="106" s="1"/>
  <c r="B5754" i="106"/>
  <c r="D5754" i="106" s="1"/>
  <c r="B7014" i="106"/>
  <c r="D7014" i="106" s="1"/>
  <c r="B5362" i="106"/>
  <c r="D5362" i="106" s="1"/>
  <c r="B4364" i="106"/>
  <c r="D4364" i="106" s="1"/>
  <c r="E175" i="5"/>
  <c r="B4372" i="106" s="1"/>
  <c r="D4372" i="106" s="1"/>
  <c r="B1029" i="106"/>
  <c r="D1029" i="106" s="1"/>
  <c r="B7181" i="106"/>
  <c r="D7181" i="106" s="1"/>
  <c r="K326" i="29"/>
  <c r="B7189" i="106" s="1"/>
  <c r="D7189" i="106" s="1"/>
  <c r="C141" i="5"/>
  <c r="B5148" i="106"/>
  <c r="D5148" i="106" s="1"/>
  <c r="B6751" i="106"/>
  <c r="D6751" i="106" s="1"/>
  <c r="B5569" i="106"/>
  <c r="D5569" i="106" s="1"/>
  <c r="F21" i="34"/>
  <c r="B7165" i="106"/>
  <c r="D7165" i="106" s="1"/>
  <c r="C34" i="3"/>
  <c r="B91" i="106" s="1"/>
  <c r="D91" i="106" s="1"/>
  <c r="B6125" i="106"/>
  <c r="D6125" i="106" s="1"/>
  <c r="B6324" i="106"/>
  <c r="D6324" i="106" s="1"/>
  <c r="B1549" i="106"/>
  <c r="D1549" i="106" s="1"/>
  <c r="H303" i="29"/>
  <c r="B5880" i="106"/>
  <c r="D5880" i="106" s="1"/>
  <c r="H67" i="5"/>
  <c r="B5881" i="106" s="1"/>
  <c r="D5881" i="106" s="1"/>
  <c r="B6325" i="106"/>
  <c r="D6325" i="106" s="1"/>
  <c r="B5078" i="106"/>
  <c r="D5078" i="106" s="1"/>
  <c r="B5116" i="106"/>
  <c r="D5116" i="106" s="1"/>
  <c r="B5083" i="106"/>
  <c r="D5083" i="106" s="1"/>
  <c r="B6111" i="106"/>
  <c r="D6111" i="106" s="1"/>
  <c r="B4381" i="106"/>
  <c r="D4381" i="106" s="1"/>
  <c r="B6663" i="106"/>
  <c r="D6663" i="106" s="1"/>
  <c r="J67" i="5"/>
  <c r="B6318" i="106" s="1"/>
  <c r="D6318" i="106" s="1"/>
  <c r="B6316" i="106"/>
  <c r="D6316" i="106" s="1"/>
  <c r="B2955" i="106"/>
  <c r="D2955" i="106" s="1"/>
  <c r="H84" i="29"/>
  <c r="B5524" i="106"/>
  <c r="D5524" i="106" s="1"/>
  <c r="B6134" i="106"/>
  <c r="D6134" i="106" s="1"/>
  <c r="B5353" i="106"/>
  <c r="D5353" i="106" s="1"/>
  <c r="B852" i="106"/>
  <c r="D852" i="106" s="1"/>
  <c r="B3373" i="106"/>
  <c r="D3373" i="106" s="1"/>
  <c r="B6408" i="106"/>
  <c r="D6408" i="106" s="1"/>
  <c r="B6813" i="106"/>
  <c r="D6813" i="106" s="1"/>
  <c r="B6673" i="106"/>
  <c r="D6673" i="106" s="1"/>
  <c r="K203" i="29"/>
  <c r="B1385" i="106" s="1"/>
  <c r="D1385" i="106" s="1"/>
  <c r="B1373" i="106"/>
  <c r="D1373" i="106" s="1"/>
  <c r="B6378" i="106"/>
  <c r="D6378" i="106" s="1"/>
  <c r="B4802" i="106"/>
  <c r="D4802" i="106" s="1"/>
  <c r="B7136" i="106"/>
  <c r="D7136" i="106" s="1"/>
  <c r="K321" i="29"/>
  <c r="B7144" i="106" s="1"/>
  <c r="D7144" i="106" s="1"/>
  <c r="I18" i="5"/>
  <c r="B5923" i="106" s="1"/>
  <c r="D5923" i="106" s="1"/>
  <c r="B5919" i="106"/>
  <c r="D5919" i="106" s="1"/>
  <c r="K8" i="29"/>
  <c r="B3380" i="106" s="1"/>
  <c r="D3380" i="106" s="1"/>
  <c r="B3366" i="106"/>
  <c r="D3366" i="106" s="1"/>
  <c r="B5119" i="106"/>
  <c r="D5119" i="106" s="1"/>
  <c r="B5095" i="106"/>
  <c r="D5095" i="106" s="1"/>
  <c r="K123" i="29"/>
  <c r="B1275" i="106" s="1"/>
  <c r="D1275" i="106" s="1"/>
  <c r="B1220" i="106"/>
  <c r="D1220" i="106" s="1"/>
  <c r="B2831" i="106"/>
  <c r="D2831" i="106" s="1"/>
  <c r="K201" i="29"/>
  <c r="B2841" i="106" s="1"/>
  <c r="D2841" i="106" s="1"/>
  <c r="F158" i="34"/>
  <c r="B7761" i="106"/>
  <c r="D7761" i="106" s="1"/>
  <c r="C175" i="5"/>
  <c r="B5225" i="106" s="1"/>
  <c r="D5225" i="106" s="1"/>
  <c r="B5224" i="106"/>
  <c r="D5224" i="106" s="1"/>
  <c r="B6188" i="106"/>
  <c r="D6188" i="106" s="1"/>
  <c r="B5108" i="106"/>
  <c r="D5108" i="106" s="1"/>
  <c r="B6407" i="106"/>
  <c r="D6407" i="106" s="1"/>
  <c r="B184" i="106"/>
  <c r="D184" i="106" s="1"/>
  <c r="F129" i="34"/>
  <c r="B5279" i="106"/>
  <c r="D5279" i="106" s="1"/>
  <c r="K34" i="3"/>
  <c r="B3565" i="106" s="1"/>
  <c r="D3565" i="106" s="1"/>
  <c r="B6132" i="106"/>
  <c r="D6132" i="106" s="1"/>
  <c r="B5333" i="106"/>
  <c r="D5333" i="106" s="1"/>
  <c r="B6633" i="106"/>
  <c r="D6633" i="106" s="1"/>
  <c r="B5990" i="106"/>
  <c r="D5990" i="106" s="1"/>
  <c r="B6866" i="106"/>
  <c r="D6866" i="106" s="1"/>
  <c r="B7702" i="106"/>
  <c r="D7702" i="106" s="1"/>
  <c r="B6346" i="106"/>
  <c r="D6346" i="106" s="1"/>
  <c r="B3646" i="106"/>
  <c r="D3646" i="106" s="1"/>
  <c r="F93" i="34"/>
  <c r="B7764" i="106"/>
  <c r="D7764" i="106" s="1"/>
  <c r="B4409" i="106"/>
  <c r="D4409" i="106" s="1"/>
  <c r="K97" i="29"/>
  <c r="B7005" i="106" s="1"/>
  <c r="D7005" i="106" s="1"/>
  <c r="B7004" i="106"/>
  <c r="D7004" i="106" s="1"/>
  <c r="B6121" i="106"/>
  <c r="D6121" i="106" s="1"/>
  <c r="B6395" i="106"/>
  <c r="D6395" i="106" s="1"/>
  <c r="F18" i="34"/>
  <c r="B5564" i="106"/>
  <c r="D5564" i="106" s="1"/>
  <c r="B7102" i="106"/>
  <c r="D7102" i="106" s="1"/>
  <c r="K64" i="29"/>
  <c r="B743" i="106"/>
  <c r="D743" i="106" s="1"/>
  <c r="B6909" i="106"/>
  <c r="D6909" i="106" s="1"/>
  <c r="J330" i="29"/>
  <c r="B7125" i="106"/>
  <c r="D7125" i="106" s="1"/>
  <c r="B7636" i="106"/>
  <c r="H160" i="29"/>
  <c r="B7777" i="106"/>
  <c r="D7777" i="106" s="1"/>
  <c r="K157" i="29"/>
  <c r="K193" i="29"/>
  <c r="B3012" i="106" s="1"/>
  <c r="D3012" i="106" s="1"/>
  <c r="B2994" i="106"/>
  <c r="D2994" i="106" s="1"/>
  <c r="B7233" i="106"/>
  <c r="D7233" i="106" s="1"/>
  <c r="B4917" i="106"/>
  <c r="D4917" i="106" s="1"/>
  <c r="B724" i="106"/>
  <c r="D724" i="106" s="1"/>
  <c r="K39" i="29"/>
  <c r="B1112" i="106" s="1"/>
  <c r="D1112" i="106" s="1"/>
  <c r="F134" i="34"/>
  <c r="B6626" i="106"/>
  <c r="D6626" i="106" s="1"/>
  <c r="F101" i="34"/>
  <c r="C108" i="5"/>
  <c r="B5120" i="106" s="1"/>
  <c r="D5120" i="106" s="1"/>
  <c r="B5113" i="106"/>
  <c r="D5113" i="106" s="1"/>
  <c r="B5697" i="106"/>
  <c r="D5697" i="106" s="1"/>
  <c r="B5708" i="106"/>
  <c r="D5708" i="106" s="1"/>
  <c r="B4359" i="106"/>
  <c r="D4359" i="106" s="1"/>
  <c r="B4322" i="106"/>
  <c r="D4322" i="106" s="1"/>
  <c r="B5996" i="106"/>
  <c r="D5996" i="106" s="1"/>
  <c r="K108" i="5"/>
  <c r="B5999" i="106" s="1"/>
  <c r="D5999" i="106" s="1"/>
  <c r="B1251" i="106"/>
  <c r="D1251" i="106" s="1"/>
  <c r="G127" i="29"/>
  <c r="B6723" i="106"/>
  <c r="D6723" i="106" s="1"/>
  <c r="B6770" i="106"/>
  <c r="D6770" i="106" s="1"/>
  <c r="B5853" i="106"/>
  <c r="D5853" i="106" s="1"/>
  <c r="B3377" i="106"/>
  <c r="D3377" i="106" s="1"/>
  <c r="B1537" i="106"/>
  <c r="D1537" i="106" s="1"/>
  <c r="F303" i="29"/>
  <c r="B6803" i="106"/>
  <c r="D6803" i="106" s="1"/>
  <c r="B6374" i="106"/>
  <c r="D6374" i="106" s="1"/>
  <c r="K169" i="5"/>
  <c r="B5000" i="106" s="1"/>
  <c r="D5000" i="106" s="1"/>
  <c r="B6782" i="106"/>
  <c r="D6782" i="106" s="1"/>
  <c r="B7160" i="106"/>
  <c r="D7160" i="106" s="1"/>
  <c r="K29" i="29"/>
  <c r="B6894" i="106"/>
  <c r="D6894" i="106" s="1"/>
  <c r="B6089" i="106"/>
  <c r="D6089" i="106" s="1"/>
  <c r="B2947" i="106"/>
  <c r="D2947" i="106" s="1"/>
  <c r="K101" i="29"/>
  <c r="B7015" i="106" s="1"/>
  <c r="D7015" i="106" s="1"/>
  <c r="B6854" i="106"/>
  <c r="D6854" i="106" s="1"/>
  <c r="B1431" i="106"/>
  <c r="D1431" i="106" s="1"/>
  <c r="K266" i="29"/>
  <c r="B1495" i="106" s="1"/>
  <c r="D1495" i="106" s="1"/>
  <c r="B6959" i="106"/>
  <c r="D6959" i="106" s="1"/>
  <c r="B6304" i="106"/>
  <c r="D6304" i="106" s="1"/>
  <c r="B6791" i="106"/>
  <c r="D6791" i="106" s="1"/>
  <c r="B6393" i="106"/>
  <c r="D6393" i="106" s="1"/>
  <c r="B2956" i="106"/>
  <c r="D2956" i="106" s="1"/>
  <c r="B6631" i="106"/>
  <c r="D6631" i="106" s="1"/>
  <c r="B6638" i="106"/>
  <c r="D6638" i="106" s="1"/>
  <c r="G330" i="29"/>
  <c r="B7122" i="106"/>
  <c r="D7122" i="106" s="1"/>
  <c r="B7810" i="106"/>
  <c r="D7810" i="106" s="1"/>
  <c r="C75" i="5"/>
  <c r="B6031" i="106"/>
  <c r="D6031" i="106" s="1"/>
  <c r="B7152" i="106"/>
  <c r="D7152" i="106" s="1"/>
  <c r="B7639" i="106"/>
  <c r="G217" i="5"/>
  <c r="B5829" i="106" s="1"/>
  <c r="D5829" i="106" s="1"/>
  <c r="B5817" i="106"/>
  <c r="D5817" i="106" s="1"/>
  <c r="C82" i="5"/>
  <c r="B5097" i="106"/>
  <c r="D5097" i="106" s="1"/>
  <c r="K191" i="29"/>
  <c r="B3010" i="106" s="1"/>
  <c r="D3010" i="106" s="1"/>
  <c r="B2992" i="106"/>
  <c r="D2992" i="106" s="1"/>
  <c r="K17" i="29"/>
  <c r="B6871" i="106" s="1"/>
  <c r="D6871" i="106" s="1"/>
  <c r="B7263" i="106"/>
  <c r="B6817" i="106"/>
  <c r="D6817" i="106" s="1"/>
  <c r="F155" i="34"/>
  <c r="B6635" i="106"/>
  <c r="D6635" i="106" s="1"/>
  <c r="B4328" i="106"/>
  <c r="D4328" i="106" s="1"/>
  <c r="F100" i="34"/>
  <c r="B5111" i="106"/>
  <c r="D5111" i="106" s="1"/>
  <c r="B5239" i="106"/>
  <c r="D5239" i="106" s="1"/>
  <c r="B6373" i="106"/>
  <c r="D6373" i="106" s="1"/>
  <c r="J169" i="5"/>
  <c r="B6396" i="106" s="1"/>
  <c r="D6396" i="106" s="1"/>
  <c r="B7035" i="106"/>
  <c r="D7035" i="106" s="1"/>
  <c r="B6965" i="106"/>
  <c r="D6965" i="106" s="1"/>
  <c r="B4922" i="106"/>
  <c r="D4922" i="106" s="1"/>
  <c r="B5520" i="106"/>
  <c r="D5520" i="106" s="1"/>
  <c r="F164" i="34"/>
  <c r="B4418" i="106"/>
  <c r="D4418" i="106" s="1"/>
  <c r="G33" i="29"/>
  <c r="B952" i="106" s="1"/>
  <c r="D952" i="106" s="1"/>
  <c r="B937" i="106"/>
  <c r="D937" i="106" s="1"/>
  <c r="K364" i="29"/>
  <c r="B7746" i="106" s="1"/>
  <c r="D7746" i="106" s="1"/>
  <c r="B7745" i="106"/>
  <c r="D7745" i="106" s="1"/>
  <c r="B890" i="106"/>
  <c r="D890" i="106" s="1"/>
  <c r="B5593" i="106"/>
  <c r="D5593" i="106" s="1"/>
  <c r="F122" i="5"/>
  <c r="B5599" i="106" s="1"/>
  <c r="D5599" i="106" s="1"/>
  <c r="B6117" i="106"/>
  <c r="D6117" i="106" s="1"/>
  <c r="B6684" i="106"/>
  <c r="D6684" i="106" s="1"/>
  <c r="K148" i="29"/>
  <c r="B7050" i="106" s="1"/>
  <c r="D7050" i="106" s="1"/>
  <c r="B7049" i="106"/>
  <c r="D7049" i="106" s="1"/>
  <c r="B6796" i="106"/>
  <c r="D6796" i="106" s="1"/>
  <c r="B7688" i="106"/>
  <c r="D7688" i="106" s="1"/>
  <c r="K328" i="29"/>
  <c r="B7696" i="106" s="1"/>
  <c r="D7696" i="106" s="1"/>
  <c r="B7769" i="106"/>
  <c r="D7769" i="106" s="1"/>
  <c r="B1244" i="106"/>
  <c r="D1244" i="106" s="1"/>
  <c r="B4810" i="106"/>
  <c r="D4810" i="106" s="1"/>
  <c r="G181" i="5"/>
  <c r="B5784" i="106" s="1"/>
  <c r="D5784" i="106" s="1"/>
  <c r="H108" i="5"/>
  <c r="B5886" i="106" s="1"/>
  <c r="D5886" i="106" s="1"/>
  <c r="B5882" i="106"/>
  <c r="D5882" i="106" s="1"/>
  <c r="B6096" i="106"/>
  <c r="D6096" i="106" s="1"/>
  <c r="B5625" i="106"/>
  <c r="D5625" i="106" s="1"/>
  <c r="K234" i="29"/>
  <c r="B1477" i="106" s="1"/>
  <c r="D1477" i="106" s="1"/>
  <c r="B1413" i="106"/>
  <c r="D1413" i="106" s="1"/>
  <c r="B6807" i="106"/>
  <c r="D6807" i="106" s="1"/>
  <c r="B5076" i="106"/>
  <c r="D5076" i="106" s="1"/>
  <c r="B1015" i="106"/>
  <c r="D1015" i="106" s="1"/>
  <c r="B858" i="106"/>
  <c r="D858" i="106" s="1"/>
  <c r="B7179" i="106"/>
  <c r="D7179" i="106" s="1"/>
  <c r="B4181" i="106"/>
  <c r="D4181" i="106" s="1"/>
  <c r="B7250" i="106"/>
  <c r="D7250" i="106" s="1"/>
  <c r="B6914" i="106"/>
  <c r="D6914" i="106" s="1"/>
  <c r="B7187" i="106"/>
  <c r="D7187" i="106" s="1"/>
  <c r="B6172" i="106"/>
  <c r="D6172" i="106" s="1"/>
  <c r="B4806" i="106"/>
  <c r="D4806" i="106" s="1"/>
  <c r="B1011" i="106"/>
  <c r="D1011" i="106" s="1"/>
  <c r="H42" i="29"/>
  <c r="B4334" i="106"/>
  <c r="D4334" i="106" s="1"/>
  <c r="G114" i="5"/>
  <c r="B5738" i="106"/>
  <c r="D5738" i="106" s="1"/>
  <c r="B717" i="106"/>
  <c r="D717" i="106" s="1"/>
  <c r="K13" i="29"/>
  <c r="B1105" i="106" s="1"/>
  <c r="D1105" i="106" s="1"/>
  <c r="K11" i="29"/>
  <c r="B7257" i="106"/>
  <c r="D7257" i="106" s="1"/>
  <c r="B7044" i="106"/>
  <c r="D7044" i="106" s="1"/>
  <c r="B5525" i="106"/>
  <c r="D5525" i="106" s="1"/>
  <c r="B6762" i="106"/>
  <c r="D6762" i="106" s="1"/>
  <c r="B6971" i="106"/>
  <c r="D6971" i="106" s="1"/>
  <c r="B6728" i="106"/>
  <c r="D6728" i="106" s="1"/>
  <c r="B7768" i="106"/>
  <c r="D7768" i="106" s="1"/>
  <c r="B7039" i="106"/>
  <c r="D7039" i="106" s="1"/>
  <c r="B6702" i="106"/>
  <c r="D6702" i="106" s="1"/>
  <c r="H169" i="5"/>
  <c r="B5899" i="106" s="1"/>
  <c r="D5899" i="106" s="1"/>
  <c r="B6371" i="106"/>
  <c r="D6371" i="106" s="1"/>
  <c r="B6726" i="106"/>
  <c r="D6726" i="106" s="1"/>
  <c r="B6929" i="106"/>
  <c r="D6929" i="106" s="1"/>
  <c r="B6814" i="106"/>
  <c r="D6814" i="106" s="1"/>
  <c r="B5459" i="106"/>
  <c r="D5459" i="106" s="1"/>
  <c r="F32" i="34"/>
  <c r="B4344" i="106"/>
  <c r="D4344" i="106" s="1"/>
  <c r="B6904" i="106"/>
  <c r="D6904" i="106" s="1"/>
  <c r="I42" i="29"/>
  <c r="B787" i="106"/>
  <c r="D787" i="106" s="1"/>
  <c r="E13" i="3"/>
  <c r="B131" i="106" s="1"/>
  <c r="D131" i="106" s="1"/>
  <c r="D36" i="36"/>
  <c r="B3417" i="106"/>
  <c r="D3417" i="106" s="1"/>
  <c r="B4865" i="106"/>
  <c r="D4865" i="106" s="1"/>
  <c r="B5422" i="106"/>
  <c r="D5422" i="106" s="1"/>
  <c r="D175" i="5"/>
  <c r="B5423" i="106" s="1"/>
  <c r="D5423" i="106" s="1"/>
  <c r="B2995" i="106"/>
  <c r="D2995" i="106" s="1"/>
  <c r="H194" i="29"/>
  <c r="B2953" i="106"/>
  <c r="D2953" i="106" s="1"/>
  <c r="K82" i="29"/>
  <c r="B2977" i="106" s="1"/>
  <c r="D2977" i="106" s="1"/>
  <c r="B6970" i="106"/>
  <c r="D6970" i="106" s="1"/>
  <c r="B1046" i="106"/>
  <c r="D1046" i="106" s="1"/>
  <c r="B1341" i="106"/>
  <c r="D1341" i="106" s="1"/>
  <c r="D184" i="29"/>
  <c r="B6816" i="106"/>
  <c r="D6816" i="106" s="1"/>
  <c r="B2092" i="106"/>
  <c r="D2092" i="106" s="1"/>
  <c r="K138" i="29"/>
  <c r="B2094" i="106" s="1"/>
  <c r="D2094" i="106" s="1"/>
  <c r="G12" i="5"/>
  <c r="B8" i="7"/>
  <c r="B5721" i="106"/>
  <c r="D5721" i="106" s="1"/>
  <c r="B7256" i="106"/>
  <c r="D7256" i="106" s="1"/>
  <c r="K159" i="29"/>
  <c r="B7782" i="106" s="1"/>
  <c r="D7782" i="106" s="1"/>
  <c r="B7781" i="106"/>
  <c r="D7781" i="106" s="1"/>
  <c r="B780" i="106"/>
  <c r="D780" i="106" s="1"/>
  <c r="B6742" i="106"/>
  <c r="D6742" i="106" s="1"/>
  <c r="B6623" i="106"/>
  <c r="D6623" i="106" s="1"/>
  <c r="K69" i="29"/>
  <c r="B748" i="106"/>
  <c r="D748" i="106" s="1"/>
  <c r="B807" i="106"/>
  <c r="D807" i="106" s="1"/>
  <c r="B6752" i="106"/>
  <c r="D6752" i="106" s="1"/>
  <c r="B7093" i="106"/>
  <c r="D7093" i="106" s="1"/>
  <c r="K254" i="29"/>
  <c r="B7094" i="106" s="1"/>
  <c r="D7094" i="106" s="1"/>
  <c r="B7229" i="106"/>
  <c r="D7229" i="106" s="1"/>
  <c r="B5512" i="106"/>
  <c r="D5512" i="106" s="1"/>
  <c r="B2981" i="106"/>
  <c r="D2981" i="106" s="1"/>
  <c r="K51" i="29"/>
  <c r="B2718" i="106"/>
  <c r="D2718" i="106" s="1"/>
  <c r="B899" i="106"/>
  <c r="D899" i="106" s="1"/>
  <c r="B206" i="106"/>
  <c r="D206" i="106" s="1"/>
  <c r="B6107" i="106"/>
  <c r="D6107" i="106" s="1"/>
  <c r="F330" i="29"/>
  <c r="B7121" i="106"/>
  <c r="D7121" i="106" s="1"/>
  <c r="B6644" i="106"/>
  <c r="D6644" i="106" s="1"/>
  <c r="B6980" i="106"/>
  <c r="D6980" i="106" s="1"/>
  <c r="B833" i="106"/>
  <c r="D833" i="106" s="1"/>
  <c r="B7146" i="106"/>
  <c r="D7146" i="106" s="1"/>
  <c r="B5278" i="106"/>
  <c r="D5278" i="106" s="1"/>
  <c r="F128" i="34"/>
  <c r="B6657" i="106"/>
  <c r="D6657" i="106" s="1"/>
  <c r="B6828" i="106"/>
  <c r="D6828" i="106" s="1"/>
  <c r="K325" i="29"/>
  <c r="B7180" i="106" s="1"/>
  <c r="D7180" i="106" s="1"/>
  <c r="B7172" i="106"/>
  <c r="D7172" i="106" s="1"/>
  <c r="B5069" i="106"/>
  <c r="D5069" i="106" s="1"/>
  <c r="B775" i="106"/>
  <c r="D775" i="106" s="1"/>
  <c r="B5105" i="106"/>
  <c r="D5105" i="106" s="1"/>
  <c r="H122" i="5"/>
  <c r="B5887" i="106"/>
  <c r="D5887" i="106" s="1"/>
  <c r="C145" i="5"/>
  <c r="B5163" i="106"/>
  <c r="D5163" i="106" s="1"/>
  <c r="B6793" i="106"/>
  <c r="D6793" i="106" s="1"/>
  <c r="F152" i="34"/>
  <c r="B6882" i="106"/>
  <c r="D6882" i="106" s="1"/>
  <c r="K23" i="29"/>
  <c r="B3484" i="106"/>
  <c r="D3484" i="106" s="1"/>
  <c r="K134" i="29"/>
  <c r="B2986" i="106" s="1"/>
  <c r="D2986" i="106" s="1"/>
  <c r="B4199" i="106"/>
  <c r="D4199" i="106" s="1"/>
  <c r="B6666" i="106"/>
  <c r="D6666" i="106" s="1"/>
  <c r="F139" i="34"/>
  <c r="B5575" i="106"/>
  <c r="D5575" i="106" s="1"/>
  <c r="F92" i="34"/>
  <c r="J13" i="3"/>
  <c r="B6124" i="106" s="1"/>
  <c r="D6124" i="106" s="1"/>
  <c r="B6219" i="106"/>
  <c r="D6219" i="106" s="1"/>
  <c r="B4333" i="106"/>
  <c r="D4333" i="106" s="1"/>
  <c r="B5994" i="106"/>
  <c r="D5994" i="106" s="1"/>
  <c r="B185" i="106"/>
  <c r="D185" i="106" s="1"/>
  <c r="B6991" i="106"/>
  <c r="D6991" i="106" s="1"/>
  <c r="K90" i="29"/>
  <c r="B6992" i="106" s="1"/>
  <c r="D6992" i="106" s="1"/>
  <c r="B7142" i="106"/>
  <c r="D7142" i="106" s="1"/>
  <c r="K99" i="29"/>
  <c r="B7010" i="106" s="1"/>
  <c r="D7010" i="106" s="1"/>
  <c r="E100" i="29"/>
  <c r="B7011" i="106" s="1"/>
  <c r="D7011" i="106" s="1"/>
  <c r="B7008" i="106"/>
  <c r="D7008" i="106" s="1"/>
  <c r="K13" i="3"/>
  <c r="B3552" i="106" s="1"/>
  <c r="D3552" i="106" s="1"/>
  <c r="B3548" i="106"/>
  <c r="D3548" i="106" s="1"/>
  <c r="B5153" i="106"/>
  <c r="D5153" i="106" s="1"/>
  <c r="B4342" i="106"/>
  <c r="D4342" i="106" s="1"/>
  <c r="B6081" i="106"/>
  <c r="D6081" i="106" s="1"/>
  <c r="B7228" i="106"/>
  <c r="D7228" i="106" s="1"/>
  <c r="K319" i="29"/>
  <c r="C330" i="29"/>
  <c r="B7118" i="106"/>
  <c r="D7118" i="106" s="1"/>
  <c r="F162" i="34"/>
  <c r="B5315" i="106"/>
  <c r="D5315" i="106" s="1"/>
  <c r="B5728" i="106"/>
  <c r="D5728" i="106" s="1"/>
  <c r="B6327" i="106"/>
  <c r="D6327" i="106" s="1"/>
  <c r="B5692" i="106"/>
  <c r="D5692" i="106" s="1"/>
  <c r="B6697" i="106"/>
  <c r="D6697" i="106" s="1"/>
  <c r="B968" i="106"/>
  <c r="D968" i="106" s="1"/>
  <c r="B7123" i="106"/>
  <c r="D7123" i="106" s="1"/>
  <c r="H330" i="29"/>
  <c r="B1445" i="106"/>
  <c r="D1445" i="106" s="1"/>
  <c r="K278" i="29"/>
  <c r="B1509" i="106" s="1"/>
  <c r="D1509" i="106" s="1"/>
  <c r="K221" i="29"/>
  <c r="B1406" i="106"/>
  <c r="D1406" i="106" s="1"/>
  <c r="B5092" i="106"/>
  <c r="D5092" i="106" s="1"/>
  <c r="H13" i="3"/>
  <c r="B203" i="106" s="1"/>
  <c r="D203" i="106" s="1"/>
  <c r="B3519" i="106"/>
  <c r="D3519" i="106" s="1"/>
  <c r="B6674" i="106"/>
  <c r="D6674" i="106" s="1"/>
  <c r="F140" i="34"/>
  <c r="B4377" i="106"/>
  <c r="D4377" i="106" s="1"/>
  <c r="B1534" i="106"/>
  <c r="D1534" i="106" s="1"/>
  <c r="B4875" i="106"/>
  <c r="D4875" i="106" s="1"/>
  <c r="B910" i="106"/>
  <c r="D910" i="106" s="1"/>
  <c r="B6786" i="106"/>
  <c r="D6786" i="106" s="1"/>
  <c r="B6800" i="106"/>
  <c r="D6800" i="106" s="1"/>
  <c r="B5790" i="106"/>
  <c r="D5790" i="106" s="1"/>
  <c r="G204" i="5"/>
  <c r="B5803" i="106" s="1"/>
  <c r="D5803" i="106" s="1"/>
  <c r="B7184" i="106"/>
  <c r="D7184" i="106" s="1"/>
  <c r="B6300" i="106"/>
  <c r="D6300" i="106" s="1"/>
  <c r="B7232" i="106"/>
  <c r="D7232" i="106" s="1"/>
  <c r="B5485" i="106"/>
  <c r="D5485" i="106" s="1"/>
  <c r="D221" i="5"/>
  <c r="B5488" i="106" s="1"/>
  <c r="D5488" i="106" s="1"/>
  <c r="B6148" i="106"/>
  <c r="D6148" i="106" s="1"/>
  <c r="B965" i="106"/>
  <c r="D965" i="106" s="1"/>
  <c r="B6" i="7"/>
  <c r="B5509" i="106"/>
  <c r="D5509" i="106" s="1"/>
  <c r="E12" i="5"/>
  <c r="B5998" i="106"/>
  <c r="D5998" i="106" s="1"/>
  <c r="B2993" i="106"/>
  <c r="D2993" i="106" s="1"/>
  <c r="K192" i="29"/>
  <c r="B3011" i="106" s="1"/>
  <c r="D3011" i="106" s="1"/>
  <c r="B4317" i="106"/>
  <c r="D4317" i="106" s="1"/>
  <c r="F119" i="34"/>
  <c r="B5086" i="106"/>
  <c r="D5086" i="106" s="1"/>
  <c r="H334" i="29"/>
  <c r="B7789" i="106" s="1"/>
  <c r="D7789" i="106" s="1"/>
  <c r="B7785" i="106"/>
  <c r="D7785" i="106" s="1"/>
  <c r="K332" i="29"/>
  <c r="B7786" i="106" s="1"/>
  <c r="D7786" i="106" s="1"/>
  <c r="K283" i="29"/>
  <c r="B3723" i="106" s="1"/>
  <c r="D3723" i="106" s="1"/>
  <c r="B3721" i="106"/>
  <c r="D3721" i="106" s="1"/>
  <c r="B6873" i="106"/>
  <c r="D6873" i="106" s="1"/>
  <c r="K309" i="29"/>
  <c r="B3717" i="106" s="1"/>
  <c r="D3717" i="106" s="1"/>
  <c r="B7112" i="106"/>
  <c r="D7112" i="106" s="1"/>
  <c r="B1232" i="106"/>
  <c r="D1232" i="106" s="1"/>
  <c r="G108" i="5"/>
  <c r="B5737" i="106" s="1"/>
  <c r="D5737" i="106" s="1"/>
  <c r="B5734" i="106"/>
  <c r="D5734" i="106" s="1"/>
  <c r="B6390" i="106"/>
  <c r="D6390" i="106" s="1"/>
  <c r="B7106" i="106"/>
  <c r="D7106" i="106" s="1"/>
  <c r="H310" i="29"/>
  <c r="B7115" i="106" s="1"/>
  <c r="D7115" i="106" s="1"/>
  <c r="B1240" i="106"/>
  <c r="D1240" i="106" s="1"/>
  <c r="F141" i="34"/>
  <c r="B6682" i="106"/>
  <c r="D6682" i="106" s="1"/>
  <c r="H53" i="29"/>
  <c r="B1024" i="106" s="1"/>
  <c r="D1024" i="106" s="1"/>
  <c r="B1022" i="106"/>
  <c r="D1022" i="106" s="1"/>
  <c r="K45" i="29"/>
  <c r="B1117" i="106" s="1"/>
  <c r="D1117" i="106" s="1"/>
  <c r="B729" i="106"/>
  <c r="D729" i="106" s="1"/>
  <c r="B5727" i="106"/>
  <c r="D5727" i="106" s="1"/>
  <c r="B6849" i="106"/>
  <c r="D6849" i="106" s="1"/>
  <c r="B6178" i="106"/>
  <c r="D6178" i="106" s="1"/>
  <c r="B6359" i="106"/>
  <c r="D6359" i="106" s="1"/>
  <c r="B7159" i="106"/>
  <c r="D7159" i="106" s="1"/>
  <c r="F113" i="34"/>
  <c r="B5187" i="106"/>
  <c r="D5187" i="106" s="1"/>
  <c r="B5740" i="106"/>
  <c r="D5740" i="106" s="1"/>
  <c r="B6790" i="106"/>
  <c r="D6790" i="106" s="1"/>
  <c r="B4949" i="106"/>
  <c r="D4949" i="106" s="1"/>
  <c r="B7774" i="106"/>
  <c r="D7774" i="106" s="1"/>
  <c r="K133" i="29"/>
  <c r="E137" i="29"/>
  <c r="B6906" i="106"/>
  <c r="D6906" i="106" s="1"/>
  <c r="B6189" i="106"/>
  <c r="D6189" i="106" s="1"/>
  <c r="B5058" i="106"/>
  <c r="D5058" i="106" s="1"/>
  <c r="K41" i="29"/>
  <c r="B1114" i="106" s="1"/>
  <c r="D1114" i="106" s="1"/>
  <c r="B726" i="106"/>
  <c r="D726" i="106" s="1"/>
  <c r="B1412" i="106"/>
  <c r="D1412" i="106" s="1"/>
  <c r="K233" i="29"/>
  <c r="B1476" i="106" s="1"/>
  <c r="D1476" i="106" s="1"/>
  <c r="B6143" i="106"/>
  <c r="D6143" i="106" s="1"/>
  <c r="B1350" i="106"/>
  <c r="D1350" i="106" s="1"/>
  <c r="B6946" i="106"/>
  <c r="D6946" i="106" s="1"/>
  <c r="B6720" i="106"/>
  <c r="D6720" i="106" s="1"/>
  <c r="F144" i="34"/>
  <c r="F160" i="34"/>
  <c r="B5312" i="106"/>
  <c r="D5312" i="106" s="1"/>
  <c r="B3549" i="106"/>
  <c r="D3549" i="106" s="1"/>
  <c r="B6860" i="106"/>
  <c r="D6860" i="106" s="1"/>
  <c r="B5921" i="106"/>
  <c r="D5921" i="106" s="1"/>
  <c r="B6928" i="106"/>
  <c r="D6928" i="106" s="1"/>
  <c r="B6884" i="106"/>
  <c r="D6884" i="106" s="1"/>
  <c r="K24" i="29"/>
  <c r="B5099" i="106"/>
  <c r="D5099" i="106" s="1"/>
  <c r="B6792" i="106"/>
  <c r="D6792" i="106" s="1"/>
  <c r="B4341" i="106"/>
  <c r="D4341" i="106" s="1"/>
  <c r="B872" i="106"/>
  <c r="D872" i="106" s="1"/>
  <c r="B5515" i="106"/>
  <c r="D5515" i="106" s="1"/>
  <c r="B5358" i="106"/>
  <c r="D5358" i="106" s="1"/>
  <c r="B6952" i="106"/>
  <c r="D6952" i="106" s="1"/>
  <c r="B7154" i="106"/>
  <c r="D7154" i="106" s="1"/>
  <c r="K323" i="29"/>
  <c r="B7162" i="106" s="1"/>
  <c r="D7162" i="106" s="1"/>
  <c r="B7253" i="106"/>
  <c r="D7253" i="106" s="1"/>
  <c r="B4228" i="106"/>
  <c r="D4228" i="106" s="1"/>
  <c r="B7137" i="106"/>
  <c r="D7137" i="106" s="1"/>
  <c r="B6915" i="106"/>
  <c r="D6915" i="106" s="1"/>
  <c r="B5494" i="106"/>
  <c r="D5494" i="106" s="1"/>
  <c r="F33" i="34"/>
  <c r="B6670" i="106"/>
  <c r="D6670" i="106" s="1"/>
  <c r="B5743" i="106"/>
  <c r="D5743" i="106" s="1"/>
  <c r="B851" i="106"/>
  <c r="D851" i="106" s="1"/>
  <c r="E57" i="29"/>
  <c r="B853" i="106" s="1"/>
  <c r="D853" i="106" s="1"/>
  <c r="K30" i="29"/>
  <c r="B6896" i="106"/>
  <c r="D6896" i="106" s="1"/>
  <c r="B5729" i="106"/>
  <c r="D5729" i="106" s="1"/>
  <c r="B6624" i="106"/>
  <c r="D6624" i="106" s="1"/>
  <c r="B6703" i="106"/>
  <c r="D6703" i="106" s="1"/>
  <c r="B5134" i="106"/>
  <c r="D5134" i="106" s="1"/>
  <c r="B5241" i="106"/>
  <c r="D5241" i="106" s="1"/>
  <c r="B3000" i="106"/>
  <c r="D3000" i="106" s="1"/>
  <c r="B788" i="106"/>
  <c r="D788" i="106" s="1"/>
  <c r="B5280" i="106"/>
  <c r="D5280" i="106" s="1"/>
  <c r="F130" i="34"/>
  <c r="K85" i="29"/>
  <c r="B6982" i="106" s="1"/>
  <c r="D6982" i="106" s="1"/>
  <c r="H92" i="29"/>
  <c r="B6981" i="106"/>
  <c r="D6981" i="106" s="1"/>
  <c r="K237" i="29"/>
  <c r="B1480" i="106" s="1"/>
  <c r="D1480" i="106" s="1"/>
  <c r="B1416" i="106"/>
  <c r="D1416" i="106" s="1"/>
  <c r="B6376" i="106"/>
  <c r="D6376" i="106" s="1"/>
  <c r="B7169" i="106"/>
  <c r="D7169" i="106" s="1"/>
  <c r="E33" i="29"/>
  <c r="B836" i="106" s="1"/>
  <c r="D836" i="106" s="1"/>
  <c r="B821" i="106"/>
  <c r="D821" i="106" s="1"/>
  <c r="B6145" i="106"/>
  <c r="D6145" i="106" s="1"/>
  <c r="B6784" i="106"/>
  <c r="D6784" i="106" s="1"/>
  <c r="B7698" i="106"/>
  <c r="D7698" i="106" s="1"/>
  <c r="B7260" i="106"/>
  <c r="D7260" i="106" s="1"/>
  <c r="B6084" i="106"/>
  <c r="D6084" i="106" s="1"/>
  <c r="B886" i="106"/>
  <c r="D886" i="106" s="1"/>
  <c r="B6804" i="106"/>
  <c r="D6804" i="106" s="1"/>
  <c r="B5462" i="106"/>
  <c r="D5462" i="106" s="1"/>
  <c r="B7182" i="106"/>
  <c r="D7182" i="106" s="1"/>
  <c r="B7775" i="106"/>
  <c r="D7775" i="106" s="1"/>
  <c r="H137" i="29"/>
  <c r="B712" i="106"/>
  <c r="D712" i="106" s="1"/>
  <c r="K18" i="29"/>
  <c r="B1100" i="106" s="1"/>
  <c r="D1100" i="106" s="1"/>
  <c r="B5068" i="106"/>
  <c r="D5068" i="106" s="1"/>
  <c r="B7689" i="106"/>
  <c r="D7689" i="106" s="1"/>
  <c r="B7061" i="106"/>
  <c r="D7061" i="106" s="1"/>
  <c r="B145" i="106"/>
  <c r="D145" i="106" s="1"/>
  <c r="B6616" i="106"/>
  <c r="D6616" i="106" s="1"/>
  <c r="E252" i="5"/>
  <c r="K95" i="29"/>
  <c r="B7001" i="106" s="1"/>
  <c r="D7001" i="106" s="1"/>
  <c r="B7000" i="106"/>
  <c r="D7000" i="106" s="1"/>
  <c r="B5615" i="106"/>
  <c r="D5615" i="106" s="1"/>
  <c r="F155" i="5"/>
  <c r="B5618" i="106" s="1"/>
  <c r="D5618" i="106" s="1"/>
  <c r="B166" i="106"/>
  <c r="D166" i="106" s="1"/>
  <c r="B5093" i="106"/>
  <c r="D5093" i="106" s="1"/>
  <c r="B6362" i="106"/>
  <c r="D6362" i="106" s="1"/>
  <c r="B4797" i="106"/>
  <c r="D4797" i="106" s="1"/>
  <c r="B5917" i="106"/>
  <c r="D5917" i="106" s="1"/>
  <c r="B1009" i="106"/>
  <c r="D1009" i="106" s="1"/>
  <c r="B5374" i="106"/>
  <c r="D5374" i="106" s="1"/>
  <c r="K7" i="29"/>
  <c r="B6727" i="106"/>
  <c r="D6727" i="106" s="1"/>
  <c r="B6812" i="106"/>
  <c r="D6812" i="106" s="1"/>
  <c r="B5523" i="106"/>
  <c r="D5523" i="106" s="1"/>
  <c r="B6170" i="106"/>
  <c r="D6170" i="106" s="1"/>
  <c r="B870" i="106"/>
  <c r="D870" i="106" s="1"/>
  <c r="B954" i="106"/>
  <c r="D954" i="106" s="1"/>
  <c r="K272" i="29"/>
  <c r="D277" i="29"/>
  <c r="B1444" i="106" s="1"/>
  <c r="D1444" i="106" s="1"/>
  <c r="B1437" i="106"/>
  <c r="D1437" i="106" s="1"/>
  <c r="B6182" i="106"/>
  <c r="D6182" i="106" s="1"/>
  <c r="B3551" i="106"/>
  <c r="D3551" i="106" s="1"/>
  <c r="B6955" i="106"/>
  <c r="D6955" i="106" s="1"/>
  <c r="B7210" i="106"/>
  <c r="D7210" i="106" s="1"/>
  <c r="K338" i="29"/>
  <c r="B7211" i="106" s="1"/>
  <c r="D7211" i="106" s="1"/>
  <c r="B5985" i="106"/>
  <c r="D5985" i="106" s="1"/>
  <c r="K12" i="5"/>
  <c r="B12" i="7"/>
  <c r="B5094" i="106"/>
  <c r="D5094" i="106" s="1"/>
  <c r="B5888" i="106"/>
  <c r="D5888" i="106" s="1"/>
  <c r="B4335" i="106"/>
  <c r="D4335" i="106" s="1"/>
  <c r="B6667" i="106"/>
  <c r="D6667" i="106" s="1"/>
  <c r="J184" i="29"/>
  <c r="J210" i="29" s="1"/>
  <c r="B7072" i="106" s="1"/>
  <c r="D7072" i="106" s="1"/>
  <c r="B7060" i="106"/>
  <c r="D7060" i="106" s="1"/>
  <c r="B5331" i="106"/>
  <c r="D5331" i="106" s="1"/>
  <c r="B4370" i="106"/>
  <c r="D4370" i="106" s="1"/>
  <c r="B6334" i="106"/>
  <c r="D6334" i="106" s="1"/>
  <c r="K284" i="29"/>
  <c r="B4166" i="106" s="1"/>
  <c r="D4166" i="106" s="1"/>
  <c r="B4165" i="106"/>
  <c r="D4165" i="106" s="1"/>
  <c r="B5114" i="106"/>
  <c r="D5114" i="106" s="1"/>
  <c r="B6898" i="106"/>
  <c r="D6898" i="106" s="1"/>
  <c r="K31" i="29"/>
  <c r="F50" i="34" s="1"/>
  <c r="B2954" i="106"/>
  <c r="D2954" i="106" s="1"/>
  <c r="K83" i="29"/>
  <c r="B2978" i="106" s="1"/>
  <c r="D2978" i="106" s="1"/>
  <c r="B7043" i="106"/>
  <c r="D7043" i="106" s="1"/>
  <c r="B4417" i="106"/>
  <c r="D4417" i="106" s="1"/>
  <c r="B6336" i="106"/>
  <c r="D6336" i="106" s="1"/>
  <c r="B5561" i="106"/>
  <c r="D5561" i="106" s="1"/>
  <c r="B6886" i="106"/>
  <c r="D6886" i="106" s="1"/>
  <c r="K25" i="29"/>
  <c r="B6857" i="106"/>
  <c r="D6857" i="106" s="1"/>
  <c r="B6845" i="106"/>
  <c r="D6845" i="106" s="1"/>
  <c r="J33" i="29"/>
  <c r="B6903" i="106" s="1"/>
  <c r="D6903" i="106" s="1"/>
  <c r="B6632" i="106"/>
  <c r="D6632" i="106" s="1"/>
  <c r="B4948" i="106"/>
  <c r="D4948" i="106" s="1"/>
  <c r="B5082" i="106"/>
  <c r="D5082" i="106" s="1"/>
  <c r="B5570" i="106"/>
  <c r="D5570" i="106" s="1"/>
  <c r="F88" i="34"/>
  <c r="B6717" i="106"/>
  <c r="D6717" i="106" s="1"/>
  <c r="B7131" i="106"/>
  <c r="D7131" i="106" s="1"/>
  <c r="B1540" i="106"/>
  <c r="D1540" i="106" s="1"/>
  <c r="B756" i="106"/>
  <c r="D756" i="106" s="1"/>
  <c r="K75" i="29"/>
  <c r="I350" i="29"/>
  <c r="B7226" i="106"/>
  <c r="D7226" i="106" s="1"/>
  <c r="B5929" i="106"/>
  <c r="D5929" i="106" s="1"/>
  <c r="B6311" i="106"/>
  <c r="D6311" i="106" s="1"/>
  <c r="K40" i="29"/>
  <c r="B1113" i="106" s="1"/>
  <c r="D1113" i="106" s="1"/>
  <c r="B725" i="106"/>
  <c r="D725" i="106" s="1"/>
  <c r="B5079" i="106"/>
  <c r="D5079" i="106" s="1"/>
  <c r="B130" i="106"/>
  <c r="D130" i="106" s="1"/>
  <c r="B5375" i="106"/>
  <c r="D5375" i="106" s="1"/>
  <c r="B5074" i="106"/>
  <c r="D5074" i="106" s="1"/>
  <c r="F166" i="34"/>
  <c r="B7809" i="106"/>
  <c r="D7809" i="106" s="1"/>
  <c r="B7194" i="106"/>
  <c r="D7194" i="106" s="1"/>
  <c r="B6399" i="106"/>
  <c r="D6399" i="106" s="1"/>
  <c r="B6736" i="106"/>
  <c r="D6736" i="106" s="1"/>
  <c r="B7692" i="106"/>
  <c r="D7692" i="106" s="1"/>
  <c r="B4321" i="106"/>
  <c r="D4321" i="106" s="1"/>
  <c r="K15" i="29"/>
  <c r="B719" i="106"/>
  <c r="D719" i="106" s="1"/>
  <c r="B6131" i="106"/>
  <c r="D6131" i="106" s="1"/>
  <c r="J34" i="3"/>
  <c r="B6191" i="106" s="1"/>
  <c r="D6191" i="106" s="1"/>
  <c r="B5122" i="106"/>
  <c r="D5122" i="106" s="1"/>
  <c r="C114" i="5"/>
  <c r="B5735" i="106"/>
  <c r="D5735" i="106" s="1"/>
  <c r="B6876" i="106"/>
  <c r="D6876" i="106" s="1"/>
  <c r="K20" i="29"/>
  <c r="B7188" i="106"/>
  <c r="D7188" i="106" s="1"/>
  <c r="B5070" i="106"/>
  <c r="D5070" i="106" s="1"/>
  <c r="B6979" i="106"/>
  <c r="D6979" i="106" s="1"/>
  <c r="B7158" i="106"/>
  <c r="D7158" i="106" s="1"/>
  <c r="F25" i="34"/>
  <c r="B5576" i="106"/>
  <c r="D5576" i="106" s="1"/>
  <c r="B4944" i="106"/>
  <c r="D4944" i="106" s="1"/>
  <c r="K63" i="29"/>
  <c r="B742" i="106"/>
  <c r="D742" i="106" s="1"/>
  <c r="B4331" i="106"/>
  <c r="D4331" i="106" s="1"/>
  <c r="B4340" i="106"/>
  <c r="D4340" i="106" s="1"/>
  <c r="F131" i="34"/>
  <c r="B5619" i="106"/>
  <c r="D5619" i="106" s="1"/>
  <c r="B5565" i="106"/>
  <c r="D5565" i="106" s="1"/>
  <c r="F85" i="34"/>
  <c r="B156" i="106"/>
  <c r="D156" i="106" s="1"/>
  <c r="B6692" i="106"/>
  <c r="D6692" i="106" s="1"/>
  <c r="B6130" i="106"/>
  <c r="D6130" i="106" s="1"/>
  <c r="H34" i="3"/>
  <c r="B211" i="106" s="1"/>
  <c r="D211" i="106" s="1"/>
  <c r="B6968" i="106"/>
  <c r="D6968" i="106" s="1"/>
  <c r="B4191" i="106"/>
  <c r="D4191" i="106" s="1"/>
  <c r="B846" i="106"/>
  <c r="D846" i="106" s="1"/>
  <c r="B6847" i="106"/>
  <c r="D6847" i="106" s="1"/>
  <c r="F99" i="34"/>
  <c r="B5110" i="106"/>
  <c r="D5110" i="106" s="1"/>
  <c r="B2829" i="106"/>
  <c r="D2829" i="106" s="1"/>
  <c r="B1044" i="106"/>
  <c r="D1044" i="106" s="1"/>
  <c r="B5077" i="106"/>
  <c r="D5077" i="106" s="1"/>
  <c r="B7139" i="106"/>
  <c r="D7139" i="106" s="1"/>
  <c r="B6862" i="106"/>
  <c r="D6862" i="106" s="1"/>
  <c r="B857" i="106"/>
  <c r="D857" i="106" s="1"/>
  <c r="K163" i="29"/>
  <c r="B1310" i="106"/>
  <c r="D1310" i="106" s="1"/>
  <c r="H168" i="29"/>
  <c r="B7816" i="106"/>
  <c r="D7816" i="106" s="1"/>
  <c r="K252" i="5"/>
  <c r="B6621" i="106"/>
  <c r="D6621" i="106" s="1"/>
  <c r="B1252" i="106"/>
  <c r="D1252" i="106" s="1"/>
  <c r="B6114" i="106"/>
  <c r="D6114" i="106" s="1"/>
  <c r="B5081" i="106"/>
  <c r="D5081" i="106" s="1"/>
  <c r="B6180" i="106"/>
  <c r="D6180" i="106" s="1"/>
  <c r="B2997" i="106"/>
  <c r="D2997" i="106" s="1"/>
  <c r="D65" i="29"/>
  <c r="B803" i="106" s="1"/>
  <c r="D803" i="106" s="1"/>
  <c r="B796" i="106"/>
  <c r="D796" i="106" s="1"/>
  <c r="B7134" i="106"/>
  <c r="D7134" i="106" s="1"/>
  <c r="B5818" i="106"/>
  <c r="D5818" i="106" s="1"/>
  <c r="B842" i="106"/>
  <c r="D842" i="106" s="1"/>
  <c r="B4874" i="106"/>
  <c r="D4874" i="106" s="1"/>
  <c r="B5872" i="106"/>
  <c r="D5872" i="106" s="1"/>
  <c r="F53" i="29"/>
  <c r="B908" i="106" s="1"/>
  <c r="D908" i="106" s="1"/>
  <c r="B906" i="106"/>
  <c r="D906" i="106" s="1"/>
  <c r="B1229" i="106"/>
  <c r="D1229" i="106" s="1"/>
  <c r="B6993" i="106"/>
  <c r="D6993" i="106" s="1"/>
  <c r="K91" i="29"/>
  <c r="B6994" i="106" s="1"/>
  <c r="D6994" i="106" s="1"/>
  <c r="B6818" i="106"/>
  <c r="D6818" i="106" s="1"/>
  <c r="B928" i="106"/>
  <c r="D928" i="106" s="1"/>
  <c r="B6712" i="106"/>
  <c r="D6712" i="106" s="1"/>
  <c r="F143" i="34"/>
  <c r="E47" i="29"/>
  <c r="B847" i="106" s="1"/>
  <c r="D847" i="106" s="1"/>
  <c r="B844" i="106"/>
  <c r="D844" i="106" s="1"/>
  <c r="B6377" i="106"/>
  <c r="D6377" i="106" s="1"/>
  <c r="B6120" i="106"/>
  <c r="D6120" i="106" s="1"/>
  <c r="B6303" i="106"/>
  <c r="D6303" i="106" s="1"/>
  <c r="B4192" i="106"/>
  <c r="D4192" i="106" s="1"/>
  <c r="B5875" i="106"/>
  <c r="D5875" i="106" s="1"/>
  <c r="B6119" i="106"/>
  <c r="D6119" i="106" s="1"/>
  <c r="B1039" i="106"/>
  <c r="D1039" i="106" s="1"/>
  <c r="B1020" i="106"/>
  <c r="D1020" i="106" s="1"/>
  <c r="B5181" i="106"/>
  <c r="D5181" i="106" s="1"/>
  <c r="F112" i="34"/>
  <c r="B4332" i="106"/>
  <c r="D4332" i="106" s="1"/>
  <c r="B7258" i="106"/>
  <c r="D7258" i="106" s="1"/>
  <c r="B6381" i="106"/>
  <c r="D6381" i="106" s="1"/>
  <c r="B4392" i="106"/>
  <c r="D4392" i="106" s="1"/>
  <c r="B6101" i="106"/>
  <c r="D6101" i="106" s="1"/>
  <c r="B4799" i="106"/>
  <c r="D4799" i="106" s="1"/>
  <c r="B3389" i="106"/>
  <c r="D3389" i="106" s="1"/>
  <c r="K228" i="29"/>
  <c r="B3392" i="106" s="1"/>
  <c r="D3392" i="106" s="1"/>
  <c r="B6846" i="106"/>
  <c r="D6846" i="106" s="1"/>
  <c r="B6185" i="106"/>
  <c r="D6185" i="106" s="1"/>
  <c r="B6100" i="106"/>
  <c r="D6100" i="106" s="1"/>
  <c r="F153" i="34"/>
  <c r="B6801" i="106"/>
  <c r="D6801" i="106" s="1"/>
  <c r="B6731" i="106"/>
  <c r="D6731" i="106" s="1"/>
  <c r="F97" i="34"/>
  <c r="B5106" i="106"/>
  <c r="D5106" i="106" s="1"/>
  <c r="B7151" i="106"/>
  <c r="D7151" i="106" s="1"/>
  <c r="B4446" i="106"/>
  <c r="D4446" i="106" s="1"/>
  <c r="B832" i="106"/>
  <c r="D832" i="106" s="1"/>
  <c r="B6159" i="106"/>
  <c r="D6159" i="106" s="1"/>
  <c r="D257" i="29"/>
  <c r="B1424" i="106" s="1"/>
  <c r="D1424" i="106" s="1"/>
  <c r="B1422" i="106"/>
  <c r="D1422" i="106" s="1"/>
  <c r="K245" i="29"/>
  <c r="B1486" i="106" s="1"/>
  <c r="D1486" i="106" s="1"/>
  <c r="K302" i="29"/>
  <c r="B1558" i="106" s="1"/>
  <c r="D1558" i="106" s="1"/>
  <c r="B1522" i="106"/>
  <c r="D1522" i="106" s="1"/>
  <c r="E122" i="5"/>
  <c r="B5528" i="106"/>
  <c r="D5528" i="106" s="1"/>
  <c r="F188" i="5"/>
  <c r="B5659" i="106"/>
  <c r="D5659" i="106" s="1"/>
  <c r="B6347" i="106"/>
  <c r="D6347" i="106" s="1"/>
  <c r="B6892" i="106"/>
  <c r="D6892" i="106" s="1"/>
  <c r="K28" i="29"/>
  <c r="B5925" i="106"/>
  <c r="D5925" i="106" s="1"/>
  <c r="I67" i="5"/>
  <c r="B5926" i="106" s="1"/>
  <c r="D5926" i="106" s="1"/>
  <c r="B7693" i="106"/>
  <c r="D7693" i="106" s="1"/>
  <c r="B4811" i="106"/>
  <c r="D4811" i="106" s="1"/>
  <c r="B5516" i="106"/>
  <c r="D5516" i="106" s="1"/>
  <c r="B5585" i="106"/>
  <c r="D5585" i="106" s="1"/>
  <c r="B6642" i="106"/>
  <c r="D6642" i="106" s="1"/>
  <c r="F136" i="34"/>
  <c r="B5993" i="106"/>
  <c r="D5993" i="106" s="1"/>
  <c r="K67" i="5"/>
  <c r="B5995" i="106" s="1"/>
  <c r="D5995" i="106" s="1"/>
  <c r="B7073" i="106"/>
  <c r="D7073" i="106" s="1"/>
  <c r="K216" i="29"/>
  <c r="B6864" i="106"/>
  <c r="D6864" i="106" s="1"/>
  <c r="B6141" i="106"/>
  <c r="D6141" i="106" s="1"/>
  <c r="G350" i="29"/>
  <c r="B3645" i="106"/>
  <c r="D3645" i="106" s="1"/>
  <c r="F175" i="5"/>
  <c r="B5655" i="106" s="1"/>
  <c r="D5655" i="106" s="1"/>
  <c r="B5654" i="106"/>
  <c r="D5654" i="106" s="1"/>
  <c r="B5391" i="106"/>
  <c r="D5391" i="106" s="1"/>
  <c r="D155" i="5"/>
  <c r="B5394" i="106" s="1"/>
  <c r="D5394" i="106" s="1"/>
  <c r="B6113" i="106"/>
  <c r="D6113" i="106" s="1"/>
  <c r="D209" i="5"/>
  <c r="B4412" i="106" s="1"/>
  <c r="D4412" i="106" s="1"/>
  <c r="B5440" i="106"/>
  <c r="D5440" i="106" s="1"/>
  <c r="B5723" i="106"/>
  <c r="D5723" i="106" s="1"/>
  <c r="B16" i="7"/>
  <c r="B7079" i="106"/>
  <c r="D7079" i="106" s="1"/>
  <c r="K226" i="29"/>
  <c r="B7080" i="106" s="1"/>
  <c r="D7080" i="106" s="1"/>
  <c r="B3482" i="106"/>
  <c r="D3482" i="106" s="1"/>
  <c r="K125" i="29"/>
  <c r="B3488" i="106" s="1"/>
  <c r="D3488" i="106" s="1"/>
  <c r="B6086" i="106"/>
  <c r="D6086" i="106" s="1"/>
  <c r="B1546" i="106"/>
  <c r="D1546" i="106" s="1"/>
  <c r="B6307" i="106"/>
  <c r="D6307" i="106" s="1"/>
  <c r="F184" i="29"/>
  <c r="B1354" i="106"/>
  <c r="D1354" i="106" s="1"/>
  <c r="B6365" i="106"/>
  <c r="D6365" i="106" s="1"/>
  <c r="B800" i="106"/>
  <c r="D800" i="106" s="1"/>
  <c r="B898" i="106"/>
  <c r="D898" i="106" s="1"/>
  <c r="B6665" i="106"/>
  <c r="D6665" i="106" s="1"/>
  <c r="B5247" i="106"/>
  <c r="D5247" i="106" s="1"/>
  <c r="C204" i="5"/>
  <c r="B1014" i="106"/>
  <c r="D1014" i="106" s="1"/>
  <c r="B3387" i="106"/>
  <c r="D3387" i="106" s="1"/>
  <c r="D229" i="29"/>
  <c r="B1410" i="106" s="1"/>
  <c r="D1410" i="106" s="1"/>
  <c r="K215" i="29"/>
  <c r="I13" i="3"/>
  <c r="B2888" i="106" s="1"/>
  <c r="D2888" i="106" s="1"/>
  <c r="B2880" i="106"/>
  <c r="D2880" i="106" s="1"/>
  <c r="B6162" i="106"/>
  <c r="D6162" i="106" s="1"/>
  <c r="B2813" i="106"/>
  <c r="D2813" i="106" s="1"/>
  <c r="K166" i="29"/>
  <c r="B2819" i="106" s="1"/>
  <c r="D2819" i="106" s="1"/>
  <c r="B3485" i="106"/>
  <c r="D3485" i="106" s="1"/>
  <c r="B2958" i="106"/>
  <c r="D2958" i="106" s="1"/>
  <c r="B1257" i="106"/>
  <c r="D1257" i="106" s="1"/>
  <c r="B5357" i="106"/>
  <c r="D5357" i="106" s="1"/>
  <c r="D114" i="5"/>
  <c r="B4200" i="106"/>
  <c r="D4200" i="106" s="1"/>
  <c r="K135" i="29"/>
  <c r="B2987" i="106" s="1"/>
  <c r="D2987" i="106" s="1"/>
  <c r="B4345" i="106"/>
  <c r="D4345" i="106" s="1"/>
  <c r="B944" i="106"/>
  <c r="D944" i="106" s="1"/>
  <c r="B6337" i="106"/>
  <c r="D6337" i="106" s="1"/>
  <c r="K87" i="29"/>
  <c r="B6986" i="106" s="1"/>
  <c r="D6986" i="106" s="1"/>
  <c r="B6985" i="106"/>
  <c r="D6985" i="106" s="1"/>
  <c r="K49" i="29"/>
  <c r="B732" i="106"/>
  <c r="D732" i="106" s="1"/>
  <c r="C53" i="29"/>
  <c r="B734" i="106" s="1"/>
  <c r="D734" i="106" s="1"/>
  <c r="B2887" i="106"/>
  <c r="D2887" i="106" s="1"/>
  <c r="B3624" i="106"/>
  <c r="D3624" i="106" s="1"/>
  <c r="D350" i="29"/>
  <c r="J127" i="29"/>
  <c r="B7025" i="106"/>
  <c r="D7025" i="106" s="1"/>
  <c r="B781" i="106"/>
  <c r="D781" i="106" s="1"/>
  <c r="K218" i="29"/>
  <c r="B7075" i="106"/>
  <c r="D7075" i="106" s="1"/>
  <c r="B6627" i="106"/>
  <c r="D6627" i="106" s="1"/>
  <c r="B6091" i="106"/>
  <c r="D6091" i="106" s="1"/>
  <c r="B3064" i="106"/>
  <c r="D3064" i="106" s="1"/>
  <c r="K219" i="29"/>
  <c r="B3065" i="106" s="1"/>
  <c r="D3065" i="106" s="1"/>
  <c r="B6637" i="106"/>
  <c r="D6637" i="106" s="1"/>
  <c r="B5330" i="106"/>
  <c r="D5330" i="106" s="1"/>
  <c r="B6641" i="106"/>
  <c r="D6641" i="106" s="1"/>
  <c r="B5907" i="106"/>
  <c r="D5907" i="106" s="1"/>
  <c r="H181" i="5"/>
  <c r="B5908" i="106" s="1"/>
  <c r="D5908" i="106" s="1"/>
  <c r="B5604" i="106"/>
  <c r="D5604" i="106" s="1"/>
  <c r="B5517" i="106"/>
  <c r="D5517" i="106" s="1"/>
  <c r="B6653" i="106"/>
  <c r="D6653" i="106" s="1"/>
  <c r="B7227" i="106"/>
  <c r="D7227" i="106" s="1"/>
  <c r="J350" i="29"/>
  <c r="K324" i="29"/>
  <c r="B7171" i="106" s="1"/>
  <c r="D7171" i="106" s="1"/>
  <c r="B7163" i="106"/>
  <c r="D7163" i="106" s="1"/>
  <c r="B3638" i="106"/>
  <c r="D3638" i="106" s="1"/>
  <c r="F350" i="29"/>
  <c r="B6755" i="106"/>
  <c r="D6755" i="106" s="1"/>
  <c r="B5577" i="106"/>
  <c r="D5577" i="106" s="1"/>
  <c r="F26" i="34"/>
  <c r="B6724" i="106"/>
  <c r="D6724" i="106" s="1"/>
  <c r="B5301" i="106"/>
  <c r="D5301" i="106" s="1"/>
  <c r="C221" i="5"/>
  <c r="B6355" i="106"/>
  <c r="D6355" i="106" s="1"/>
  <c r="B6319" i="106"/>
  <c r="D6319" i="106" s="1"/>
  <c r="J108" i="5"/>
  <c r="B6351" i="106" s="1"/>
  <c r="D6351" i="106" s="1"/>
  <c r="B2723" i="106"/>
  <c r="D2723" i="106" s="1"/>
  <c r="B6872" i="106"/>
  <c r="D6872" i="106" s="1"/>
  <c r="B7687" i="106"/>
  <c r="D7687" i="106" s="1"/>
  <c r="B6721" i="106"/>
  <c r="D6721" i="106" s="1"/>
  <c r="B6175" i="106"/>
  <c r="D6175" i="106" s="1"/>
  <c r="B7032" i="106"/>
  <c r="D7032" i="106" s="1"/>
  <c r="B5883" i="106"/>
  <c r="D5883" i="106" s="1"/>
  <c r="B779" i="106"/>
  <c r="D779" i="106" s="1"/>
  <c r="D42" i="29"/>
  <c r="B4918" i="106"/>
  <c r="D4918" i="106" s="1"/>
  <c r="B6654" i="106"/>
  <c r="D6654" i="106" s="1"/>
  <c r="B1228" i="106"/>
  <c r="D1228" i="106" s="1"/>
  <c r="B7029" i="106"/>
  <c r="D7029" i="106" s="1"/>
  <c r="H362" i="29"/>
  <c r="B3657" i="106"/>
  <c r="D3657" i="106" s="1"/>
  <c r="K360" i="29"/>
  <c r="B6676" i="106"/>
  <c r="D6676" i="106" s="1"/>
  <c r="F27" i="34"/>
  <c r="B5578" i="106"/>
  <c r="D5578" i="106" s="1"/>
  <c r="B7814" i="106"/>
  <c r="D7814" i="106" s="1"/>
  <c r="B6136" i="106"/>
  <c r="D6136" i="106" s="1"/>
  <c r="B834" i="106"/>
  <c r="D834" i="106" s="1"/>
  <c r="B3627" i="106"/>
  <c r="D3627" i="106" s="1"/>
  <c r="B5617" i="106"/>
  <c r="D5617" i="106" s="1"/>
  <c r="B5351" i="106"/>
  <c r="D5351" i="106" s="1"/>
  <c r="B6693" i="106"/>
  <c r="D6693" i="106" s="1"/>
  <c r="B6923" i="106"/>
  <c r="D6923" i="106" s="1"/>
  <c r="K107" i="29"/>
  <c r="B2795" i="106" s="1"/>
  <c r="D2795" i="106" s="1"/>
  <c r="B2791" i="106"/>
  <c r="D2791" i="106" s="1"/>
  <c r="B4180" i="106"/>
  <c r="D4180" i="106" s="1"/>
  <c r="B950" i="106"/>
  <c r="D950" i="106" s="1"/>
  <c r="B6739" i="106"/>
  <c r="D6739" i="106" s="1"/>
  <c r="B5602" i="106"/>
  <c r="D5602" i="106" s="1"/>
  <c r="B7196" i="106"/>
  <c r="D7196" i="106" s="1"/>
  <c r="K291" i="29"/>
  <c r="B2846" i="106" s="1"/>
  <c r="D2846" i="106" s="1"/>
  <c r="B2844" i="106"/>
  <c r="D2844" i="106" s="1"/>
  <c r="B4315" i="106"/>
  <c r="D4315" i="106" s="1"/>
  <c r="B1016" i="106"/>
  <c r="D1016" i="106" s="1"/>
  <c r="B6704" i="106"/>
  <c r="D6704" i="106" s="1"/>
  <c r="B6958" i="106"/>
  <c r="D6958" i="106" s="1"/>
  <c r="J47" i="29"/>
  <c r="B6925" i="106" s="1"/>
  <c r="D6925" i="106" s="1"/>
  <c r="B6919" i="106"/>
  <c r="D6919" i="106" s="1"/>
  <c r="B9" i="7"/>
  <c r="B5871" i="106"/>
  <c r="D5871" i="106" s="1"/>
  <c r="H12" i="5"/>
  <c r="K249" i="29"/>
  <c r="B7084" i="106" s="1"/>
  <c r="D7084" i="106" s="1"/>
  <c r="B7083" i="106"/>
  <c r="D7083" i="106" s="1"/>
  <c r="B6797" i="106"/>
  <c r="D6797" i="106" s="1"/>
  <c r="B3059" i="106"/>
  <c r="D3059" i="106" s="1"/>
  <c r="B6808" i="106"/>
  <c r="D6808" i="106" s="1"/>
  <c r="B5027" i="106"/>
  <c r="D5027" i="106" s="1"/>
  <c r="B7031" i="106"/>
  <c r="D7031" i="106" s="1"/>
  <c r="B6773" i="106"/>
  <c r="D6773" i="106" s="1"/>
  <c r="B6617" i="106"/>
  <c r="D6617" i="106" s="1"/>
  <c r="F252" i="5"/>
  <c r="B6836" i="106" s="1"/>
  <c r="D6836" i="106" s="1"/>
  <c r="B949" i="106"/>
  <c r="D949" i="106" s="1"/>
  <c r="K108" i="29"/>
  <c r="B2796" i="106" s="1"/>
  <c r="D2796" i="106" s="1"/>
  <c r="B2792" i="106"/>
  <c r="D2792" i="106" s="1"/>
  <c r="H175" i="5"/>
  <c r="B4950" i="106" s="1"/>
  <c r="D4950" i="106" s="1"/>
  <c r="B4365" i="106"/>
  <c r="D4365" i="106" s="1"/>
  <c r="B15" i="7"/>
  <c r="B5332" i="106"/>
  <c r="D5332" i="106" s="1"/>
  <c r="B5115" i="106"/>
  <c r="D5115" i="106" s="1"/>
  <c r="F102" i="34"/>
  <c r="B3562" i="106"/>
  <c r="D3562" i="106" s="1"/>
  <c r="K242" i="29"/>
  <c r="B1484" i="106" s="1"/>
  <c r="D1484" i="106" s="1"/>
  <c r="B1420" i="106"/>
  <c r="D1420" i="106" s="1"/>
  <c r="B6741" i="106"/>
  <c r="D6741" i="106" s="1"/>
  <c r="B5341" i="106"/>
  <c r="D5341" i="106" s="1"/>
  <c r="B4808" i="106"/>
  <c r="D4808" i="106" s="1"/>
  <c r="K333" i="29"/>
  <c r="B7788" i="106" s="1"/>
  <c r="D7788" i="106" s="1"/>
  <c r="B7787" i="106"/>
  <c r="D7787" i="106" s="1"/>
  <c r="B6109" i="106"/>
  <c r="D6109" i="106" s="1"/>
  <c r="B6868" i="106"/>
  <c r="D6868" i="106" s="1"/>
  <c r="H100" i="29"/>
  <c r="B7012" i="106" s="1"/>
  <c r="D7012" i="106" s="1"/>
  <c r="B6996" i="106"/>
  <c r="D6996" i="106" s="1"/>
  <c r="K93" i="29"/>
  <c r="B913" i="106"/>
  <c r="D913" i="106" s="1"/>
  <c r="B1253" i="106"/>
  <c r="D1253" i="106" s="1"/>
  <c r="B3655" i="106"/>
  <c r="D3655" i="106" s="1"/>
  <c r="B3370" i="106"/>
  <c r="D3370" i="106" s="1"/>
  <c r="B5586" i="106"/>
  <c r="D5586" i="106" s="1"/>
  <c r="B4853" i="106"/>
  <c r="D4853" i="106" s="1"/>
  <c r="K252" i="29"/>
  <c r="B7090" i="106" s="1"/>
  <c r="D7090" i="106" s="1"/>
  <c r="B7089" i="106"/>
  <c r="D7089" i="106" s="1"/>
  <c r="I53" i="29"/>
  <c r="B6942" i="106" s="1"/>
  <c r="D6942" i="106" s="1"/>
  <c r="B6926" i="106"/>
  <c r="D6926" i="106" s="1"/>
  <c r="B5344" i="106"/>
  <c r="D5344" i="106" s="1"/>
  <c r="B809" i="106"/>
  <c r="D809" i="106" s="1"/>
  <c r="B723" i="106"/>
  <c r="D723" i="106" s="1"/>
  <c r="K38" i="29"/>
  <c r="B1111" i="106" s="1"/>
  <c r="D1111" i="106" s="1"/>
  <c r="B6128" i="106"/>
  <c r="D6128" i="106" s="1"/>
  <c r="F34" i="3"/>
  <c r="B169" i="106" s="1"/>
  <c r="D169" i="106" s="1"/>
  <c r="B6102" i="106"/>
  <c r="D6102" i="106" s="1"/>
  <c r="B5860" i="106"/>
  <c r="D5860" i="106" s="1"/>
  <c r="B2721" i="106"/>
  <c r="D2721" i="106" s="1"/>
  <c r="B7024" i="106"/>
  <c r="D7024" i="106" s="1"/>
  <c r="I127" i="29"/>
  <c r="B6369" i="106"/>
  <c r="D6369" i="106" s="1"/>
  <c r="B4338" i="106"/>
  <c r="D4338" i="106" s="1"/>
  <c r="B6090" i="106"/>
  <c r="D6090" i="106" s="1"/>
  <c r="B770" i="106"/>
  <c r="D770" i="106" s="1"/>
  <c r="B5057" i="106"/>
  <c r="D5057" i="106" s="1"/>
  <c r="B4316" i="106"/>
  <c r="D4316" i="106" s="1"/>
  <c r="B7150" i="106"/>
  <c r="D7150" i="106" s="1"/>
  <c r="B2960" i="106"/>
  <c r="D2960" i="106" s="1"/>
  <c r="B2957" i="106"/>
  <c r="D2957" i="106" s="1"/>
  <c r="B7190" i="106"/>
  <c r="D7190" i="106" s="1"/>
  <c r="K327" i="29"/>
  <c r="B7198" i="106" s="1"/>
  <c r="D7198" i="106" s="1"/>
  <c r="B5231" i="106"/>
  <c r="D5231" i="106" s="1"/>
  <c r="B7132" i="106"/>
  <c r="D7132" i="106" s="1"/>
  <c r="B6335" i="106"/>
  <c r="D6335" i="106" s="1"/>
  <c r="B4352" i="106"/>
  <c r="D4352" i="106" s="1"/>
  <c r="E184" i="29"/>
  <c r="B1351" i="106" s="1"/>
  <c r="D1351" i="106" s="1"/>
  <c r="B1347" i="106"/>
  <c r="D1347" i="106" s="1"/>
  <c r="B6649" i="106"/>
  <c r="D6649" i="106" s="1"/>
  <c r="B7766" i="106"/>
  <c r="D7766" i="106" s="1"/>
  <c r="K265" i="29"/>
  <c r="B1494" i="106" s="1"/>
  <c r="D1494" i="106" s="1"/>
  <c r="B1430" i="106"/>
  <c r="D1430" i="106" s="1"/>
  <c r="B6695" i="106"/>
  <c r="D6695" i="106" s="1"/>
  <c r="B867" i="106"/>
  <c r="D867" i="106" s="1"/>
  <c r="B4878" i="106"/>
  <c r="D4878" i="106" s="1"/>
  <c r="B1037" i="106"/>
  <c r="D1037" i="106" s="1"/>
  <c r="B1237" i="106"/>
  <c r="D1237" i="106" s="1"/>
  <c r="B6655" i="106"/>
  <c r="D6655" i="106" s="1"/>
  <c r="B6907" i="106"/>
  <c r="D6907" i="106" s="1"/>
  <c r="B6754" i="106"/>
  <c r="D6754" i="106" s="1"/>
  <c r="B7267" i="106"/>
  <c r="B6912" i="106"/>
  <c r="D6912" i="106" s="1"/>
  <c r="B6679" i="106"/>
  <c r="D6679" i="106" s="1"/>
  <c r="B6743" i="106"/>
  <c r="D6743" i="106" s="1"/>
  <c r="B797" i="106"/>
  <c r="D797" i="106" s="1"/>
  <c r="B5736" i="106"/>
  <c r="D5736" i="106" s="1"/>
  <c r="B7706" i="106"/>
  <c r="D7706" i="106" s="1"/>
  <c r="B880" i="106"/>
  <c r="D880" i="106" s="1"/>
  <c r="B7167" i="106"/>
  <c r="D7167" i="106" s="1"/>
  <c r="B722" i="106"/>
  <c r="D722" i="106" s="1"/>
  <c r="K37" i="29"/>
  <c r="B1110" i="106" s="1"/>
  <c r="D1110" i="106" s="1"/>
  <c r="B7178" i="106"/>
  <c r="D7178" i="106" s="1"/>
  <c r="B6869" i="106"/>
  <c r="D6869" i="106" s="1"/>
  <c r="B1007" i="106"/>
  <c r="D1007" i="106" s="1"/>
  <c r="B5167" i="106"/>
  <c r="D5167" i="106" s="1"/>
  <c r="F108" i="34"/>
  <c r="B7170" i="106"/>
  <c r="D7170" i="106" s="1"/>
  <c r="B948" i="106"/>
  <c r="D948" i="106" s="1"/>
  <c r="B6757" i="106"/>
  <c r="D6757" i="106" s="1"/>
  <c r="K247" i="29"/>
  <c r="B2726" i="106" s="1"/>
  <c r="D2726" i="106" s="1"/>
  <c r="B2725" i="106"/>
  <c r="D2725" i="106" s="1"/>
  <c r="B6874" i="106"/>
  <c r="D6874" i="106" s="1"/>
  <c r="B5555" i="106"/>
  <c r="D5555" i="106" s="1"/>
  <c r="B6177" i="106"/>
  <c r="D6177" i="106" s="1"/>
  <c r="B7793" i="106"/>
  <c r="D7793" i="106" s="1"/>
  <c r="B7237" i="106"/>
  <c r="D7237" i="106" s="1"/>
  <c r="K355" i="29"/>
  <c r="B7794" i="106" s="1"/>
  <c r="D7794" i="106" s="1"/>
  <c r="B4795" i="106"/>
  <c r="D4795" i="106" s="1"/>
  <c r="K267" i="29"/>
  <c r="B1496" i="106" s="1"/>
  <c r="D1496" i="106" s="1"/>
  <c r="B1432" i="106"/>
  <c r="D1432" i="106" s="1"/>
  <c r="B6322" i="106"/>
  <c r="D6322" i="106" s="1"/>
  <c r="B6788" i="106"/>
  <c r="D6788" i="106" s="1"/>
  <c r="B6672" i="106"/>
  <c r="D6672" i="106" s="1"/>
  <c r="B6829" i="106"/>
  <c r="D6829" i="106" s="1"/>
  <c r="F24" i="34"/>
  <c r="B5574" i="106"/>
  <c r="D5574" i="106" s="1"/>
  <c r="B7036" i="106"/>
  <c r="D7036" i="106" s="1"/>
  <c r="B6137" i="106"/>
  <c r="D6137" i="106" s="1"/>
  <c r="D82" i="5"/>
  <c r="B5348" i="106" s="1"/>
  <c r="D5348" i="106" s="1"/>
  <c r="B5343" i="106"/>
  <c r="D5343" i="106" s="1"/>
  <c r="H350" i="29"/>
  <c r="B3652" i="106"/>
  <c r="D3652" i="106" s="1"/>
  <c r="B6922" i="106"/>
  <c r="D6922" i="106" s="1"/>
  <c r="B4382" i="106"/>
  <c r="D4382" i="106" s="1"/>
  <c r="B6680" i="106"/>
  <c r="D6680" i="106" s="1"/>
  <c r="B6164" i="106"/>
  <c r="D6164" i="106" s="1"/>
  <c r="B5064" i="106"/>
  <c r="D5064" i="106" s="1"/>
  <c r="B17" i="7"/>
  <c r="B7105" i="106"/>
  <c r="D7105" i="106" s="1"/>
  <c r="K306" i="29"/>
  <c r="E310" i="29"/>
  <c r="B7114" i="106" s="1"/>
  <c r="D7114" i="106" s="1"/>
  <c r="B6370" i="106"/>
  <c r="D6370" i="106" s="1"/>
  <c r="B6863" i="106"/>
  <c r="D6863" i="106" s="1"/>
  <c r="B5104" i="106"/>
  <c r="D5104" i="106" s="1"/>
  <c r="B7157" i="106"/>
  <c r="D7157" i="106" s="1"/>
  <c r="B6930" i="106"/>
  <c r="D6930" i="106" s="1"/>
  <c r="B839" i="106"/>
  <c r="D839" i="106" s="1"/>
  <c r="B1531" i="106"/>
  <c r="D1531" i="106" s="1"/>
  <c r="E303" i="29"/>
  <c r="B7266" i="106"/>
  <c r="C47" i="29"/>
  <c r="B731" i="106" s="1"/>
  <c r="D731" i="106" s="1"/>
  <c r="B728" i="106"/>
  <c r="D728" i="106" s="1"/>
  <c r="K44" i="29"/>
  <c r="B7130" i="106"/>
  <c r="D7130" i="106" s="1"/>
  <c r="B6364" i="106"/>
  <c r="D6364" i="106" s="1"/>
  <c r="B6154" i="106"/>
  <c r="D6154" i="106" s="1"/>
  <c r="B7249" i="106"/>
  <c r="D7249" i="106" s="1"/>
  <c r="F114" i="5"/>
  <c r="B5589" i="106"/>
  <c r="D5589" i="106" s="1"/>
  <c r="B7143" i="106"/>
  <c r="D7143" i="106" s="1"/>
  <c r="C122" i="5"/>
  <c r="B5132" i="106" s="1"/>
  <c r="D5132" i="106" s="1"/>
  <c r="B5126" i="106"/>
  <c r="D5126" i="106" s="1"/>
  <c r="B961" i="106"/>
  <c r="D961" i="106" s="1"/>
  <c r="B4419" i="106"/>
  <c r="D4419" i="106" s="1"/>
  <c r="B6859" i="106"/>
  <c r="D6859" i="106" s="1"/>
  <c r="B6774" i="106"/>
  <c r="D6774" i="106" s="1"/>
  <c r="B706" i="106"/>
  <c r="D706" i="106" s="1"/>
  <c r="K16" i="29"/>
  <c r="B1094" i="106" s="1"/>
  <c r="D1094" i="106" s="1"/>
  <c r="B6139" i="106"/>
  <c r="D6139" i="106" s="1"/>
  <c r="I34" i="3"/>
  <c r="B2910" i="106" s="1"/>
  <c r="D2910" i="106" s="1"/>
  <c r="B6700" i="106"/>
  <c r="D6700" i="106" s="1"/>
  <c r="F149" i="34"/>
  <c r="B6769" i="106"/>
  <c r="D6769" i="106" s="1"/>
  <c r="B7140" i="106"/>
  <c r="D7140" i="106" s="1"/>
  <c r="B6775" i="106"/>
  <c r="D6775" i="106" s="1"/>
  <c r="B7762" i="106"/>
  <c r="D7762" i="106" s="1"/>
  <c r="K6" i="29"/>
  <c r="B7763" i="106" s="1"/>
  <c r="D7763" i="106" s="1"/>
  <c r="B930" i="106"/>
  <c r="D930" i="106" s="1"/>
  <c r="B4380" i="106"/>
  <c r="D4380" i="106" s="1"/>
  <c r="B6126" i="106"/>
  <c r="D6126" i="106" s="1"/>
  <c r="D34" i="3"/>
  <c r="B122" i="106" s="1"/>
  <c r="D122" i="106" s="1"/>
  <c r="B6118" i="106"/>
  <c r="D6118" i="106" s="1"/>
  <c r="B5117" i="106"/>
  <c r="D5117" i="106" s="1"/>
  <c r="B7174" i="106"/>
  <c r="D7174" i="106" s="1"/>
  <c r="B5243" i="106"/>
  <c r="D5243" i="106" s="1"/>
  <c r="K235" i="29"/>
  <c r="B1478" i="106" s="1"/>
  <c r="D1478" i="106" s="1"/>
  <c r="B1414" i="106"/>
  <c r="D1414" i="106" s="1"/>
  <c r="B981" i="106"/>
  <c r="D981" i="106" s="1"/>
  <c r="K50" i="29"/>
  <c r="B733" i="106"/>
  <c r="D733" i="106" s="1"/>
  <c r="B7703" i="106"/>
  <c r="D7703" i="106" s="1"/>
  <c r="B3369" i="106"/>
  <c r="D3369" i="106" s="1"/>
  <c r="B916" i="106"/>
  <c r="D916" i="106" s="1"/>
  <c r="B4881" i="106"/>
  <c r="D4881" i="106" s="1"/>
  <c r="B6669" i="106"/>
  <c r="D6669" i="106" s="1"/>
  <c r="B4376" i="106"/>
  <c r="D4376" i="106" s="1"/>
  <c r="B6778" i="106"/>
  <c r="D6778" i="106" s="1"/>
  <c r="B6823" i="106"/>
  <c r="D6823" i="106" s="1"/>
  <c r="B7030" i="106"/>
  <c r="D7030" i="106" s="1"/>
  <c r="K94" i="29"/>
  <c r="B6999" i="106" s="1"/>
  <c r="D6999" i="106" s="1"/>
  <c r="B6998" i="106"/>
  <c r="D6998" i="106" s="1"/>
  <c r="B962" i="106"/>
  <c r="D962" i="106" s="1"/>
  <c r="F159" i="34"/>
  <c r="B7765" i="106"/>
  <c r="D7765" i="106" s="1"/>
  <c r="K351" i="29"/>
  <c r="B3671" i="106" s="1"/>
  <c r="D3671" i="106" s="1"/>
  <c r="B3620" i="106"/>
  <c r="D3620" i="106" s="1"/>
  <c r="B4337" i="106"/>
  <c r="D4337" i="106" s="1"/>
  <c r="B1528" i="106"/>
  <c r="D1528" i="106" s="1"/>
  <c r="B7185" i="106"/>
  <c r="D7185" i="106" s="1"/>
  <c r="B6630" i="106"/>
  <c r="D6630" i="106" s="1"/>
  <c r="B1265" i="106"/>
  <c r="D1265" i="106" s="1"/>
  <c r="B6768" i="106"/>
  <c r="D6768" i="106" s="1"/>
  <c r="B814" i="106"/>
  <c r="D814" i="106" s="1"/>
  <c r="B7191" i="106"/>
  <c r="D7191" i="106" s="1"/>
  <c r="B1439" i="106"/>
  <c r="D1439" i="106" s="1"/>
  <c r="K274" i="29"/>
  <c r="B1503" i="106" s="1"/>
  <c r="D1503" i="106" s="1"/>
  <c r="B1036" i="106"/>
  <c r="D1036" i="106" s="1"/>
  <c r="H72" i="29"/>
  <c r="B1043" i="106" s="1"/>
  <c r="D1043" i="106" s="1"/>
  <c r="B1344" i="106"/>
  <c r="D1344" i="106" s="1"/>
  <c r="B5496" i="106"/>
  <c r="D5496" i="106" s="1"/>
  <c r="B5799" i="106"/>
  <c r="D5799" i="106" s="1"/>
  <c r="G209" i="5"/>
  <c r="B4414" i="106" s="1"/>
  <c r="D4414" i="106" s="1"/>
  <c r="B6718" i="106"/>
  <c r="D6718" i="106" s="1"/>
  <c r="B1335" i="106"/>
  <c r="D1335" i="106" s="1"/>
  <c r="C184" i="29"/>
  <c r="K182" i="29"/>
  <c r="B4190" i="106"/>
  <c r="D4190" i="106" s="1"/>
  <c r="K86" i="29"/>
  <c r="B6984" i="106" s="1"/>
  <c r="D6984" i="106" s="1"/>
  <c r="B6983" i="106"/>
  <c r="D6983" i="106" s="1"/>
  <c r="B2979" i="106"/>
  <c r="D2979" i="106" s="1"/>
  <c r="G188" i="5"/>
  <c r="B5785" i="106"/>
  <c r="D5785" i="106" s="1"/>
  <c r="J72" i="29"/>
  <c r="B6974" i="106" s="1"/>
  <c r="D6974" i="106" s="1"/>
  <c r="B6964" i="106"/>
  <c r="D6964" i="106" s="1"/>
  <c r="B6905" i="106"/>
  <c r="D6905" i="106" s="1"/>
  <c r="J42" i="29"/>
  <c r="B6806" i="106"/>
  <c r="D6806" i="106" s="1"/>
  <c r="B6331" i="106"/>
  <c r="D6331" i="106" s="1"/>
  <c r="B5368" i="106"/>
  <c r="D5368" i="106" s="1"/>
  <c r="D132" i="5"/>
  <c r="B1049" i="106"/>
  <c r="D1049" i="106" s="1"/>
  <c r="K106" i="29"/>
  <c r="B1147" i="106" s="1"/>
  <c r="D1147" i="106" s="1"/>
  <c r="B951" i="106"/>
  <c r="D951" i="106" s="1"/>
  <c r="B6634" i="106"/>
  <c r="D6634" i="106" s="1"/>
  <c r="F135" i="34"/>
  <c r="B6000" i="106"/>
  <c r="D6000" i="106" s="1"/>
  <c r="K122" i="5"/>
  <c r="B7731" i="106"/>
  <c r="D7731" i="106" s="1"/>
  <c r="B5056" i="106"/>
  <c r="D5056" i="106" s="1"/>
  <c r="F115" i="34"/>
  <c r="B5431" i="106"/>
  <c r="D5431" i="106" s="1"/>
  <c r="D204" i="5"/>
  <c r="B5444" i="106" s="1"/>
  <c r="D5444" i="106" s="1"/>
  <c r="B974" i="106"/>
  <c r="D974" i="106" s="1"/>
  <c r="B6110" i="106"/>
  <c r="D6110" i="106" s="1"/>
  <c r="B5566" i="106"/>
  <c r="D5566" i="106" s="1"/>
  <c r="F86" i="34"/>
  <c r="B6343" i="106"/>
  <c r="D6343" i="106" s="1"/>
  <c r="B975" i="106"/>
  <c r="D975" i="106" s="1"/>
  <c r="B5594" i="106"/>
  <c r="D5594" i="106" s="1"/>
  <c r="B7695" i="106"/>
  <c r="D7695" i="106" s="1"/>
  <c r="B5196" i="106"/>
  <c r="D5196" i="106" s="1"/>
  <c r="B6888" i="106"/>
  <c r="D6888" i="106" s="1"/>
  <c r="K26" i="29"/>
  <c r="B6889" i="106" s="1"/>
  <c r="D6889" i="106" s="1"/>
  <c r="F150" i="34"/>
  <c r="B6777" i="106"/>
  <c r="D6777" i="106" s="1"/>
  <c r="B925" i="106"/>
  <c r="D925" i="106" s="1"/>
  <c r="B915" i="106"/>
  <c r="D915" i="106" s="1"/>
  <c r="B6759" i="106"/>
  <c r="D6759" i="106" s="1"/>
  <c r="K220" i="29"/>
  <c r="K229" i="29" s="1"/>
  <c r="B7077" i="106"/>
  <c r="D7077" i="106" s="1"/>
  <c r="B6870" i="106"/>
  <c r="D6870" i="106" s="1"/>
  <c r="B5317" i="106"/>
  <c r="D5317" i="106" s="1"/>
  <c r="F163" i="34"/>
  <c r="B72" i="106"/>
  <c r="D72" i="106" s="1"/>
  <c r="B7246" i="106"/>
  <c r="D7246" i="106" s="1"/>
  <c r="B5350" i="106"/>
  <c r="D5350" i="106" s="1"/>
  <c r="B3371" i="106"/>
  <c r="D3371" i="106" s="1"/>
  <c r="H18" i="5"/>
  <c r="B5878" i="106" s="1"/>
  <c r="D5878" i="106" s="1"/>
  <c r="B5874" i="106"/>
  <c r="D5874" i="106" s="1"/>
  <c r="B4346" i="106"/>
  <c r="D4346" i="106" s="1"/>
  <c r="B5584" i="106"/>
  <c r="D5584" i="106" s="1"/>
  <c r="B86" i="106"/>
  <c r="D86" i="106" s="1"/>
  <c r="B6956" i="106"/>
  <c r="D6956" i="106" s="1"/>
  <c r="K18" i="5"/>
  <c r="B5992" i="106" s="1"/>
  <c r="D5992" i="106" s="1"/>
  <c r="B5988" i="106"/>
  <c r="D5988" i="106" s="1"/>
  <c r="B6106" i="106"/>
  <c r="D6106" i="106" s="1"/>
  <c r="B7156" i="106"/>
  <c r="D7156" i="106" s="1"/>
  <c r="B6691" i="106"/>
  <c r="D6691" i="106" s="1"/>
  <c r="B6861" i="106"/>
  <c r="D6861" i="106" s="1"/>
  <c r="B6701" i="106"/>
  <c r="D6701" i="106" s="1"/>
  <c r="B5171" i="106"/>
  <c r="D5171" i="106" s="1"/>
  <c r="B6826" i="106"/>
  <c r="D6826" i="106" s="1"/>
  <c r="B6157" i="106"/>
  <c r="D6157" i="106" s="1"/>
  <c r="B6855" i="106"/>
  <c r="D6855" i="106" s="1"/>
  <c r="K292" i="29"/>
  <c r="B1514" i="106" s="1"/>
  <c r="D1514" i="106" s="1"/>
  <c r="B1451" i="106"/>
  <c r="D1451" i="106" s="1"/>
  <c r="B6660" i="106"/>
  <c r="D6660" i="106" s="1"/>
  <c r="C65" i="29"/>
  <c r="B745" i="106" s="1"/>
  <c r="D745" i="106" s="1"/>
  <c r="K59" i="29"/>
  <c r="B1126" i="106" s="1"/>
  <c r="D1126" i="106" s="1"/>
  <c r="B738" i="106"/>
  <c r="D738" i="106" s="1"/>
  <c r="B6936" i="106"/>
  <c r="D6936" i="106" s="1"/>
  <c r="B6330" i="106"/>
  <c r="D6330" i="106" s="1"/>
  <c r="B117" i="106"/>
  <c r="D117" i="106" s="1"/>
  <c r="B6933" i="106"/>
  <c r="D6933" i="106" s="1"/>
  <c r="B6875" i="106"/>
  <c r="D6875" i="106" s="1"/>
  <c r="B4885" i="106"/>
  <c r="D4885" i="106" s="1"/>
  <c r="B806" i="106"/>
  <c r="D806" i="106" s="1"/>
  <c r="B7046" i="106"/>
  <c r="D7046" i="106" s="1"/>
  <c r="B6764" i="106"/>
  <c r="D6764" i="106" s="1"/>
  <c r="B5359" i="106"/>
  <c r="D5359" i="106" s="1"/>
  <c r="C303" i="29"/>
  <c r="K301" i="29"/>
  <c r="B1519" i="106"/>
  <c r="D1519" i="106" s="1"/>
  <c r="B6856" i="106"/>
  <c r="D6856" i="106" s="1"/>
  <c r="B6001" i="106"/>
  <c r="D6001" i="106" s="1"/>
  <c r="B1552" i="106"/>
  <c r="D1552" i="106" s="1"/>
  <c r="B6821" i="106"/>
  <c r="D6821" i="106" s="1"/>
  <c r="B4339" i="106"/>
  <c r="D4339" i="106" s="1"/>
  <c r="B6749" i="106"/>
  <c r="D6749" i="106" s="1"/>
  <c r="B5464" i="106"/>
  <c r="D5464" i="106" s="1"/>
  <c r="B6734" i="106"/>
  <c r="D6734" i="106" s="1"/>
  <c r="B6737" i="106"/>
  <c r="D6737" i="106" s="1"/>
  <c r="F146" i="34"/>
  <c r="B7701" i="106"/>
  <c r="D7701" i="106" s="1"/>
  <c r="B5583" i="106"/>
  <c r="D5583" i="106" s="1"/>
  <c r="F108" i="5"/>
  <c r="B5587" i="106" s="1"/>
  <c r="D5587" i="106" s="1"/>
  <c r="B7783" i="106"/>
  <c r="D7783" i="106" s="1"/>
  <c r="D285" i="29"/>
  <c r="B3722" i="106" s="1"/>
  <c r="D3722" i="106" s="1"/>
  <c r="K282" i="29"/>
  <c r="B4312" i="106"/>
  <c r="D4312" i="106" s="1"/>
  <c r="B5986" i="106"/>
  <c r="D5986" i="106" s="1"/>
  <c r="B5060" i="106"/>
  <c r="D5060" i="106" s="1"/>
  <c r="F116" i="34"/>
  <c r="B5164" i="106"/>
  <c r="D5164" i="106" s="1"/>
  <c r="B856" i="106"/>
  <c r="D856" i="106" s="1"/>
  <c r="B958" i="106"/>
  <c r="D958" i="106" s="1"/>
  <c r="B3631" i="106"/>
  <c r="D3631" i="106" s="1"/>
  <c r="E350" i="29"/>
  <c r="B6299" i="106"/>
  <c r="D6299" i="106" s="1"/>
  <c r="B1023" i="106"/>
  <c r="D1023" i="106" s="1"/>
  <c r="B119" i="106"/>
  <c r="D119" i="106" s="1"/>
  <c r="B740" i="106"/>
  <c r="D740" i="106" s="1"/>
  <c r="K61" i="29"/>
  <c r="B5606" i="106"/>
  <c r="D5606" i="106" s="1"/>
  <c r="B799" i="106"/>
  <c r="D799" i="106" s="1"/>
  <c r="F72" i="29"/>
  <c r="B927" i="106" s="1"/>
  <c r="D927" i="106" s="1"/>
  <c r="B920" i="106"/>
  <c r="D920" i="106" s="1"/>
  <c r="B1307" i="106"/>
  <c r="D1307" i="106" s="1"/>
  <c r="E172" i="29"/>
  <c r="K171" i="29"/>
  <c r="B1330" i="106" s="1"/>
  <c r="D1330" i="106" s="1"/>
  <c r="F30" i="34"/>
  <c r="B4313" i="106"/>
  <c r="D4313" i="106" s="1"/>
  <c r="B5731" i="106"/>
  <c r="D5731" i="106" s="1"/>
  <c r="G67" i="5"/>
  <c r="B5733" i="106" s="1"/>
  <c r="D5733" i="106" s="1"/>
  <c r="B5991" i="106"/>
  <c r="D5991" i="106" s="1"/>
  <c r="B6921" i="106"/>
  <c r="D6921" i="106" s="1"/>
  <c r="B3483" i="106"/>
  <c r="D3483" i="106" s="1"/>
  <c r="B4230" i="106"/>
  <c r="D4230" i="106" s="1"/>
  <c r="B6716" i="106"/>
  <c r="D6716" i="106" s="1"/>
  <c r="B7127" i="106"/>
  <c r="D7127" i="106" s="1"/>
  <c r="K320" i="29"/>
  <c r="B7135" i="106" s="1"/>
  <c r="D7135" i="106" s="1"/>
  <c r="B1002" i="106"/>
  <c r="D1002" i="106" s="1"/>
  <c r="B6406" i="106"/>
  <c r="D6406" i="106" s="1"/>
  <c r="I108" i="5"/>
  <c r="B5930" i="106" s="1"/>
  <c r="D5930" i="106" s="1"/>
  <c r="B5927" i="106"/>
  <c r="D5927" i="106" s="1"/>
  <c r="B4805" i="106"/>
  <c r="D4805" i="106" s="1"/>
  <c r="F117" i="34"/>
  <c r="B4915" i="106"/>
  <c r="D4915" i="106" s="1"/>
  <c r="B6103" i="106"/>
  <c r="D6103" i="106" s="1"/>
  <c r="B6622" i="106"/>
  <c r="D6622" i="106" s="1"/>
  <c r="F133" i="34"/>
  <c r="B6975" i="106"/>
  <c r="D6975" i="106" s="1"/>
  <c r="B5059" i="106"/>
  <c r="D5059" i="106" s="1"/>
  <c r="B2824" i="106"/>
  <c r="D2824" i="106" s="1"/>
  <c r="K195" i="29"/>
  <c r="B2839" i="106" s="1"/>
  <c r="D2839" i="106" s="1"/>
  <c r="B7248" i="106"/>
  <c r="D7248" i="106" s="1"/>
  <c r="B6832" i="106"/>
  <c r="D6832" i="106" s="1"/>
  <c r="B5755" i="106"/>
  <c r="D5755" i="106" s="1"/>
  <c r="E42" i="29"/>
  <c r="B837" i="106"/>
  <c r="D837" i="106" s="1"/>
  <c r="B897" i="106"/>
  <c r="D897" i="106" s="1"/>
  <c r="B1041" i="106"/>
  <c r="D1041" i="106" s="1"/>
  <c r="B6735" i="106"/>
  <c r="D6735" i="106" s="1"/>
  <c r="B6694" i="106"/>
  <c r="D6694" i="106" s="1"/>
  <c r="B2843" i="106"/>
  <c r="D2843" i="106" s="1"/>
  <c r="K290" i="29"/>
  <c r="B2845" i="106" s="1"/>
  <c r="D2845" i="106" s="1"/>
  <c r="B1268" i="106"/>
  <c r="D1268" i="106" s="1"/>
  <c r="H147" i="29"/>
  <c r="K142" i="29"/>
  <c r="B6173" i="106"/>
  <c r="D6173" i="106" s="1"/>
  <c r="B6639" i="106"/>
  <c r="D6639" i="106" s="1"/>
  <c r="B6375" i="106"/>
  <c r="D6375" i="106" s="1"/>
  <c r="K227" i="29"/>
  <c r="B1466" i="106" s="1"/>
  <c r="D1466" i="106" s="1"/>
  <c r="B1402" i="106"/>
  <c r="D1402" i="106" s="1"/>
  <c r="B1363" i="106"/>
  <c r="D1363" i="106" s="1"/>
  <c r="B970" i="106"/>
  <c r="D970" i="106" s="1"/>
  <c r="G65" i="29"/>
  <c r="B977" i="106" s="1"/>
  <c r="D977" i="106" s="1"/>
  <c r="K27" i="29"/>
  <c r="B6890" i="106"/>
  <c r="D6890" i="106" s="1"/>
  <c r="B6181" i="106"/>
  <c r="D6181" i="106" s="1"/>
  <c r="K206" i="29"/>
  <c r="B4210" i="106"/>
  <c r="D4210" i="106" s="1"/>
  <c r="B7148" i="106"/>
  <c r="D7148" i="106" s="1"/>
  <c r="B2802" i="106"/>
  <c r="D2802" i="106" s="1"/>
  <c r="D188" i="5"/>
  <c r="B5426" i="106"/>
  <c r="D5426" i="106" s="1"/>
  <c r="B973" i="106"/>
  <c r="D973" i="106" s="1"/>
  <c r="B7197" i="106"/>
  <c r="D7197" i="106" s="1"/>
  <c r="B6645" i="106"/>
  <c r="D6645" i="106" s="1"/>
  <c r="B5177" i="106"/>
  <c r="D5177" i="106" s="1"/>
  <c r="B6095" i="106"/>
  <c r="D6095" i="106" s="1"/>
  <c r="B5100" i="106"/>
  <c r="D5100" i="106" s="1"/>
  <c r="B2959" i="106"/>
  <c r="D2959" i="106" s="1"/>
  <c r="B7690" i="106"/>
  <c r="D7690" i="106" s="1"/>
  <c r="B5067" i="106"/>
  <c r="D5067" i="106" s="1"/>
  <c r="C18" i="5"/>
  <c r="B5071" i="106" s="1"/>
  <c r="D5071" i="106" s="1"/>
  <c r="B4947" i="106"/>
  <c r="D4947" i="106" s="1"/>
  <c r="B6160" i="106"/>
  <c r="D6160" i="106" s="1"/>
  <c r="B5401" i="106"/>
  <c r="D5401" i="106" s="1"/>
  <c r="B4189" i="106"/>
  <c r="D4189" i="106" s="1"/>
  <c r="F165" i="34"/>
  <c r="B6867" i="106"/>
  <c r="D6867" i="106" s="1"/>
  <c r="B784" i="106"/>
  <c r="D784" i="106" s="1"/>
  <c r="B7164" i="106"/>
  <c r="D7164" i="106" s="1"/>
  <c r="B4886" i="106"/>
  <c r="D4886" i="106" s="1"/>
  <c r="B173" i="106"/>
  <c r="D173" i="106" s="1"/>
  <c r="B7251" i="106"/>
  <c r="D7251" i="106" s="1"/>
  <c r="K9" i="29"/>
  <c r="F57" i="29"/>
  <c r="B911" i="106" s="1"/>
  <c r="D911" i="106" s="1"/>
  <c r="B909" i="106"/>
  <c r="D909" i="106" s="1"/>
  <c r="C13" i="3"/>
  <c r="B77" i="106" s="1"/>
  <c r="D77" i="106" s="1"/>
  <c r="B3411" i="106"/>
  <c r="D3411" i="106" s="1"/>
  <c r="D34" i="36"/>
  <c r="H24" i="118"/>
  <c r="B7637" i="106"/>
  <c r="B6171" i="106"/>
  <c r="D6171" i="106" s="1"/>
  <c r="B7707" i="106"/>
  <c r="D7707" i="106" s="1"/>
  <c r="B4354" i="106"/>
  <c r="D4354" i="106" s="1"/>
  <c r="G221" i="5"/>
  <c r="B5847" i="106" s="1"/>
  <c r="D5847" i="106" s="1"/>
  <c r="B5844" i="106"/>
  <c r="D5844" i="106" s="1"/>
  <c r="B5135" i="106"/>
  <c r="D5135" i="106" s="1"/>
  <c r="B6144" i="106"/>
  <c r="D6144" i="106" s="1"/>
  <c r="B6389" i="106"/>
  <c r="D6389" i="106" s="1"/>
  <c r="B3368" i="106"/>
  <c r="D3368" i="106" s="1"/>
  <c r="B5328" i="106"/>
  <c r="D5328" i="106" s="1"/>
  <c r="D12" i="5"/>
  <c r="B5" i="7"/>
  <c r="B904" i="106"/>
  <c r="D904" i="106" s="1"/>
  <c r="B6640" i="106"/>
  <c r="D6640" i="106" s="1"/>
  <c r="B840" i="106"/>
  <c r="D840" i="106" s="1"/>
  <c r="B6138" i="106"/>
  <c r="D6138" i="106" s="1"/>
  <c r="B6748" i="106"/>
  <c r="D6748" i="106" s="1"/>
  <c r="B791" i="106"/>
  <c r="D791" i="106" s="1"/>
  <c r="B6328" i="106"/>
  <c r="D6328" i="106" s="1"/>
  <c r="H47" i="29"/>
  <c r="B1021" i="106" s="1"/>
  <c r="D1021" i="106" s="1"/>
  <c r="B1018" i="106"/>
  <c r="D1018" i="106" s="1"/>
  <c r="B4884" i="106"/>
  <c r="D4884" i="106" s="1"/>
  <c r="B14" i="7"/>
  <c r="B5063" i="106"/>
  <c r="D5063" i="106" s="1"/>
  <c r="B4801" i="106"/>
  <c r="D4801" i="106" s="1"/>
  <c r="B5798" i="106"/>
  <c r="D5798" i="106" s="1"/>
  <c r="B1360" i="106"/>
  <c r="D1360" i="106" s="1"/>
  <c r="G184" i="29"/>
  <c r="B1426" i="106"/>
  <c r="D1426" i="106" s="1"/>
  <c r="K260" i="29"/>
  <c r="B1490" i="106" s="1"/>
  <c r="D1490" i="106" s="1"/>
  <c r="B4883" i="106"/>
  <c r="D4883" i="106" s="1"/>
  <c r="B5393" i="106"/>
  <c r="D5393" i="106" s="1"/>
  <c r="B6972" i="106"/>
  <c r="D6972" i="106" s="1"/>
  <c r="K207" i="29"/>
  <c r="B7070" i="106" s="1"/>
  <c r="D7070" i="106" s="1"/>
  <c r="B7069" i="106"/>
  <c r="D7069" i="106" s="1"/>
  <c r="B5665" i="106"/>
  <c r="D5665" i="106" s="1"/>
  <c r="B862" i="106"/>
  <c r="D862" i="106" s="1"/>
  <c r="E72" i="29"/>
  <c r="B869" i="106" s="1"/>
  <c r="D869" i="106" s="1"/>
  <c r="B5739" i="106"/>
  <c r="D5739" i="106" s="1"/>
  <c r="B6910" i="106"/>
  <c r="D6910" i="106" s="1"/>
  <c r="B6151" i="106"/>
  <c r="D6151" i="106" s="1"/>
  <c r="B4771" i="106"/>
  <c r="D4771" i="106" s="1"/>
  <c r="B6795" i="106"/>
  <c r="D6795" i="106" s="1"/>
  <c r="C132" i="5"/>
  <c r="B5133" i="106"/>
  <c r="D5133" i="106" s="1"/>
  <c r="B6097" i="106"/>
  <c r="D6097" i="106" s="1"/>
  <c r="B2799" i="106"/>
  <c r="D2799" i="106" s="1"/>
  <c r="B4393" i="106"/>
  <c r="D4393" i="106" s="1"/>
  <c r="K183" i="29"/>
  <c r="B1380" i="106" s="1"/>
  <c r="D1380" i="106" s="1"/>
  <c r="B1338" i="106"/>
  <c r="D1338" i="106" s="1"/>
  <c r="K32" i="29"/>
  <c r="B6900" i="106"/>
  <c r="D6900" i="106" s="1"/>
  <c r="B6187" i="106"/>
  <c r="D6187" i="106" s="1"/>
  <c r="B4310" i="106"/>
  <c r="D4310" i="106" s="1"/>
  <c r="B6758" i="106"/>
  <c r="D6758" i="106" s="1"/>
  <c r="B902" i="106"/>
  <c r="D902" i="106" s="1"/>
  <c r="F47" i="29"/>
  <c r="B905" i="106" s="1"/>
  <c r="D905" i="106" s="1"/>
  <c r="B6935" i="106"/>
  <c r="D6935" i="106" s="1"/>
  <c r="B4329" i="106"/>
  <c r="D4329" i="106" s="1"/>
  <c r="F120" i="34"/>
  <c r="K222" i="29"/>
  <c r="B1471" i="106" s="1"/>
  <c r="D1471" i="106" s="1"/>
  <c r="B1407" i="106"/>
  <c r="D1407" i="106" s="1"/>
  <c r="B2719" i="106"/>
  <c r="D2719" i="106" s="1"/>
  <c r="B6725" i="106"/>
  <c r="D6725" i="106" s="1"/>
  <c r="B7638" i="106"/>
  <c r="B6850" i="106"/>
  <c r="D6850" i="106" s="1"/>
  <c r="B6738" i="106"/>
  <c r="D6738" i="106" s="1"/>
  <c r="B164" i="106"/>
  <c r="D164" i="106" s="1"/>
  <c r="B6127" i="106"/>
  <c r="D6127" i="106" s="1"/>
  <c r="E34" i="3"/>
  <c r="B139" i="106" s="1"/>
  <c r="D139" i="106" s="1"/>
  <c r="B5346" i="106"/>
  <c r="D5346" i="106" s="1"/>
  <c r="B7262" i="106"/>
  <c r="D7262" i="106" s="1"/>
  <c r="B6950" i="106"/>
  <c r="D6950" i="106" s="1"/>
  <c r="I65" i="29"/>
  <c r="B6961" i="106" s="1"/>
  <c r="D6961" i="106" s="1"/>
  <c r="B1371" i="106"/>
  <c r="D1371" i="106" s="1"/>
  <c r="K199" i="29"/>
  <c r="H204" i="29"/>
  <c r="B5240" i="106"/>
  <c r="D5240" i="106" s="1"/>
  <c r="B6683" i="106"/>
  <c r="D6683" i="106" s="1"/>
  <c r="B1434" i="106"/>
  <c r="D1434" i="106" s="1"/>
  <c r="K269" i="29"/>
  <c r="B1498" i="106" s="1"/>
  <c r="D1498" i="106" s="1"/>
  <c r="B6620" i="106"/>
  <c r="D6620" i="106" s="1"/>
  <c r="J252" i="5"/>
  <c r="J266" i="5" s="1"/>
  <c r="B6675" i="106"/>
  <c r="D6675" i="106" s="1"/>
  <c r="B6664" i="106"/>
  <c r="D6664" i="106" s="1"/>
  <c r="B134" i="106"/>
  <c r="D134" i="106" s="1"/>
  <c r="F90" i="34"/>
  <c r="B6314" i="106"/>
  <c r="D6314" i="106" s="1"/>
  <c r="B6713" i="106"/>
  <c r="D6713" i="106" s="1"/>
  <c r="B3414" i="106"/>
  <c r="D3414" i="106" s="1"/>
  <c r="D35" i="36"/>
  <c r="D13" i="3"/>
  <c r="B109" i="106" s="1"/>
  <c r="D109" i="106" s="1"/>
  <c r="B980" i="106"/>
  <c r="D980" i="106" s="1"/>
  <c r="B7812" i="106"/>
  <c r="D7812" i="106" s="1"/>
  <c r="B6158" i="106"/>
  <c r="D6158" i="106" s="1"/>
  <c r="B6088" i="106"/>
  <c r="D6088" i="106" s="1"/>
  <c r="B5757" i="106"/>
  <c r="D5757" i="106" s="1"/>
  <c r="H293" i="29"/>
  <c r="B1449" i="106"/>
  <c r="D1449" i="106" s="1"/>
  <c r="K288" i="29"/>
  <c r="B7145" i="106"/>
  <c r="D7145" i="106" s="1"/>
  <c r="K322" i="29"/>
  <c r="B7153" i="106" s="1"/>
  <c r="D7153" i="106" s="1"/>
  <c r="B6186" i="106"/>
  <c r="D6186" i="106" s="1"/>
  <c r="B838" i="106"/>
  <c r="D838" i="106" s="1"/>
  <c r="B5233" i="106"/>
  <c r="D5233" i="106" s="1"/>
  <c r="C188" i="5"/>
  <c r="B2991" i="106"/>
  <c r="D2991" i="106" s="1"/>
  <c r="K190" i="29"/>
  <c r="B3009" i="106" s="1"/>
  <c r="D3009" i="106" s="1"/>
  <c r="F132" i="5"/>
  <c r="B5600" i="106"/>
  <c r="D5600" i="106" s="1"/>
  <c r="B4447" i="106"/>
  <c r="D4447" i="106" s="1"/>
  <c r="J122" i="5"/>
  <c r="B6353" i="106"/>
  <c r="D6353" i="106" s="1"/>
  <c r="B4876" i="106"/>
  <c r="D4876" i="106" s="1"/>
  <c r="B3422" i="106"/>
  <c r="D3422" i="106" s="1"/>
  <c r="G13" i="3"/>
  <c r="B180" i="106" s="1"/>
  <c r="D180" i="106" s="1"/>
  <c r="D38" i="36"/>
  <c r="B6699" i="106"/>
  <c r="D6699" i="106" s="1"/>
  <c r="K246" i="29"/>
  <c r="B1487" i="106" s="1"/>
  <c r="D1487" i="106" s="1"/>
  <c r="B1423" i="106"/>
  <c r="D1423" i="106" s="1"/>
  <c r="B7183" i="106"/>
  <c r="D7183" i="106" s="1"/>
  <c r="F98" i="34"/>
  <c r="B5107" i="106"/>
  <c r="D5107" i="106" s="1"/>
  <c r="K62" i="29"/>
  <c r="B741" i="106"/>
  <c r="D741" i="106" s="1"/>
  <c r="B6659" i="106"/>
  <c r="D6659" i="106" s="1"/>
  <c r="E53" i="29"/>
  <c r="B850" i="106" s="1"/>
  <c r="D850" i="106" s="1"/>
  <c r="B848" i="106"/>
  <c r="D848" i="106" s="1"/>
  <c r="B4868" i="106"/>
  <c r="D4868" i="106" s="1"/>
  <c r="B5137" i="106"/>
  <c r="D5137" i="106" s="1"/>
  <c r="B4391" i="106"/>
  <c r="D4391" i="106" s="1"/>
  <c r="B896" i="106"/>
  <c r="D896" i="106" s="1"/>
  <c r="B6794" i="106"/>
  <c r="D6794" i="106" s="1"/>
  <c r="B7109" i="106"/>
  <c r="D7109" i="106" s="1"/>
  <c r="B6320" i="106"/>
  <c r="D6320" i="106" s="1"/>
  <c r="B6690" i="106"/>
  <c r="D6690" i="106" s="1"/>
  <c r="F142" i="34"/>
  <c r="B900" i="106"/>
  <c r="D900" i="106" s="1"/>
  <c r="B6953" i="106"/>
  <c r="D6953" i="106" s="1"/>
  <c r="B1357" i="106"/>
  <c r="D1357" i="106" s="1"/>
  <c r="B2990" i="106"/>
  <c r="D2990" i="106" s="1"/>
  <c r="K189" i="29"/>
  <c r="B3008" i="106" s="1"/>
  <c r="D3008" i="106" s="1"/>
  <c r="B5858" i="106"/>
  <c r="D5858" i="106" s="1"/>
  <c r="F19" i="34"/>
  <c r="B5567" i="106"/>
  <c r="D5567" i="106" s="1"/>
  <c r="B6766" i="106"/>
  <c r="D6766" i="106" s="1"/>
  <c r="B6344" i="106"/>
  <c r="D6344" i="106" s="1"/>
  <c r="B6661" i="106"/>
  <c r="D6661" i="106" s="1"/>
  <c r="B892" i="106"/>
  <c r="D892" i="106" s="1"/>
  <c r="B6745" i="106"/>
  <c r="D6745" i="106" s="1"/>
  <c r="B6356" i="106"/>
  <c r="D6356" i="106" s="1"/>
  <c r="B6656" i="106"/>
  <c r="D6656" i="106" s="1"/>
  <c r="B5673" i="106"/>
  <c r="D5673" i="106" s="1"/>
  <c r="F209" i="5"/>
  <c r="B4413" i="106" s="1"/>
  <c r="D4413" i="106" s="1"/>
  <c r="B6711" i="106"/>
  <c r="D6711" i="106" s="1"/>
  <c r="B6927" i="106"/>
  <c r="D6927" i="106" s="1"/>
  <c r="J53" i="29"/>
  <c r="B6943" i="106" s="1"/>
  <c r="D6943" i="106" s="1"/>
  <c r="B2999" i="106"/>
  <c r="D2999" i="106" s="1"/>
  <c r="B2996" i="106"/>
  <c r="D2996" i="106" s="1"/>
  <c r="B4353" i="106"/>
  <c r="D4353" i="106" s="1"/>
  <c r="B1408" i="106"/>
  <c r="D1408" i="106" s="1"/>
  <c r="K223" i="29"/>
  <c r="B1472" i="106" s="1"/>
  <c r="D1472" i="106" s="1"/>
  <c r="B6105" i="106"/>
  <c r="D6105" i="106" s="1"/>
  <c r="B6760" i="106"/>
  <c r="D6760" i="106" s="1"/>
  <c r="B6098" i="106"/>
  <c r="D6098" i="106" s="1"/>
  <c r="B5168" i="106"/>
  <c r="D5168" i="106" s="1"/>
  <c r="F110" i="34"/>
  <c r="B7129" i="106"/>
  <c r="D7129" i="106" s="1"/>
  <c r="B3056" i="106"/>
  <c r="D3056" i="106" s="1"/>
  <c r="B6938" i="106"/>
  <c r="D6938" i="106" s="1"/>
  <c r="K273" i="29"/>
  <c r="B1502" i="106" s="1"/>
  <c r="D1502" i="106" s="1"/>
  <c r="B1438" i="106"/>
  <c r="D1438" i="106" s="1"/>
  <c r="K200" i="29"/>
  <c r="B1384" i="106" s="1"/>
  <c r="D1384" i="106" s="1"/>
  <c r="B1372" i="106"/>
  <c r="D1372" i="106" s="1"/>
  <c r="I47" i="29"/>
  <c r="B6924" i="106" s="1"/>
  <c r="D6924" i="106" s="1"/>
  <c r="B6918" i="106"/>
  <c r="D6918" i="106" s="1"/>
  <c r="B4318" i="106"/>
  <c r="D4318" i="106" s="1"/>
  <c r="B7186" i="106"/>
  <c r="D7186" i="106" s="1"/>
  <c r="B1032" i="106"/>
  <c r="D1032" i="106" s="1"/>
  <c r="B6169" i="106"/>
  <c r="D6169" i="106" s="1"/>
  <c r="B865" i="106"/>
  <c r="D865" i="106" s="1"/>
  <c r="B6323" i="106"/>
  <c r="D6323" i="106" s="1"/>
  <c r="B6744" i="106"/>
  <c r="D6744" i="106" s="1"/>
  <c r="B7113" i="106"/>
  <c r="D7113" i="106" s="1"/>
  <c r="D47" i="29"/>
  <c r="B789" i="106" s="1"/>
  <c r="D789" i="106" s="1"/>
  <c r="B786" i="106"/>
  <c r="D786" i="106" s="1"/>
  <c r="B1031" i="106"/>
  <c r="D1031" i="106" s="1"/>
  <c r="B979" i="106"/>
  <c r="D979" i="106" s="1"/>
  <c r="B7108" i="106"/>
  <c r="D7108" i="106" s="1"/>
  <c r="K307" i="29"/>
  <c r="B4099" i="106" s="1"/>
  <c r="D4099" i="106" s="1"/>
  <c r="B964" i="106"/>
  <c r="D964" i="106" s="1"/>
  <c r="G53" i="29"/>
  <c r="B966" i="106" s="1"/>
  <c r="D966" i="106" s="1"/>
  <c r="B3653" i="106"/>
  <c r="D3653" i="106" s="1"/>
  <c r="D53" i="29"/>
  <c r="B792" i="106" s="1"/>
  <c r="D792" i="106" s="1"/>
  <c r="B790" i="106"/>
  <c r="D790" i="106" s="1"/>
  <c r="B912" i="106"/>
  <c r="D912" i="106" s="1"/>
  <c r="F65" i="29"/>
  <c r="B919" i="106" s="1"/>
  <c r="D919" i="106" s="1"/>
  <c r="B6404" i="106"/>
  <c r="D6404" i="106" s="1"/>
  <c r="B7261" i="106"/>
  <c r="D7261" i="106" s="1"/>
  <c r="B4864" i="106"/>
  <c r="D4864" i="106" s="1"/>
  <c r="B6967" i="106"/>
  <c r="D6967" i="106" s="1"/>
  <c r="B1369" i="106"/>
  <c r="D1369" i="106" s="1"/>
  <c r="B5791" i="106"/>
  <c r="D5791" i="106" s="1"/>
  <c r="B6934" i="106"/>
  <c r="D6934" i="106" s="1"/>
  <c r="B7247" i="106"/>
  <c r="D7247" i="106" s="1"/>
  <c r="B7161" i="106"/>
  <c r="D7161" i="106" s="1"/>
  <c r="B7192" i="106"/>
  <c r="D7192" i="106" s="1"/>
  <c r="B7168" i="106"/>
  <c r="D7168" i="106" s="1"/>
  <c r="B845" i="106"/>
  <c r="D845" i="106" s="1"/>
  <c r="B1013" i="106"/>
  <c r="D1013" i="106" s="1"/>
  <c r="B6149" i="106"/>
  <c r="D6149" i="106" s="1"/>
  <c r="B4361" i="106"/>
  <c r="D4361" i="106" s="1"/>
  <c r="H252" i="5"/>
  <c r="B6619" i="106"/>
  <c r="D6619" i="106" s="1"/>
  <c r="B5710" i="106"/>
  <c r="D5710" i="106" s="1"/>
  <c r="B5352" i="106"/>
  <c r="D5352" i="106" s="1"/>
  <c r="B2798" i="106"/>
  <c r="D2798" i="106" s="1"/>
  <c r="B4855" i="106"/>
  <c r="D4855" i="106" s="1"/>
  <c r="B7704" i="106"/>
  <c r="D7704" i="106" s="1"/>
  <c r="B13" i="7"/>
  <c r="B5026" i="106"/>
  <c r="D5026" i="106" s="1"/>
  <c r="B1243" i="106"/>
  <c r="D1243" i="106" s="1"/>
  <c r="F127" i="29"/>
  <c r="I72" i="29"/>
  <c r="B6973" i="106" s="1"/>
  <c r="D6973" i="106" s="1"/>
  <c r="B6963" i="106"/>
  <c r="D6963" i="106" s="1"/>
  <c r="B6398" i="106"/>
  <c r="D6398" i="106" s="1"/>
  <c r="J175" i="5"/>
  <c r="B6332" i="106"/>
  <c r="D6332" i="106" s="1"/>
  <c r="K105" i="29"/>
  <c r="H110" i="29"/>
  <c r="B1048" i="106"/>
  <c r="D1048" i="106" s="1"/>
  <c r="B6146" i="106"/>
  <c r="D6146" i="106" s="1"/>
  <c r="B4813" i="106"/>
  <c r="D4813" i="106" s="1"/>
  <c r="K181" i="5"/>
  <c r="B6016" i="106" s="1"/>
  <c r="D6016" i="106" s="1"/>
  <c r="B4816" i="106"/>
  <c r="D4816" i="106" s="1"/>
  <c r="B6969" i="106"/>
  <c r="D6969" i="106" s="1"/>
  <c r="B5519" i="106"/>
  <c r="D5519" i="106" s="1"/>
  <c r="E67" i="5"/>
  <c r="B5521" i="106" s="1"/>
  <c r="D5521" i="106" s="1"/>
  <c r="F161" i="34"/>
  <c r="B4415" i="106"/>
  <c r="D4415" i="106" s="1"/>
  <c r="B6339" i="106"/>
  <c r="D6339" i="106" s="1"/>
  <c r="B5627" i="106"/>
  <c r="D5627" i="106" s="1"/>
  <c r="B6405" i="106"/>
  <c r="D6405" i="106" s="1"/>
  <c r="B7177" i="106"/>
  <c r="D7177" i="106" s="1"/>
  <c r="B6957" i="106"/>
  <c r="D6957" i="106" s="1"/>
  <c r="B6650" i="106"/>
  <c r="D6650" i="106" s="1"/>
  <c r="F137" i="34"/>
  <c r="B739" i="106"/>
  <c r="D739" i="106" s="1"/>
  <c r="K60" i="29"/>
  <c r="B5152" i="106"/>
  <c r="D5152" i="106" s="1"/>
  <c r="B4375" i="106"/>
  <c r="D4375" i="106" s="1"/>
  <c r="B6746" i="106"/>
  <c r="D6746" i="106" s="1"/>
  <c r="B5997" i="106"/>
  <c r="D5997" i="106" s="1"/>
  <c r="B5349" i="106"/>
  <c r="D5349" i="106" s="1"/>
  <c r="D108" i="5"/>
  <c r="B5355" i="106" s="1"/>
  <c r="D5355" i="106" s="1"/>
  <c r="B5559" i="106"/>
  <c r="D5559" i="106" s="1"/>
  <c r="B1262" i="106"/>
  <c r="D1262" i="106" s="1"/>
  <c r="B65" i="106"/>
  <c r="D65" i="106" s="1"/>
  <c r="B5089" i="106"/>
  <c r="D5089" i="106" s="1"/>
  <c r="C67" i="5"/>
  <c r="B5090" i="106" s="1"/>
  <c r="D5090" i="106" s="1"/>
  <c r="B6360" i="106"/>
  <c r="D6360" i="106" s="1"/>
  <c r="B5581" i="106"/>
  <c r="D5581" i="106" s="1"/>
  <c r="B730" i="106"/>
  <c r="D730" i="106" s="1"/>
  <c r="K46" i="29"/>
  <c r="B1118" i="106" s="1"/>
  <c r="D1118" i="106" s="1"/>
  <c r="B4407" i="106"/>
  <c r="D4407" i="106" s="1"/>
  <c r="B6780" i="106"/>
  <c r="D6780" i="106" s="1"/>
  <c r="B6822" i="106"/>
  <c r="D6822" i="106" s="1"/>
  <c r="B7028" i="106"/>
  <c r="D7028" i="106" s="1"/>
  <c r="G34" i="3"/>
  <c r="B188" i="106" s="1"/>
  <c r="D188" i="106" s="1"/>
  <c r="B6129" i="106"/>
  <c r="D6129" i="106" s="1"/>
  <c r="B6349" i="106"/>
  <c r="D6349" i="106" s="1"/>
  <c r="B5242" i="106"/>
  <c r="D5242" i="106" s="1"/>
  <c r="E84" i="29"/>
  <c r="B2949" i="106"/>
  <c r="D2949" i="106" s="1"/>
  <c r="K78" i="29"/>
  <c r="B2973" i="106" s="1"/>
  <c r="D2973" i="106" s="1"/>
  <c r="B6747" i="106"/>
  <c r="D6747" i="106" s="1"/>
  <c r="K280" i="29"/>
  <c r="B1447" i="106"/>
  <c r="D1447" i="106" s="1"/>
  <c r="B4179" i="106"/>
  <c r="D4179" i="106" s="1"/>
  <c r="B1245" i="106"/>
  <c r="D1245" i="106" s="1"/>
  <c r="B4408" i="106"/>
  <c r="D4408" i="106" s="1"/>
  <c r="B6729" i="106"/>
  <c r="D6729" i="106" s="1"/>
  <c r="F145" i="34"/>
  <c r="B6651" i="106"/>
  <c r="D6651" i="106" s="1"/>
  <c r="B7101" i="106"/>
  <c r="D7101" i="106" s="1"/>
  <c r="B2720" i="106"/>
  <c r="D2720" i="106" s="1"/>
  <c r="B903" i="106"/>
  <c r="D903" i="106" s="1"/>
  <c r="B855" i="106"/>
  <c r="D855" i="106" s="1"/>
  <c r="F156" i="34"/>
  <c r="B6825" i="106"/>
  <c r="D6825" i="106" s="1"/>
  <c r="B6183" i="106"/>
  <c r="D6183" i="106" s="1"/>
  <c r="B7175" i="106"/>
  <c r="D7175" i="106" s="1"/>
  <c r="B5337" i="106"/>
  <c r="D5337" i="106" s="1"/>
  <c r="B7149" i="106"/>
  <c r="D7149" i="106" s="1"/>
  <c r="B5274" i="106"/>
  <c r="D5274" i="106" s="1"/>
  <c r="C217" i="5"/>
  <c r="B5286" i="106" s="1"/>
  <c r="D5286" i="106" s="1"/>
  <c r="B5080" i="106"/>
  <c r="D5080" i="106" s="1"/>
  <c r="B2980" i="106"/>
  <c r="D2980" i="106" s="1"/>
  <c r="B5742" i="106"/>
  <c r="D5742" i="106" s="1"/>
  <c r="G122" i="5"/>
  <c r="B5748" i="106" s="1"/>
  <c r="D5748" i="106" s="1"/>
  <c r="B6176" i="106"/>
  <c r="D6176" i="106" s="1"/>
  <c r="B6865" i="106"/>
  <c r="D6865" i="106" s="1"/>
  <c r="B5248" i="106"/>
  <c r="D5248" i="106" s="1"/>
  <c r="K329" i="29"/>
  <c r="B7705" i="106" s="1"/>
  <c r="D7705" i="106" s="1"/>
  <c r="B7697" i="106"/>
  <c r="D7697" i="106" s="1"/>
  <c r="B3057" i="106"/>
  <c r="D3057" i="106" s="1"/>
  <c r="B4227" i="106"/>
  <c r="D4227" i="106" s="1"/>
  <c r="B5142" i="106"/>
  <c r="D5142" i="106" s="1"/>
  <c r="B6668" i="106"/>
  <c r="D6668" i="106" s="1"/>
  <c r="C209" i="5"/>
  <c r="B5256" i="106"/>
  <c r="D5256" i="106" s="1"/>
  <c r="B3376" i="106"/>
  <c r="D3376" i="106" s="1"/>
  <c r="B6740" i="106"/>
  <c r="D6740" i="106" s="1"/>
  <c r="B1235" i="106"/>
  <c r="D1235" i="106" s="1"/>
  <c r="E127" i="29"/>
  <c r="B6367" i="106"/>
  <c r="D6367" i="106" s="1"/>
  <c r="B5696" i="106"/>
  <c r="D5696" i="106" s="1"/>
  <c r="B4852" i="106"/>
  <c r="D4852" i="106" s="1"/>
  <c r="F170" i="34"/>
  <c r="B3625" i="106"/>
  <c r="D3625" i="106" s="1"/>
  <c r="I175" i="5"/>
  <c r="B4366" i="106"/>
  <c r="D4366" i="106" s="1"/>
  <c r="B1012" i="106"/>
  <c r="D1012" i="106" s="1"/>
  <c r="B3060" i="106"/>
  <c r="D3060" i="106" s="1"/>
  <c r="K71" i="29"/>
  <c r="B751" i="106"/>
  <c r="D751" i="106" s="1"/>
  <c r="B6133" i="106"/>
  <c r="D6133" i="106" s="1"/>
  <c r="B996" i="106"/>
  <c r="D996" i="106" s="1"/>
  <c r="B7691" i="106"/>
  <c r="D7691" i="106" s="1"/>
  <c r="B4311" i="106"/>
  <c r="D4311" i="106" s="1"/>
  <c r="B4215" i="106"/>
  <c r="D4215" i="106" s="1"/>
  <c r="B6345" i="106"/>
  <c r="D6345" i="106" s="1"/>
  <c r="B7700" i="106"/>
  <c r="D7700" i="106" s="1"/>
  <c r="B6783" i="106"/>
  <c r="D6783" i="106" s="1"/>
  <c r="B6799" i="106"/>
  <c r="D6799" i="106" s="1"/>
  <c r="B907" i="106"/>
  <c r="D907" i="106" s="1"/>
  <c r="B6115" i="106"/>
  <c r="D6115" i="106" s="1"/>
  <c r="B7264" i="106"/>
  <c r="B6099" i="106"/>
  <c r="D6099" i="106" s="1"/>
  <c r="B6361" i="106"/>
  <c r="D6361" i="106" s="1"/>
  <c r="B202" i="106"/>
  <c r="D202" i="106" s="1"/>
  <c r="B835" i="106"/>
  <c r="D835" i="106" s="1"/>
  <c r="H340" i="29"/>
  <c r="B7214" i="106" s="1"/>
  <c r="D7214" i="106" s="1"/>
  <c r="K337" i="29"/>
  <c r="B7208" i="106"/>
  <c r="D7208" i="106" s="1"/>
  <c r="B5075" i="106"/>
  <c r="D5075" i="106" s="1"/>
  <c r="B7254" i="106"/>
  <c r="D7254" i="106" s="1"/>
  <c r="I303" i="29"/>
  <c r="B7099" i="106"/>
  <c r="D7099" i="106" s="1"/>
  <c r="B863" i="106"/>
  <c r="D863" i="106" s="1"/>
  <c r="B967" i="106"/>
  <c r="D967" i="106" s="1"/>
  <c r="G57" i="29"/>
  <c r="B969" i="106" s="1"/>
  <c r="D969" i="106" s="1"/>
  <c r="B957" i="106"/>
  <c r="D957" i="106" s="1"/>
  <c r="B6363" i="106"/>
  <c r="D6363" i="106" s="1"/>
  <c r="B7128" i="106"/>
  <c r="D7128" i="106" s="1"/>
  <c r="B6308" i="106"/>
  <c r="D6308" i="106" s="1"/>
  <c r="B5124" i="106"/>
  <c r="D5124" i="106" s="1"/>
  <c r="D122" i="5"/>
  <c r="B5367" i="106" s="1"/>
  <c r="D5367" i="106" s="1"/>
  <c r="B5361" i="106"/>
  <c r="D5361" i="106" s="1"/>
  <c r="B3634" i="106"/>
  <c r="D3634" i="106" s="1"/>
  <c r="B5335" i="106"/>
  <c r="D5335" i="106" s="1"/>
  <c r="D18" i="5"/>
  <c r="B5339" i="106" s="1"/>
  <c r="D5339" i="106" s="1"/>
  <c r="B5884" i="106"/>
  <c r="D5884" i="106" s="1"/>
  <c r="B6085" i="106"/>
  <c r="D6085" i="106" s="1"/>
  <c r="B4814" i="106"/>
  <c r="D4814" i="106" s="1"/>
  <c r="B4794" i="106"/>
  <c r="D4794" i="106" s="1"/>
  <c r="K356" i="29"/>
  <c r="B6380" i="106"/>
  <c r="D6380" i="106" s="1"/>
  <c r="G155" i="5"/>
  <c r="B4357" i="106" s="1"/>
  <c r="D4357" i="106" s="1"/>
  <c r="B1440" i="106"/>
  <c r="D1440" i="106" s="1"/>
  <c r="K275" i="29"/>
  <c r="B1504" i="106" s="1"/>
  <c r="D1504" i="106" s="1"/>
  <c r="B126" i="106"/>
  <c r="D126" i="106" s="1"/>
  <c r="B6166" i="106"/>
  <c r="D6166" i="106" s="1"/>
  <c r="B6767" i="106"/>
  <c r="D6767" i="106" s="1"/>
  <c r="B6714" i="106"/>
  <c r="D6714" i="106" s="1"/>
  <c r="B6944" i="106"/>
  <c r="D6944" i="106" s="1"/>
  <c r="I57" i="29"/>
  <c r="B6948" i="106" s="1"/>
  <c r="D6948" i="106" s="1"/>
  <c r="B7240" i="106"/>
  <c r="D7240" i="106" s="1"/>
  <c r="K363" i="29"/>
  <c r="B7241" i="106" s="1"/>
  <c r="D7241" i="106" s="1"/>
  <c r="B4379" i="106"/>
  <c r="D4379" i="106" s="1"/>
  <c r="B4360" i="106"/>
  <c r="D4360" i="106" s="1"/>
  <c r="B5084" i="106"/>
  <c r="D5084" i="106" s="1"/>
  <c r="B828" i="106"/>
  <c r="D828" i="106" s="1"/>
  <c r="B5558" i="106"/>
  <c r="D5558" i="106" s="1"/>
  <c r="F18" i="5"/>
  <c r="B5562" i="106" s="1"/>
  <c r="D5562" i="106" s="1"/>
  <c r="B7040" i="106"/>
  <c r="D7040" i="106" s="1"/>
  <c r="B6771" i="106"/>
  <c r="D6771" i="106" s="1"/>
  <c r="B1030" i="106"/>
  <c r="D1030" i="106" s="1"/>
  <c r="B2950" i="106"/>
  <c r="D2950" i="106" s="1"/>
  <c r="K79" i="29"/>
  <c r="B2974" i="106" s="1"/>
  <c r="D2974" i="106" s="1"/>
  <c r="B3058" i="106"/>
  <c r="D3058" i="106" s="1"/>
  <c r="B1270" i="106"/>
  <c r="D1270" i="106" s="1"/>
  <c r="K146" i="29"/>
  <c r="B1285" i="106" s="1"/>
  <c r="D1285" i="106" s="1"/>
  <c r="B6785" i="106"/>
  <c r="D6785" i="106" s="1"/>
  <c r="B6391" i="106"/>
  <c r="D6391" i="106" s="1"/>
  <c r="B4761" i="106"/>
  <c r="D4761" i="106" s="1"/>
  <c r="F103" i="34"/>
  <c r="B6104" i="106"/>
  <c r="D6104" i="106" s="1"/>
  <c r="B988" i="106"/>
  <c r="D988" i="106" s="1"/>
  <c r="B891" i="106"/>
  <c r="D891" i="106" s="1"/>
  <c r="B7111" i="106"/>
  <c r="D7111" i="106" s="1"/>
  <c r="B6625" i="106"/>
  <c r="D6625" i="106" s="1"/>
  <c r="F84" i="34"/>
  <c r="B5563" i="106"/>
  <c r="D5563" i="106" s="1"/>
  <c r="F63" i="5"/>
  <c r="B5579" i="106" s="1"/>
  <c r="D5579" i="106" s="1"/>
  <c r="B6719" i="106"/>
  <c r="D6719" i="106" s="1"/>
  <c r="E169" i="5"/>
  <c r="B5537" i="106" s="1"/>
  <c r="D5537" i="106" s="1"/>
  <c r="B6368" i="106"/>
  <c r="D6368" i="106" s="1"/>
  <c r="B5922" i="106"/>
  <c r="D5922" i="106" s="1"/>
  <c r="B6165" i="106"/>
  <c r="D6165" i="106" s="1"/>
  <c r="K145" i="29"/>
  <c r="B2811" i="106" s="1"/>
  <c r="D2811" i="106" s="1"/>
  <c r="B2808" i="106"/>
  <c r="D2808" i="106" s="1"/>
  <c r="B6681" i="106"/>
  <c r="D6681" i="106" s="1"/>
  <c r="B7045" i="106"/>
  <c r="D7045" i="106" s="1"/>
  <c r="B2807" i="106"/>
  <c r="D2807" i="106" s="1"/>
  <c r="K144" i="29"/>
  <c r="B2810" i="106" s="1"/>
  <c r="D2810" i="106" s="1"/>
  <c r="B7195" i="106"/>
  <c r="D7195" i="106" s="1"/>
  <c r="B4448" i="106"/>
  <c r="D4448" i="106" s="1"/>
  <c r="K55" i="29"/>
  <c r="C57" i="29"/>
  <c r="B737" i="106" s="1"/>
  <c r="D737" i="106" s="1"/>
  <c r="B735" i="106"/>
  <c r="D735" i="106" s="1"/>
  <c r="B4879" i="106"/>
  <c r="D4879" i="106" s="1"/>
  <c r="B6629" i="106"/>
  <c r="D6629" i="106" s="1"/>
  <c r="B6689" i="106"/>
  <c r="D6689" i="106" s="1"/>
  <c r="B6688" i="106"/>
  <c r="D6688" i="106" s="1"/>
  <c r="B7166" i="106"/>
  <c r="D7166" i="106" s="1"/>
  <c r="B6333" i="106"/>
  <c r="D6333" i="106" s="1"/>
  <c r="B4356" i="106"/>
  <c r="D4356" i="106" s="1"/>
  <c r="B6763" i="106"/>
  <c r="D6763" i="106" s="1"/>
  <c r="B2722" i="106"/>
  <c r="D2722" i="106" s="1"/>
  <c r="B6947" i="106"/>
  <c r="D6947" i="106" s="1"/>
  <c r="B6779" i="106"/>
  <c r="D6779" i="106" s="1"/>
  <c r="B6686" i="106"/>
  <c r="D6686" i="106" s="1"/>
  <c r="K361" i="29"/>
  <c r="B7239" i="106" s="1"/>
  <c r="D7239" i="106" s="1"/>
  <c r="B7238" i="106"/>
  <c r="D7238" i="106" s="1"/>
  <c r="B718" i="106"/>
  <c r="D718" i="106" s="1"/>
  <c r="K14" i="29"/>
  <c r="B1106" i="106" s="1"/>
  <c r="D1106" i="106" s="1"/>
  <c r="J12" i="5"/>
  <c r="B6298" i="106"/>
  <c r="D6298" i="106" s="1"/>
  <c r="B11" i="7"/>
  <c r="B1396" i="106"/>
  <c r="D1396" i="106" s="1"/>
  <c r="K225" i="29"/>
  <c r="B1460" i="106" s="1"/>
  <c r="D1460" i="106" s="1"/>
  <c r="B6945" i="106"/>
  <c r="D6945" i="106" s="1"/>
  <c r="J57" i="29"/>
  <c r="B6949" i="106" s="1"/>
  <c r="D6949" i="106" s="1"/>
  <c r="B5109" i="106"/>
  <c r="D5109" i="106" s="1"/>
  <c r="B5556" i="106"/>
  <c r="D5556" i="106" s="1"/>
  <c r="B972" i="106"/>
  <c r="D972" i="106" s="1"/>
  <c r="B6920" i="106"/>
  <c r="D6920" i="106" s="1"/>
  <c r="B4330" i="106"/>
  <c r="D4330" i="106" s="1"/>
  <c r="B2812" i="106"/>
  <c r="D2812" i="106" s="1"/>
  <c r="K165" i="29"/>
  <c r="B2818" i="106" s="1"/>
  <c r="D2818" i="106" s="1"/>
  <c r="B6161" i="106"/>
  <c r="D6161" i="106" s="1"/>
  <c r="B6781" i="106"/>
  <c r="D6781" i="106" s="1"/>
  <c r="B4327" i="106"/>
  <c r="D4327" i="106" s="1"/>
  <c r="B6087" i="106"/>
  <c r="D6087" i="106" s="1"/>
  <c r="B6358" i="106"/>
  <c r="D6358" i="106" s="1"/>
  <c r="B5347" i="106"/>
  <c r="D5347" i="106" s="1"/>
  <c r="B7212" i="106"/>
  <c r="D7212" i="106" s="1"/>
  <c r="K339" i="29"/>
  <c r="B7213" i="106" s="1"/>
  <c r="D7213" i="106" s="1"/>
  <c r="K22" i="29"/>
  <c r="B6880" i="106"/>
  <c r="D6880" i="106" s="1"/>
  <c r="K264" i="29"/>
  <c r="B1493" i="106" s="1"/>
  <c r="D1493" i="106" s="1"/>
  <c r="B1429" i="106"/>
  <c r="D1429" i="106" s="1"/>
  <c r="B7141" i="106"/>
  <c r="D7141" i="106" s="1"/>
  <c r="B783" i="106"/>
  <c r="D783" i="106" s="1"/>
  <c r="B6913" i="106"/>
  <c r="D6913" i="106" s="1"/>
  <c r="B6618" i="106"/>
  <c r="D6618" i="106" s="1"/>
  <c r="G252" i="5"/>
  <c r="B6837" i="106" s="1"/>
  <c r="D6837" i="106" s="1"/>
  <c r="B812" i="106"/>
  <c r="D812" i="106" s="1"/>
  <c r="K36" i="29"/>
  <c r="C42" i="29"/>
  <c r="B727" i="106" s="1"/>
  <c r="D727" i="106" s="1"/>
  <c r="B721" i="106"/>
  <c r="D721" i="106" s="1"/>
  <c r="B6167" i="106"/>
  <c r="D6167" i="106" s="1"/>
  <c r="D181" i="5"/>
  <c r="B5425" i="106" s="1"/>
  <c r="D5425" i="106" s="1"/>
  <c r="B5424" i="106"/>
  <c r="D5424" i="106" s="1"/>
  <c r="B922" i="106"/>
  <c r="D922" i="106" s="1"/>
  <c r="B6315" i="106"/>
  <c r="D6315" i="106" s="1"/>
  <c r="F28" i="34"/>
  <c r="B5073" i="106"/>
  <c r="D5073" i="106" s="1"/>
  <c r="B5691" i="106"/>
  <c r="D5691" i="106" s="1"/>
  <c r="F217" i="5"/>
  <c r="B5703" i="106" s="1"/>
  <c r="D5703" i="106" s="1"/>
  <c r="B776" i="106"/>
  <c r="D776" i="106" s="1"/>
  <c r="B3648" i="106"/>
  <c r="D3648" i="106" s="1"/>
  <c r="B5601" i="106"/>
  <c r="D5601" i="106" s="1"/>
  <c r="B6163" i="106"/>
  <c r="D6163" i="106" s="1"/>
  <c r="K5" i="29"/>
  <c r="C33" i="29"/>
  <c r="B720" i="106" s="1"/>
  <c r="D720" i="106" s="1"/>
  <c r="B705" i="106"/>
  <c r="D705" i="106" s="1"/>
  <c r="B3486" i="106"/>
  <c r="D3486" i="106" s="1"/>
  <c r="B1006" i="106"/>
  <c r="D1006" i="106" s="1"/>
  <c r="B6153" i="106"/>
  <c r="D6153" i="106" s="1"/>
  <c r="B5432" i="106"/>
  <c r="D5432" i="106" s="1"/>
  <c r="B6753" i="106"/>
  <c r="D6753" i="106" s="1"/>
  <c r="F147" i="34"/>
  <c r="H127" i="29"/>
  <c r="B1260" i="106"/>
  <c r="D1260" i="106" s="1"/>
  <c r="B6710" i="106"/>
  <c r="D6710" i="106" s="1"/>
  <c r="B6310" i="106"/>
  <c r="D6310" i="106" s="1"/>
  <c r="B7193" i="106"/>
  <c r="D7193" i="106" s="1"/>
  <c r="B1008" i="106"/>
  <c r="D1008" i="106" s="1"/>
  <c r="B7268" i="106"/>
  <c r="B6722" i="106"/>
  <c r="D6722" i="106" s="1"/>
  <c r="B7062" i="106"/>
  <c r="D7062" i="106" s="1"/>
  <c r="B983" i="106"/>
  <c r="D983" i="106" s="1"/>
  <c r="B914" i="106"/>
  <c r="D914" i="106" s="1"/>
  <c r="B4792" i="106"/>
  <c r="D4792" i="106" s="1"/>
  <c r="F121" i="34"/>
  <c r="B5255" i="106"/>
  <c r="D5255" i="106" s="1"/>
  <c r="B4358" i="106"/>
  <c r="D4358" i="106" s="1"/>
  <c r="F168" i="34"/>
  <c r="B2998" i="106"/>
  <c r="D2998" i="106" s="1"/>
  <c r="B4793" i="106"/>
  <c r="D4793" i="106" s="1"/>
  <c r="K308" i="29"/>
  <c r="B4100" i="106" s="1"/>
  <c r="D4100" i="106" s="1"/>
  <c r="B7110" i="106"/>
  <c r="D7110" i="106" s="1"/>
  <c r="B7811" i="106"/>
  <c r="D7811" i="106" s="1"/>
  <c r="B7059" i="106"/>
  <c r="D7059" i="106" s="1"/>
  <c r="I184" i="29"/>
  <c r="B6179" i="106"/>
  <c r="D6179" i="106" s="1"/>
  <c r="B6851" i="106"/>
  <c r="D6851" i="106" s="1"/>
  <c r="B6156" i="106"/>
  <c r="D6156" i="106" s="1"/>
  <c r="B4920" i="106"/>
  <c r="D4920" i="106" s="1"/>
  <c r="B4410" i="106"/>
  <c r="D4410" i="106" s="1"/>
  <c r="B5722" i="106"/>
  <c r="D5722" i="106" s="1"/>
  <c r="B6706" i="106"/>
  <c r="D6706" i="106" s="1"/>
  <c r="I330" i="29"/>
  <c r="B7124" i="106"/>
  <c r="D7124" i="106" s="1"/>
  <c r="I33" i="29"/>
  <c r="B6902" i="106" s="1"/>
  <c r="D6902" i="106" s="1"/>
  <c r="B6844" i="106"/>
  <c r="D6844" i="106" s="1"/>
  <c r="B5560" i="106"/>
  <c r="D5560" i="106" s="1"/>
  <c r="D330" i="29"/>
  <c r="D342" i="29" s="1"/>
  <c r="B7217" i="106" s="1"/>
  <c r="D7217" i="106" s="1"/>
  <c r="B7119" i="106"/>
  <c r="D7119" i="106" s="1"/>
  <c r="B6715" i="106"/>
  <c r="D6715" i="106" s="1"/>
  <c r="B6937" i="106"/>
  <c r="D6937" i="106" s="1"/>
  <c r="F154" i="34"/>
  <c r="B6809" i="106"/>
  <c r="D6809" i="106" s="1"/>
  <c r="B6083" i="106"/>
  <c r="D6083" i="106" s="1"/>
  <c r="B4420" i="106"/>
  <c r="D4420" i="106" s="1"/>
  <c r="B7694" i="106"/>
  <c r="D7694" i="106" s="1"/>
  <c r="B6831" i="106"/>
  <c r="D6831" i="106" s="1"/>
  <c r="B76" i="106"/>
  <c r="D76" i="106" s="1"/>
  <c r="B6705" i="106"/>
  <c r="D6705" i="106" s="1"/>
  <c r="F148" i="34"/>
  <c r="B6761" i="106"/>
  <c r="D6761" i="106" s="1"/>
  <c r="F104" i="34"/>
  <c r="B5118" i="106"/>
  <c r="D5118" i="106" s="1"/>
  <c r="B849" i="106"/>
  <c r="D849" i="106" s="1"/>
  <c r="B7176" i="106"/>
  <c r="D7176" i="106" s="1"/>
  <c r="B5672" i="106"/>
  <c r="D5672" i="106" s="1"/>
  <c r="B6150" i="106"/>
  <c r="D6150" i="106" s="1"/>
  <c r="B6678" i="106"/>
  <c r="D6678" i="106" s="1"/>
  <c r="B6082" i="106"/>
  <c r="D6082" i="106" s="1"/>
  <c r="B5336" i="106"/>
  <c r="D5336" i="106" s="1"/>
  <c r="B5580" i="106"/>
  <c r="D5580" i="106" s="1"/>
  <c r="F67" i="5"/>
  <c r="B5582" i="106" s="1"/>
  <c r="D5582" i="106" s="1"/>
  <c r="B960" i="106"/>
  <c r="D960" i="106" s="1"/>
  <c r="G47" i="29"/>
  <c r="B963" i="106" s="1"/>
  <c r="D963" i="106" s="1"/>
  <c r="B6366" i="106"/>
  <c r="D6366" i="106" s="1"/>
  <c r="J303" i="29"/>
  <c r="B7100" i="106"/>
  <c r="D7100" i="106" s="1"/>
  <c r="C252" i="5"/>
  <c r="B6833" i="106" s="1"/>
  <c r="D6833" i="106" s="1"/>
  <c r="B6614" i="106"/>
  <c r="D6614" i="106" s="1"/>
  <c r="B7009" i="106"/>
  <c r="D7009" i="106" s="1"/>
  <c r="B716" i="106"/>
  <c r="D716" i="106" s="1"/>
  <c r="K12" i="29"/>
  <c r="B1104" i="106" s="1"/>
  <c r="D1104" i="106" s="1"/>
  <c r="B6756" i="106"/>
  <c r="D6756" i="106" s="1"/>
  <c r="B6341" i="106"/>
  <c r="D6341" i="106" s="1"/>
  <c r="B6732" i="106"/>
  <c r="D6732" i="106" s="1"/>
  <c r="B5354" i="106"/>
  <c r="D5354" i="106" s="1"/>
  <c r="B6174" i="106"/>
  <c r="D6174" i="106" s="1"/>
  <c r="B5529" i="106"/>
  <c r="D5529" i="106" s="1"/>
  <c r="B6698" i="106"/>
  <c r="D6698" i="106" s="1"/>
  <c r="B4916" i="106"/>
  <c r="D4916" i="106" s="1"/>
  <c r="B6827" i="106"/>
  <c r="D6827" i="106" s="1"/>
  <c r="K248" i="29"/>
  <c r="B7082" i="106" s="1"/>
  <c r="D7082" i="106" s="1"/>
  <c r="B7081" i="106"/>
  <c r="D7081" i="106" s="1"/>
  <c r="B5463" i="106"/>
  <c r="D5463" i="106" s="1"/>
  <c r="B1261" i="106"/>
  <c r="D1261" i="106" s="1"/>
  <c r="C12" i="5"/>
  <c r="B5061" i="106"/>
  <c r="D5061" i="106" s="1"/>
  <c r="B4" i="7"/>
  <c r="D4" i="7" s="1"/>
  <c r="B1760" i="106" s="1"/>
  <c r="D1760" i="106" s="1"/>
  <c r="B5275" i="106"/>
  <c r="D5275" i="106" s="1"/>
  <c r="B6648" i="106"/>
  <c r="D6648" i="106" s="1"/>
  <c r="B7252" i="106"/>
  <c r="D7252" i="106" s="1"/>
  <c r="D270" i="29"/>
  <c r="B1436" i="106" s="1"/>
  <c r="D1436" i="106" s="1"/>
  <c r="B1428" i="106"/>
  <c r="D1428" i="106" s="1"/>
  <c r="K263" i="29"/>
  <c r="B6135" i="106"/>
  <c r="D6135" i="106" s="1"/>
  <c r="B6765" i="106"/>
  <c r="D6765" i="106" s="1"/>
  <c r="K81" i="29"/>
  <c r="B2976" i="106" s="1"/>
  <c r="D2976" i="106" s="1"/>
  <c r="B2952" i="106"/>
  <c r="D2952" i="106" s="1"/>
  <c r="B6789" i="106"/>
  <c r="D6789" i="106" s="1"/>
  <c r="B4343" i="106"/>
  <c r="D4343" i="106" s="1"/>
  <c r="B6348" i="106"/>
  <c r="D6348" i="106" s="1"/>
  <c r="B7699" i="106"/>
  <c r="D7699" i="106" s="1"/>
  <c r="B6908" i="106"/>
  <c r="D6908" i="106" s="1"/>
  <c r="B5139" i="106"/>
  <c r="D5139" i="106" s="1"/>
  <c r="B6687" i="106"/>
  <c r="D6687" i="106" s="1"/>
  <c r="C155" i="5"/>
  <c r="B5175" i="106"/>
  <c r="D5175" i="106" s="1"/>
  <c r="B5498" i="106"/>
  <c r="D5498" i="106" s="1"/>
  <c r="B6939" i="106"/>
  <c r="D6939" i="106" s="1"/>
  <c r="B955" i="106"/>
  <c r="D955" i="106" s="1"/>
  <c r="B6852" i="106"/>
  <c r="D6852" i="106" s="1"/>
  <c r="B3632" i="106"/>
  <c r="D3632" i="106" s="1"/>
  <c r="F37" i="34"/>
  <c r="I267" i="5"/>
  <c r="B4373" i="106"/>
  <c r="D4373" i="106" s="1"/>
  <c r="C74" i="29"/>
  <c r="B7047" i="106"/>
  <c r="D7047" i="106" s="1"/>
  <c r="H149" i="29"/>
  <c r="B1272" i="106" s="1"/>
  <c r="D1272" i="106" s="1"/>
  <c r="F352" i="29"/>
  <c r="B3640" i="106"/>
  <c r="D3640" i="106" s="1"/>
  <c r="K92" i="29"/>
  <c r="B2089" i="106" s="1"/>
  <c r="D2089" i="106" s="1"/>
  <c r="B6995" i="106"/>
  <c r="D6995" i="106" s="1"/>
  <c r="B1417" i="106"/>
  <c r="D1417" i="106" s="1"/>
  <c r="B7126" i="106"/>
  <c r="D7126" i="106" s="1"/>
  <c r="B5513" i="106"/>
  <c r="D5513" i="106" s="1"/>
  <c r="B1137" i="106"/>
  <c r="D1137" i="106" s="1"/>
  <c r="D36" i="108"/>
  <c r="F36" i="108"/>
  <c r="G33" i="108"/>
  <c r="B5557" i="106"/>
  <c r="D5557" i="106" s="1"/>
  <c r="B7200" i="106"/>
  <c r="D7200" i="106" s="1"/>
  <c r="B4211" i="106"/>
  <c r="D4211" i="106" s="1"/>
  <c r="F64" i="34"/>
  <c r="B4397" i="106"/>
  <c r="D4397" i="106" s="1"/>
  <c r="F34" i="34"/>
  <c r="B6848" i="106"/>
  <c r="D6848" i="106" s="1"/>
  <c r="F69" i="34"/>
  <c r="B7078" i="106"/>
  <c r="D7078" i="106" s="1"/>
  <c r="B1475" i="106"/>
  <c r="D1475" i="106" s="1"/>
  <c r="K238" i="29"/>
  <c r="B1481" i="106" s="1"/>
  <c r="D1481" i="106" s="1"/>
  <c r="B901" i="106"/>
  <c r="D901" i="106" s="1"/>
  <c r="B959" i="106"/>
  <c r="D959" i="106" s="1"/>
  <c r="B1452" i="106"/>
  <c r="D1452" i="106" s="1"/>
  <c r="H295" i="29"/>
  <c r="B1454" i="106" s="1"/>
  <c r="D1454" i="106" s="1"/>
  <c r="B6839" i="106"/>
  <c r="D6839" i="106" s="1"/>
  <c r="C14" i="4"/>
  <c r="B2558" i="106" s="1"/>
  <c r="D2558" i="106" s="1"/>
  <c r="B1144" i="106"/>
  <c r="D1144" i="106" s="1"/>
  <c r="F52" i="34"/>
  <c r="B5260" i="106"/>
  <c r="D5260" i="106" s="1"/>
  <c r="B6899" i="106"/>
  <c r="D6899" i="106" s="1"/>
  <c r="B7074" i="106"/>
  <c r="D7074" i="106" s="1"/>
  <c r="F67" i="34"/>
  <c r="F45" i="34"/>
  <c r="B2091" i="106"/>
  <c r="D2091" i="106" s="1"/>
  <c r="H139" i="29"/>
  <c r="E139" i="29"/>
  <c r="B4203" i="106" s="1"/>
  <c r="D4203" i="106" s="1"/>
  <c r="B4202" i="106"/>
  <c r="D4202" i="106" s="1"/>
  <c r="F72" i="34"/>
  <c r="B1511" i="106"/>
  <c r="D1511" i="106" s="1"/>
  <c r="G14" i="4"/>
  <c r="B2609" i="106" s="1"/>
  <c r="D2609" i="106" s="1"/>
  <c r="F111" i="34"/>
  <c r="B5178" i="106"/>
  <c r="D5178" i="106" s="1"/>
  <c r="B6400" i="106"/>
  <c r="D6400" i="106" s="1"/>
  <c r="F37" i="108"/>
  <c r="B1139" i="106"/>
  <c r="D1139" i="106" s="1"/>
  <c r="D37" i="108"/>
  <c r="F38" i="34"/>
  <c r="B1107" i="106"/>
  <c r="D1107" i="106" s="1"/>
  <c r="B3390" i="106"/>
  <c r="D3390" i="106" s="1"/>
  <c r="F26" i="108"/>
  <c r="B6885" i="106"/>
  <c r="D6885" i="106" s="1"/>
  <c r="F43" i="34"/>
  <c r="D6" i="7"/>
  <c r="B1762" i="106" s="1"/>
  <c r="D1762" i="106" s="1"/>
  <c r="B1746" i="106"/>
  <c r="D1746" i="106" s="1"/>
  <c r="B2724" i="106"/>
  <c r="D2724" i="106" s="1"/>
  <c r="E13" i="145"/>
  <c r="D31" i="108"/>
  <c r="F31" i="108"/>
  <c r="F71" i="34"/>
  <c r="H77" i="4"/>
  <c r="B3299" i="106" s="1"/>
  <c r="D3299" i="106" s="1"/>
  <c r="E77" i="4"/>
  <c r="B3277" i="106" s="1"/>
  <c r="D3277" i="106" s="1"/>
  <c r="B3274" i="106"/>
  <c r="D3274" i="106" s="1"/>
  <c r="K77" i="4"/>
  <c r="B3587" i="106" s="1"/>
  <c r="D3587" i="106" s="1"/>
  <c r="B3586" i="106"/>
  <c r="D3586" i="106" s="1"/>
  <c r="B3318" i="106"/>
  <c r="D3318" i="106" s="1"/>
  <c r="I77" i="4"/>
  <c r="B3319" i="106" s="1"/>
  <c r="D3319" i="106" s="1"/>
  <c r="A7264" i="106"/>
  <c r="D7263" i="106"/>
  <c r="B3674" i="106" l="1"/>
  <c r="D3674" i="106" s="1"/>
  <c r="K293" i="29"/>
  <c r="K84" i="29"/>
  <c r="K257" i="29"/>
  <c r="B1488" i="106" s="1"/>
  <c r="D1488" i="106" s="1"/>
  <c r="B19" i="7"/>
  <c r="B1759" i="106" s="1"/>
  <c r="D1759" i="106" s="1"/>
  <c r="K340" i="29"/>
  <c r="K362" i="29"/>
  <c r="K72" i="29"/>
  <c r="B1141" i="106" s="1"/>
  <c r="D1141" i="106" s="1"/>
  <c r="K357" i="29"/>
  <c r="K15" i="4" s="1"/>
  <c r="B3573" i="106" s="1"/>
  <c r="D3573" i="106" s="1"/>
  <c r="F126" i="34"/>
  <c r="B3675" i="106"/>
  <c r="D3675" i="106" s="1"/>
  <c r="B7209" i="106"/>
  <c r="D7209" i="106" s="1"/>
  <c r="K334" i="29"/>
  <c r="K330" i="29"/>
  <c r="B1512" i="106"/>
  <c r="D1512" i="106" s="1"/>
  <c r="D279" i="29"/>
  <c r="K194" i="29"/>
  <c r="B3007" i="106"/>
  <c r="D3007" i="106" s="1"/>
  <c r="B7064" i="106"/>
  <c r="D7064" i="106" s="1"/>
  <c r="E39" i="108"/>
  <c r="E15" i="145"/>
  <c r="D26" i="108"/>
  <c r="G74" i="29"/>
  <c r="F74" i="29"/>
  <c r="F114" i="29" s="1"/>
  <c r="B931" i="106" s="1"/>
  <c r="D931" i="106" s="1"/>
  <c r="B7041" i="106"/>
  <c r="D7041" i="106" s="1"/>
  <c r="J267" i="5"/>
  <c r="B7054" i="106" s="1"/>
  <c r="D7054" i="106" s="1"/>
  <c r="F266" i="5"/>
  <c r="F109" i="5"/>
  <c r="E109" i="5"/>
  <c r="E4" i="4" s="1"/>
  <c r="B2630" i="106" s="1"/>
  <c r="D2630" i="106" s="1"/>
  <c r="B1744" i="106"/>
  <c r="D1744" i="106" s="1"/>
  <c r="F41" i="34"/>
  <c r="B6881" i="106"/>
  <c r="D6881" i="106" s="1"/>
  <c r="D11" i="7"/>
  <c r="B1768" i="106" s="1"/>
  <c r="D1768" i="106" s="1"/>
  <c r="B1752" i="106"/>
  <c r="D1752" i="106" s="1"/>
  <c r="I312" i="29"/>
  <c r="B7116" i="106" s="1"/>
  <c r="D7116" i="106" s="1"/>
  <c r="B7103" i="106"/>
  <c r="D7103" i="106" s="1"/>
  <c r="D13" i="7"/>
  <c r="B3726" i="106" s="1"/>
  <c r="D3726" i="106" s="1"/>
  <c r="B3725" i="106"/>
  <c r="D3725" i="106" s="1"/>
  <c r="G29" i="108"/>
  <c r="B1129" i="106"/>
  <c r="D1129" i="106" s="1"/>
  <c r="E29" i="108"/>
  <c r="B6357" i="106"/>
  <c r="D6357" i="106" s="1"/>
  <c r="J170" i="5"/>
  <c r="B1383" i="106"/>
  <c r="D1383" i="106" s="1"/>
  <c r="K204" i="29"/>
  <c r="B5147" i="106"/>
  <c r="D5147" i="106" s="1"/>
  <c r="C169" i="5"/>
  <c r="F105" i="34"/>
  <c r="B1364" i="106"/>
  <c r="D1364" i="106" s="1"/>
  <c r="G210" i="29"/>
  <c r="B1745" i="106"/>
  <c r="D1745" i="106" s="1"/>
  <c r="D5" i="7"/>
  <c r="E74" i="29"/>
  <c r="B843" i="106"/>
  <c r="D843" i="106" s="1"/>
  <c r="F157" i="34"/>
  <c r="F28" i="108"/>
  <c r="B1128" i="106"/>
  <c r="D1128" i="106" s="1"/>
  <c r="E28" i="108"/>
  <c r="B1523" i="106"/>
  <c r="D1523" i="106" s="1"/>
  <c r="C312" i="29"/>
  <c r="B1524" i="106" s="1"/>
  <c r="D1524" i="106" s="1"/>
  <c r="K65" i="29"/>
  <c r="B1133" i="106" s="1"/>
  <c r="D1133" i="106" s="1"/>
  <c r="B6006" i="106"/>
  <c r="D6006" i="106" s="1"/>
  <c r="K170" i="5"/>
  <c r="G266" i="5"/>
  <c r="B4398" i="106"/>
  <c r="D4398" i="106" s="1"/>
  <c r="B3654" i="106"/>
  <c r="D3654" i="106" s="1"/>
  <c r="H352" i="29"/>
  <c r="B7076" i="106"/>
  <c r="D7076" i="106" s="1"/>
  <c r="F68" i="34"/>
  <c r="B3626" i="106"/>
  <c r="D3626" i="106" s="1"/>
  <c r="D352" i="29"/>
  <c r="B3647" i="106"/>
  <c r="D3647" i="106" s="1"/>
  <c r="G352" i="29"/>
  <c r="B5125" i="106"/>
  <c r="D5125" i="106" s="1"/>
  <c r="C5" i="4"/>
  <c r="B3405" i="106" s="1"/>
  <c r="D3405" i="106" s="1"/>
  <c r="B6887" i="106"/>
  <c r="D6887" i="106" s="1"/>
  <c r="F44" i="34"/>
  <c r="K277" i="29"/>
  <c r="B1508" i="106" s="1"/>
  <c r="D1508" i="106" s="1"/>
  <c r="B1501" i="106"/>
  <c r="D1501" i="106" s="1"/>
  <c r="B7204" i="106"/>
  <c r="D7204" i="106" s="1"/>
  <c r="H342" i="29"/>
  <c r="B7221" i="106" s="1"/>
  <c r="D7221" i="106" s="1"/>
  <c r="B6883" i="106"/>
  <c r="D6883" i="106" s="1"/>
  <c r="F42" i="34"/>
  <c r="G35" i="108"/>
  <c r="E35" i="108"/>
  <c r="B1136" i="106"/>
  <c r="D1136" i="106" s="1"/>
  <c r="D8" i="7"/>
  <c r="B1764" i="106" s="1"/>
  <c r="D1764" i="106" s="1"/>
  <c r="B1748" i="106"/>
  <c r="D1748" i="106" s="1"/>
  <c r="I74" i="29"/>
  <c r="B6916" i="106"/>
  <c r="D6916" i="106" s="1"/>
  <c r="F94" i="34"/>
  <c r="B5096" i="106"/>
  <c r="D5096" i="106" s="1"/>
  <c r="F312" i="29"/>
  <c r="B1542" i="106" s="1"/>
  <c r="D1542" i="106" s="1"/>
  <c r="B1541" i="106"/>
  <c r="D1541" i="106" s="1"/>
  <c r="B1553" i="106"/>
  <c r="D1553" i="106" s="1"/>
  <c r="H312" i="29"/>
  <c r="B1554" i="106" s="1"/>
  <c r="D1554" i="106" s="1"/>
  <c r="B5752" i="106"/>
  <c r="D5752" i="106" s="1"/>
  <c r="G169" i="5"/>
  <c r="D10" i="7"/>
  <c r="B1765" i="106" s="1"/>
  <c r="D1765" i="106" s="1"/>
  <c r="B1749" i="106"/>
  <c r="D1749" i="106" s="1"/>
  <c r="B3673" i="106"/>
  <c r="D3673" i="106" s="1"/>
  <c r="B7792" i="106"/>
  <c r="D7792" i="106" s="1"/>
  <c r="F56" i="34"/>
  <c r="D14" i="4"/>
  <c r="B2570" i="106" s="1"/>
  <c r="D2570" i="106" s="1"/>
  <c r="B2805" i="106"/>
  <c r="D2805" i="106" s="1"/>
  <c r="B1142" i="106"/>
  <c r="D1142" i="106" s="1"/>
  <c r="G38" i="108"/>
  <c r="E38" i="108"/>
  <c r="F123" i="34"/>
  <c r="B5232" i="106"/>
  <c r="D5232" i="106" s="1"/>
  <c r="B1264" i="106"/>
  <c r="D1264" i="106" s="1"/>
  <c r="H129" i="29"/>
  <c r="B1266" i="106" s="1"/>
  <c r="D1266" i="106" s="1"/>
  <c r="B1123" i="106"/>
  <c r="D1123" i="106" s="1"/>
  <c r="K57" i="29"/>
  <c r="E129" i="29"/>
  <c r="B1239" i="106"/>
  <c r="D1239" i="106" s="1"/>
  <c r="B1247" i="106"/>
  <c r="D1247" i="106" s="1"/>
  <c r="F129" i="29"/>
  <c r="B6901" i="106"/>
  <c r="D6901" i="106" s="1"/>
  <c r="F51" i="34"/>
  <c r="D14" i="7"/>
  <c r="B1770" i="106" s="1"/>
  <c r="D1770" i="106" s="1"/>
  <c r="B1754" i="106"/>
  <c r="D1754" i="106" s="1"/>
  <c r="D109" i="5"/>
  <c r="B5334" i="106"/>
  <c r="D5334" i="106" s="1"/>
  <c r="B6891" i="106"/>
  <c r="D6891" i="106" s="1"/>
  <c r="F46" i="34"/>
  <c r="B3633" i="106"/>
  <c r="D3633" i="106" s="1"/>
  <c r="E352" i="29"/>
  <c r="E367" i="29" s="1"/>
  <c r="B3636" i="106" s="1"/>
  <c r="D3636" i="106" s="1"/>
  <c r="B1377" i="106"/>
  <c r="D1377" i="106" s="1"/>
  <c r="K184" i="29"/>
  <c r="B5592" i="106"/>
  <c r="D5592" i="106" s="1"/>
  <c r="F5" i="4"/>
  <c r="B3408" i="106" s="1"/>
  <c r="D3408" i="106" s="1"/>
  <c r="B4102" i="106"/>
  <c r="D4102" i="106" s="1"/>
  <c r="D17" i="7"/>
  <c r="B4104" i="106" s="1"/>
  <c r="D4104" i="106" s="1"/>
  <c r="B1751" i="106"/>
  <c r="D1751" i="106" s="1"/>
  <c r="D9" i="7"/>
  <c r="B1767" i="106" s="1"/>
  <c r="D1767" i="106" s="1"/>
  <c r="B7231" i="106"/>
  <c r="D7231" i="106" s="1"/>
  <c r="J352" i="29"/>
  <c r="K53" i="29"/>
  <c r="B1120" i="106"/>
  <c r="D1120" i="106" s="1"/>
  <c r="B5360" i="106"/>
  <c r="D5360" i="106" s="1"/>
  <c r="D5" i="4"/>
  <c r="B3406" i="106" s="1"/>
  <c r="D3406" i="106" s="1"/>
  <c r="B5534" i="106"/>
  <c r="D5534" i="106" s="1"/>
  <c r="E170" i="5"/>
  <c r="K266" i="5"/>
  <c r="B6840" i="106"/>
  <c r="D6840" i="106" s="1"/>
  <c r="B1324" i="106"/>
  <c r="D1324" i="106" s="1"/>
  <c r="K168" i="29"/>
  <c r="G30" i="108"/>
  <c r="B1130" i="106"/>
  <c r="D1130" i="106" s="1"/>
  <c r="E30" i="108"/>
  <c r="F39" i="34"/>
  <c r="B6877" i="106"/>
  <c r="D6877" i="106" s="1"/>
  <c r="F49" i="34"/>
  <c r="B6897" i="106"/>
  <c r="D6897" i="106" s="1"/>
  <c r="B1470" i="106"/>
  <c r="D1470" i="106" s="1"/>
  <c r="F70" i="34"/>
  <c r="F107" i="34"/>
  <c r="B5165" i="106"/>
  <c r="D5165" i="106" s="1"/>
  <c r="B5725" i="106"/>
  <c r="D5725" i="106" s="1"/>
  <c r="G109" i="5"/>
  <c r="B1345" i="106"/>
  <c r="D1345" i="106" s="1"/>
  <c r="D210" i="29"/>
  <c r="B1346" i="106" s="1"/>
  <c r="D1346" i="106" s="1"/>
  <c r="B1017" i="106"/>
  <c r="D1017" i="106" s="1"/>
  <c r="H74" i="29"/>
  <c r="B7778" i="106"/>
  <c r="D7778" i="106" s="1"/>
  <c r="K160" i="29"/>
  <c r="B1131" i="106"/>
  <c r="D1131" i="106" s="1"/>
  <c r="E16" i="145"/>
  <c r="G16" i="145" s="1"/>
  <c r="D18" i="7"/>
  <c r="B4105" i="106" s="1"/>
  <c r="D4105" i="106" s="1"/>
  <c r="B4103" i="106"/>
  <c r="D4103" i="106" s="1"/>
  <c r="B1223" i="106"/>
  <c r="D1223" i="106" s="1"/>
  <c r="C129" i="29"/>
  <c r="E342" i="29"/>
  <c r="B7218" i="106" s="1"/>
  <c r="D7218" i="106" s="1"/>
  <c r="B7201" i="106"/>
  <c r="D7201" i="106" s="1"/>
  <c r="I109" i="5"/>
  <c r="B5918" i="106"/>
  <c r="D5918" i="106" s="1"/>
  <c r="K350" i="29"/>
  <c r="B3668" i="106"/>
  <c r="D3668" i="106" s="1"/>
  <c r="E33" i="108"/>
  <c r="E17" i="145"/>
  <c r="G17" i="145" s="1"/>
  <c r="B1134" i="106"/>
  <c r="D1134" i="106" s="1"/>
  <c r="D312" i="29"/>
  <c r="B1530" i="106" s="1"/>
  <c r="D1530" i="106" s="1"/>
  <c r="B1529" i="106"/>
  <c r="D1529" i="106" s="1"/>
  <c r="E196" i="29"/>
  <c r="B2823" i="106"/>
  <c r="D2823" i="106" s="1"/>
  <c r="B1231" i="106"/>
  <c r="D1231" i="106" s="1"/>
  <c r="D129" i="29"/>
  <c r="K243" i="29"/>
  <c r="B1482" i="106"/>
  <c r="D1482" i="106" s="1"/>
  <c r="B1492" i="106"/>
  <c r="D1492" i="106" s="1"/>
  <c r="K270" i="29"/>
  <c r="B1500" i="106" s="1"/>
  <c r="D1500" i="106" s="1"/>
  <c r="C109" i="5"/>
  <c r="B5066" i="106"/>
  <c r="D5066" i="106" s="1"/>
  <c r="B7104" i="106"/>
  <c r="D7104" i="106" s="1"/>
  <c r="J312" i="29"/>
  <c r="B7117" i="106" s="1"/>
  <c r="D7117" i="106" s="1"/>
  <c r="B1093" i="106"/>
  <c r="D1093" i="106" s="1"/>
  <c r="K33" i="29"/>
  <c r="B1109" i="106"/>
  <c r="D1109" i="106" s="1"/>
  <c r="K42" i="29"/>
  <c r="J109" i="5"/>
  <c r="B6301" i="106"/>
  <c r="D6301" i="106" s="1"/>
  <c r="F127" i="34"/>
  <c r="B4411" i="106"/>
  <c r="D4411" i="106" s="1"/>
  <c r="H112" i="29"/>
  <c r="B7018" i="106" s="1"/>
  <c r="D7018" i="106" s="1"/>
  <c r="B1053" i="106"/>
  <c r="D1053" i="106" s="1"/>
  <c r="C266" i="5"/>
  <c r="B4395" i="106"/>
  <c r="D4395" i="106" s="1"/>
  <c r="F124" i="34"/>
  <c r="D266" i="5"/>
  <c r="B4396" i="106"/>
  <c r="D4396" i="106" s="1"/>
  <c r="K147" i="29"/>
  <c r="B1283" i="106"/>
  <c r="D1283" i="106" s="1"/>
  <c r="B1308" i="106"/>
  <c r="D1308" i="106" s="1"/>
  <c r="E174" i="29"/>
  <c r="B1309" i="106" s="1"/>
  <c r="D1309" i="106" s="1"/>
  <c r="K285" i="29"/>
  <c r="B7784" i="106"/>
  <c r="D7784" i="106" s="1"/>
  <c r="B1339" i="106"/>
  <c r="D1339" i="106" s="1"/>
  <c r="C210" i="29"/>
  <c r="B1340" i="106" s="1"/>
  <c r="D1340" i="106" s="1"/>
  <c r="B1121" i="106"/>
  <c r="D1121" i="106" s="1"/>
  <c r="E12" i="145"/>
  <c r="G12" i="145" s="1"/>
  <c r="K47" i="29"/>
  <c r="B1116" i="106"/>
  <c r="D1116" i="106" s="1"/>
  <c r="E312" i="29"/>
  <c r="B1536" i="106" s="1"/>
  <c r="D1536" i="106" s="1"/>
  <c r="B1535" i="106"/>
  <c r="D1535" i="106" s="1"/>
  <c r="I129" i="29"/>
  <c r="B7033" i="106"/>
  <c r="D7033" i="106" s="1"/>
  <c r="H365" i="29"/>
  <c r="B7242" i="106" s="1"/>
  <c r="D7242" i="106" s="1"/>
  <c r="B3658" i="106"/>
  <c r="D3658" i="106" s="1"/>
  <c r="F210" i="29"/>
  <c r="B1359" i="106" s="1"/>
  <c r="D1359" i="106" s="1"/>
  <c r="B1358" i="106"/>
  <c r="D1358" i="106" s="1"/>
  <c r="D16" i="7"/>
  <c r="B3447" i="106" s="1"/>
  <c r="D3447" i="106" s="1"/>
  <c r="B3446" i="106"/>
  <c r="D3446" i="106" s="1"/>
  <c r="B7230" i="106"/>
  <c r="D7230" i="106" s="1"/>
  <c r="I352" i="29"/>
  <c r="D12" i="7"/>
  <c r="B1769" i="106" s="1"/>
  <c r="D1769" i="106" s="1"/>
  <c r="B1753" i="106"/>
  <c r="D1753" i="106" s="1"/>
  <c r="B7776" i="106"/>
  <c r="D7776" i="106" s="1"/>
  <c r="K137" i="29"/>
  <c r="C342" i="29"/>
  <c r="B7216" i="106" s="1"/>
  <c r="D7216" i="106" s="1"/>
  <c r="B7199" i="106"/>
  <c r="D7199" i="106" s="1"/>
  <c r="F342" i="29"/>
  <c r="B7219" i="106" s="1"/>
  <c r="D7219" i="106" s="1"/>
  <c r="B7202" i="106"/>
  <c r="D7202" i="106" s="1"/>
  <c r="F95" i="34"/>
  <c r="B5102" i="106"/>
  <c r="D5102" i="106" s="1"/>
  <c r="F48" i="34"/>
  <c r="B6895" i="106"/>
  <c r="D6895" i="106" s="1"/>
  <c r="B1256" i="106"/>
  <c r="D1256" i="106" s="1"/>
  <c r="G129" i="29"/>
  <c r="J342" i="29"/>
  <c r="B7223" i="106" s="1"/>
  <c r="D7223" i="106" s="1"/>
  <c r="B7206" i="106"/>
  <c r="D7206" i="106" s="1"/>
  <c r="B5161" i="106"/>
  <c r="D5161" i="106" s="1"/>
  <c r="F106" i="34"/>
  <c r="B1135" i="106"/>
  <c r="D1135" i="106" s="1"/>
  <c r="G34" i="108"/>
  <c r="E34" i="108"/>
  <c r="I170" i="5"/>
  <c r="B4363" i="106"/>
  <c r="D4363" i="106" s="1"/>
  <c r="B1747" i="106"/>
  <c r="D1747" i="106" s="1"/>
  <c r="D7" i="7"/>
  <c r="B1763" i="106" s="1"/>
  <c r="D1763" i="106" s="1"/>
  <c r="B7205" i="106"/>
  <c r="D7205" i="106" s="1"/>
  <c r="I342" i="29"/>
  <c r="B7222" i="106" s="1"/>
  <c r="D7222" i="106" s="1"/>
  <c r="B7063" i="106"/>
  <c r="D7063" i="106" s="1"/>
  <c r="I210" i="29"/>
  <c r="B2789" i="106"/>
  <c r="D2789" i="106" s="1"/>
  <c r="E102" i="29"/>
  <c r="B2790" i="106" s="1"/>
  <c r="D2790" i="106" s="1"/>
  <c r="F27" i="108"/>
  <c r="F41" i="108" s="1"/>
  <c r="G43" i="108" s="1"/>
  <c r="D27" i="108"/>
  <c r="B1127" i="106"/>
  <c r="D1127" i="106" s="1"/>
  <c r="B1146" i="106"/>
  <c r="D1146" i="106" s="1"/>
  <c r="K110" i="29"/>
  <c r="B6838" i="106"/>
  <c r="D6838" i="106" s="1"/>
  <c r="H266" i="5"/>
  <c r="B5614" i="106"/>
  <c r="D5614" i="106" s="1"/>
  <c r="F169" i="5"/>
  <c r="H208" i="29"/>
  <c r="B1375" i="106" s="1"/>
  <c r="D1375" i="106" s="1"/>
  <c r="B4156" i="106"/>
  <c r="D4156" i="106" s="1"/>
  <c r="F35" i="34"/>
  <c r="B6853" i="106"/>
  <c r="D6853" i="106" s="1"/>
  <c r="K303" i="29"/>
  <c r="B1555" i="106"/>
  <c r="D1555" i="106" s="1"/>
  <c r="B5369" i="106"/>
  <c r="D5369" i="106" s="1"/>
  <c r="D169" i="5"/>
  <c r="J74" i="29"/>
  <c r="B6917" i="106"/>
  <c r="D6917" i="106" s="1"/>
  <c r="K310" i="29"/>
  <c r="B7107" i="106"/>
  <c r="D7107" i="106" s="1"/>
  <c r="K100" i="29"/>
  <c r="B7013" i="106" s="1"/>
  <c r="D7013" i="106" s="1"/>
  <c r="B6997" i="106"/>
  <c r="D6997" i="106" s="1"/>
  <c r="D15" i="7"/>
  <c r="B1772" i="106" s="1"/>
  <c r="D1772" i="106" s="1"/>
  <c r="B1756" i="106"/>
  <c r="D1756" i="106" s="1"/>
  <c r="B5873" i="106"/>
  <c r="D5873" i="106" s="1"/>
  <c r="H109" i="5"/>
  <c r="D74" i="29"/>
  <c r="B785" i="106"/>
  <c r="D785" i="106" s="1"/>
  <c r="B5304" i="106"/>
  <c r="D5304" i="106" s="1"/>
  <c r="F132" i="34"/>
  <c r="B7034" i="106"/>
  <c r="D7034" i="106" s="1"/>
  <c r="J129" i="29"/>
  <c r="B6893" i="106"/>
  <c r="D6893" i="106" s="1"/>
  <c r="F47" i="34"/>
  <c r="H172" i="29"/>
  <c r="B1314" i="106"/>
  <c r="D1314" i="106" s="1"/>
  <c r="K109" i="5"/>
  <c r="B5987" i="106"/>
  <c r="D5987" i="106" s="1"/>
  <c r="E266" i="5"/>
  <c r="B6835" i="106"/>
  <c r="D6835" i="106" s="1"/>
  <c r="B5893" i="106"/>
  <c r="D5893" i="106" s="1"/>
  <c r="H170" i="5"/>
  <c r="B2828" i="106"/>
  <c r="D2828" i="106" s="1"/>
  <c r="H196" i="29"/>
  <c r="F36" i="34"/>
  <c r="B6858" i="106"/>
  <c r="D6858" i="106" s="1"/>
  <c r="G5" i="4"/>
  <c r="B3409" i="106" s="1"/>
  <c r="D3409" i="106" s="1"/>
  <c r="B5741" i="106"/>
  <c r="D5741" i="106" s="1"/>
  <c r="B7203" i="106"/>
  <c r="D7203" i="106" s="1"/>
  <c r="G342" i="29"/>
  <c r="B7220" i="106" s="1"/>
  <c r="D7220" i="106" s="1"/>
  <c r="B2081" i="106"/>
  <c r="D2081" i="106" s="1"/>
  <c r="H102" i="29"/>
  <c r="B1047" i="106" s="1"/>
  <c r="D1047" i="106" s="1"/>
  <c r="E14" i="145"/>
  <c r="G14" i="145" s="1"/>
  <c r="B1124" i="106"/>
  <c r="D1124" i="106" s="1"/>
  <c r="G26" i="108"/>
  <c r="E26" i="108"/>
  <c r="B1274" i="106"/>
  <c r="D1274" i="106" s="1"/>
  <c r="K127" i="29"/>
  <c r="F15" i="145"/>
  <c r="B5246" i="106"/>
  <c r="D5246" i="106" s="1"/>
  <c r="F125" i="34"/>
  <c r="C352" i="29"/>
  <c r="B3619" i="106"/>
  <c r="D3619" i="106" s="1"/>
  <c r="F40" i="34"/>
  <c r="B6879" i="106"/>
  <c r="D6879" i="106" s="1"/>
  <c r="B1489" i="106"/>
  <c r="D1489" i="106" s="1"/>
  <c r="K261" i="29"/>
  <c r="B1491" i="106" s="1"/>
  <c r="D1491" i="106" s="1"/>
  <c r="B1547" i="106"/>
  <c r="D1547" i="106" s="1"/>
  <c r="G312" i="29"/>
  <c r="B1548" i="106" s="1"/>
  <c r="D1548" i="106" s="1"/>
  <c r="J7" i="4"/>
  <c r="K365" i="29"/>
  <c r="B3676" i="106"/>
  <c r="D3676" i="106" s="1"/>
  <c r="B3642" i="106"/>
  <c r="D3642" i="106" s="1"/>
  <c r="F367" i="29"/>
  <c r="B3643" i="106" s="1"/>
  <c r="D3643" i="106" s="1"/>
  <c r="C114" i="29"/>
  <c r="B757" i="106" s="1"/>
  <c r="D757" i="106" s="1"/>
  <c r="B755" i="106"/>
  <c r="D755" i="106" s="1"/>
  <c r="B1474" i="106"/>
  <c r="D1474" i="106" s="1"/>
  <c r="G12" i="4"/>
  <c r="B2607" i="106" s="1"/>
  <c r="D2607" i="106" s="1"/>
  <c r="B1267" i="106"/>
  <c r="D1267" i="106" s="1"/>
  <c r="G114" i="29"/>
  <c r="B987" i="106"/>
  <c r="D987" i="106" s="1"/>
  <c r="F267" i="5"/>
  <c r="B5713" i="106"/>
  <c r="D5713" i="106" s="1"/>
  <c r="J15" i="4"/>
  <c r="B7796" i="106" s="1"/>
  <c r="D7796" i="106" s="1"/>
  <c r="B7790" i="106"/>
  <c r="D7790" i="106" s="1"/>
  <c r="F74" i="34"/>
  <c r="F4" i="4"/>
  <c r="B2591" i="106" s="1"/>
  <c r="D2591" i="106" s="1"/>
  <c r="B5588" i="106"/>
  <c r="D5588" i="106" s="1"/>
  <c r="B5527" i="106"/>
  <c r="D5527" i="106" s="1"/>
  <c r="B1446" i="106"/>
  <c r="D1446" i="106" s="1"/>
  <c r="D295" i="29"/>
  <c r="B1448" i="106" s="1"/>
  <c r="D1448" i="106" s="1"/>
  <c r="B4435" i="106"/>
  <c r="D4435" i="106" s="1"/>
  <c r="I7" i="4"/>
  <c r="B4444" i="106" s="1"/>
  <c r="D4444" i="106" s="1"/>
  <c r="G13" i="145"/>
  <c r="B2088" i="106"/>
  <c r="D2088" i="106" s="1"/>
  <c r="K196" i="29"/>
  <c r="B2837" i="106"/>
  <c r="D2837" i="106" s="1"/>
  <c r="K342" i="29"/>
  <c r="B7207" i="106"/>
  <c r="D7207" i="106" s="1"/>
  <c r="J13" i="4"/>
  <c r="J16" i="4"/>
  <c r="B6226" i="106" s="1"/>
  <c r="D6226" i="106" s="1"/>
  <c r="B7215" i="106"/>
  <c r="D7215" i="106" s="1"/>
  <c r="B1515" i="106"/>
  <c r="D1515" i="106" s="1"/>
  <c r="G16" i="4"/>
  <c r="B2611" i="106" s="1"/>
  <c r="D2611" i="106" s="1"/>
  <c r="A7265" i="106"/>
  <c r="D7264" i="106"/>
  <c r="K102" i="29" l="1"/>
  <c r="D41" i="108"/>
  <c r="E43" i="108" s="1"/>
  <c r="H151" i="29"/>
  <c r="B1273" i="106" s="1"/>
  <c r="D1273" i="106" s="1"/>
  <c r="B929" i="106"/>
  <c r="D929" i="106" s="1"/>
  <c r="E19" i="145"/>
  <c r="F174" i="34"/>
  <c r="C367" i="29"/>
  <c r="B3622" i="106" s="1"/>
  <c r="D3622" i="106" s="1"/>
  <c r="B3621" i="106"/>
  <c r="D3621" i="106" s="1"/>
  <c r="B1279" i="106"/>
  <c r="D1279" i="106" s="1"/>
  <c r="K129" i="29"/>
  <c r="H6" i="4"/>
  <c r="B2656" i="106" s="1"/>
  <c r="D2656" i="106" s="1"/>
  <c r="B5906" i="106"/>
  <c r="D5906" i="106" s="1"/>
  <c r="H4" i="4"/>
  <c r="B2655" i="106" s="1"/>
  <c r="D2655" i="106" s="1"/>
  <c r="B6025" i="106"/>
  <c r="D6025" i="106" s="1"/>
  <c r="H267" i="5"/>
  <c r="H268" i="5" s="1"/>
  <c r="B4441" i="106"/>
  <c r="D4441" i="106" s="1"/>
  <c r="B4216" i="106"/>
  <c r="D4216" i="106" s="1"/>
  <c r="I6" i="4"/>
  <c r="B5011" i="106" s="1"/>
  <c r="D5011" i="106" s="1"/>
  <c r="B1258" i="106"/>
  <c r="D1258" i="106" s="1"/>
  <c r="G151" i="29"/>
  <c r="J268" i="5"/>
  <c r="J4" i="4"/>
  <c r="B6220" i="106" s="1"/>
  <c r="D6220" i="106" s="1"/>
  <c r="B6352" i="106"/>
  <c r="D6352" i="106" s="1"/>
  <c r="B5121" i="106"/>
  <c r="D5121" i="106" s="1"/>
  <c r="C4" i="4"/>
  <c r="B2551" i="106" s="1"/>
  <c r="D2551" i="106" s="1"/>
  <c r="B1485" i="106"/>
  <c r="D1485" i="106" s="1"/>
  <c r="K279" i="29"/>
  <c r="E210" i="29"/>
  <c r="B1353" i="106" s="1"/>
  <c r="D1353" i="106" s="1"/>
  <c r="B1352" i="106"/>
  <c r="D1352" i="106" s="1"/>
  <c r="C151" i="29"/>
  <c r="B1226" i="106" s="1"/>
  <c r="D1226" i="106" s="1"/>
  <c r="B1225" i="106"/>
  <c r="D1225" i="106" s="1"/>
  <c r="B1045" i="106"/>
  <c r="D1045" i="106" s="1"/>
  <c r="H114" i="29"/>
  <c r="B1054" i="106" s="1"/>
  <c r="D1054" i="106" s="1"/>
  <c r="B6024" i="106"/>
  <c r="D6024" i="106" s="1"/>
  <c r="G4" i="4"/>
  <c r="B2603" i="106" s="1"/>
  <c r="D2603" i="106" s="1"/>
  <c r="B4442" i="106"/>
  <c r="D4442" i="106" s="1"/>
  <c r="K267" i="5"/>
  <c r="B6977" i="106"/>
  <c r="D6977" i="106" s="1"/>
  <c r="I114" i="29"/>
  <c r="G367" i="29"/>
  <c r="B3650" i="106" s="1"/>
  <c r="D3650" i="106" s="1"/>
  <c r="B3649" i="106"/>
  <c r="D3649" i="106" s="1"/>
  <c r="B871" i="106"/>
  <c r="D871" i="106" s="1"/>
  <c r="E114" i="29"/>
  <c r="B873" i="106" s="1"/>
  <c r="D873" i="106" s="1"/>
  <c r="K208" i="29"/>
  <c r="K210" i="29" s="1"/>
  <c r="B4157" i="106"/>
  <c r="D4157" i="106" s="1"/>
  <c r="K4" i="4"/>
  <c r="B3569" i="106" s="1"/>
  <c r="D3569" i="106" s="1"/>
  <c r="B6028" i="106"/>
  <c r="D6028" i="106" s="1"/>
  <c r="B6978" i="106"/>
  <c r="D6978" i="106" s="1"/>
  <c r="J114" i="29"/>
  <c r="B7021" i="106" s="1"/>
  <c r="D7021" i="106" s="1"/>
  <c r="K312" i="29"/>
  <c r="B1560" i="106" s="1"/>
  <c r="D1560" i="106" s="1"/>
  <c r="B1559" i="106"/>
  <c r="D1559" i="106" s="1"/>
  <c r="H13" i="4"/>
  <c r="F66" i="34"/>
  <c r="B7071" i="106"/>
  <c r="D7071" i="106" s="1"/>
  <c r="G15" i="4"/>
  <c r="B6032" i="106" s="1"/>
  <c r="D6032" i="106" s="1"/>
  <c r="F73" i="34"/>
  <c r="B3724" i="106"/>
  <c r="D3724" i="106" s="1"/>
  <c r="B7048" i="106"/>
  <c r="D7048" i="106" s="1"/>
  <c r="K149" i="29"/>
  <c r="K74" i="29"/>
  <c r="E21" i="108"/>
  <c r="B1115" i="106"/>
  <c r="D1115" i="106" s="1"/>
  <c r="G21" i="108"/>
  <c r="B1233" i="106"/>
  <c r="D1233" i="106" s="1"/>
  <c r="D151" i="29"/>
  <c r="B1234" i="106" s="1"/>
  <c r="D1234" i="106" s="1"/>
  <c r="B6026" i="106"/>
  <c r="D6026" i="106" s="1"/>
  <c r="I4" i="4"/>
  <c r="B3225" i="106" s="1"/>
  <c r="D3225" i="106" s="1"/>
  <c r="I268" i="5"/>
  <c r="B5946" i="106" s="1"/>
  <c r="D5946" i="106" s="1"/>
  <c r="K172" i="29"/>
  <c r="B1328" i="106"/>
  <c r="D1328" i="106" s="1"/>
  <c r="E6" i="4"/>
  <c r="B2631" i="106" s="1"/>
  <c r="D2631" i="106" s="1"/>
  <c r="B5544" i="106"/>
  <c r="D5544" i="106" s="1"/>
  <c r="B5863" i="106"/>
  <c r="D5863" i="106" s="1"/>
  <c r="G267" i="5"/>
  <c r="B1761" i="106"/>
  <c r="D1761" i="106" s="1"/>
  <c r="D19" i="7"/>
  <c r="B1775" i="106" s="1"/>
  <c r="D1775" i="106" s="1"/>
  <c r="H210" i="29"/>
  <c r="B1376" i="106" s="1"/>
  <c r="D1376" i="106" s="1"/>
  <c r="B2830" i="106"/>
  <c r="D2830" i="106" s="1"/>
  <c r="B7038" i="106"/>
  <c r="D7038" i="106" s="1"/>
  <c r="J151" i="29"/>
  <c r="B7052" i="106" s="1"/>
  <c r="D7052" i="106" s="1"/>
  <c r="B5412" i="106"/>
  <c r="D5412" i="106" s="1"/>
  <c r="D170" i="5"/>
  <c r="F170" i="5"/>
  <c r="B5644" i="106"/>
  <c r="D5644" i="106" s="1"/>
  <c r="B1151" i="106"/>
  <c r="D1151" i="106" s="1"/>
  <c r="K112" i="29"/>
  <c r="K139" i="29"/>
  <c r="B2093" i="106"/>
  <c r="D2093" i="106" s="1"/>
  <c r="B7234" i="106"/>
  <c r="D7234" i="106" s="1"/>
  <c r="I367" i="29"/>
  <c r="B7244" i="106" s="1"/>
  <c r="D7244" i="106" s="1"/>
  <c r="B5320" i="106"/>
  <c r="D5320" i="106" s="1"/>
  <c r="C267" i="5"/>
  <c r="E15" i="4"/>
  <c r="B2633" i="106" s="1"/>
  <c r="D2633" i="106" s="1"/>
  <c r="F60" i="34"/>
  <c r="E23" i="108"/>
  <c r="G23" i="108"/>
  <c r="B1122" i="106"/>
  <c r="D1122" i="106" s="1"/>
  <c r="D4" i="4"/>
  <c r="B2564" i="106" s="1"/>
  <c r="D2564" i="106" s="1"/>
  <c r="B5356" i="106"/>
  <c r="D5356" i="106" s="1"/>
  <c r="B1241" i="106"/>
  <c r="D1241" i="106" s="1"/>
  <c r="E151" i="29"/>
  <c r="B1242" i="106" s="1"/>
  <c r="D1242" i="106" s="1"/>
  <c r="D367" i="29"/>
  <c r="B3629" i="106" s="1"/>
  <c r="D3629" i="106" s="1"/>
  <c r="B3628" i="106"/>
  <c r="D3628" i="106" s="1"/>
  <c r="B3656" i="106"/>
  <c r="D3656" i="106" s="1"/>
  <c r="H367" i="29"/>
  <c r="B3660" i="106" s="1"/>
  <c r="D3660" i="106" s="1"/>
  <c r="K6" i="4"/>
  <c r="B3570" i="106" s="1"/>
  <c r="D3570" i="106" s="1"/>
  <c r="B6014" i="106"/>
  <c r="D6014" i="106" s="1"/>
  <c r="C170" i="5"/>
  <c r="B5214" i="106"/>
  <c r="D5214" i="106" s="1"/>
  <c r="B6397" i="106"/>
  <c r="D6397" i="106" s="1"/>
  <c r="J6" i="4"/>
  <c r="B6221" i="106" s="1"/>
  <c r="D6221" i="106" s="1"/>
  <c r="G15" i="145"/>
  <c r="G19" i="145" s="1"/>
  <c r="J20" i="145" s="1"/>
  <c r="F19" i="145"/>
  <c r="E267" i="5"/>
  <c r="B7747" i="106"/>
  <c r="D7747" i="106" s="1"/>
  <c r="H174" i="29"/>
  <c r="B1318" i="106" s="1"/>
  <c r="D1318" i="106" s="1"/>
  <c r="B1317" i="106"/>
  <c r="D1317" i="106" s="1"/>
  <c r="D114" i="29"/>
  <c r="B815" i="106" s="1"/>
  <c r="D815" i="106" s="1"/>
  <c r="B813" i="106"/>
  <c r="D813" i="106" s="1"/>
  <c r="B2102" i="106"/>
  <c r="D2102" i="106" s="1"/>
  <c r="H15" i="4"/>
  <c r="B2660" i="106" s="1"/>
  <c r="D2660" i="106" s="1"/>
  <c r="B7037" i="106"/>
  <c r="D7037" i="106" s="1"/>
  <c r="I151" i="29"/>
  <c r="B1119" i="106"/>
  <c r="D1119" i="106" s="1"/>
  <c r="G22" i="108"/>
  <c r="E22" i="108"/>
  <c r="B5501" i="106"/>
  <c r="D5501" i="106" s="1"/>
  <c r="D267" i="5"/>
  <c r="E19" i="108"/>
  <c r="G19" i="108"/>
  <c r="B1108" i="106"/>
  <c r="D1108" i="106" s="1"/>
  <c r="C12" i="4"/>
  <c r="B2556" i="106" s="1"/>
  <c r="D2556" i="106" s="1"/>
  <c r="B3670" i="106"/>
  <c r="D3670" i="106" s="1"/>
  <c r="K352" i="29"/>
  <c r="J367" i="29"/>
  <c r="B7245" i="106" s="1"/>
  <c r="D7245" i="106" s="1"/>
  <c r="B7235" i="106"/>
  <c r="D7235" i="106" s="1"/>
  <c r="F13" i="4"/>
  <c r="B2596" i="106" s="1"/>
  <c r="D2596" i="106" s="1"/>
  <c r="B1381" i="106"/>
  <c r="D1381" i="106" s="1"/>
  <c r="F151" i="29"/>
  <c r="B1250" i="106" s="1"/>
  <c r="D1250" i="106" s="1"/>
  <c r="B1249" i="106"/>
  <c r="D1249" i="106" s="1"/>
  <c r="B1125" i="106"/>
  <c r="D1125" i="106" s="1"/>
  <c r="E24" i="108"/>
  <c r="G24" i="108"/>
  <c r="B5770" i="106"/>
  <c r="D5770" i="106" s="1"/>
  <c r="G170" i="5"/>
  <c r="F65" i="34"/>
  <c r="B1365" i="106"/>
  <c r="D1365" i="106" s="1"/>
  <c r="F13" i="34"/>
  <c r="B7224" i="106"/>
  <c r="D7224" i="106" s="1"/>
  <c r="C15" i="4"/>
  <c r="B2559" i="106" s="1"/>
  <c r="D2559" i="106" s="1"/>
  <c r="B1145" i="106"/>
  <c r="D1145" i="106" s="1"/>
  <c r="F53" i="34"/>
  <c r="B5719" i="106"/>
  <c r="D5719" i="106" s="1"/>
  <c r="F7" i="4"/>
  <c r="B2594" i="106" s="1"/>
  <c r="D2594" i="106" s="1"/>
  <c r="B989" i="106"/>
  <c r="D989" i="106" s="1"/>
  <c r="F54" i="34"/>
  <c r="B7243" i="106"/>
  <c r="D7243" i="106" s="1"/>
  <c r="K16" i="4"/>
  <c r="B3574" i="106" s="1"/>
  <c r="D3574" i="106" s="1"/>
  <c r="I8" i="4"/>
  <c r="B3226" i="106" s="1"/>
  <c r="D3226" i="106" s="1"/>
  <c r="J17" i="4"/>
  <c r="B7042" i="106"/>
  <c r="D7042" i="106" s="1"/>
  <c r="F15" i="4"/>
  <c r="B2598" i="106" s="1"/>
  <c r="D2598" i="106" s="1"/>
  <c r="B1382" i="106"/>
  <c r="D1382" i="106" s="1"/>
  <c r="F63" i="34"/>
  <c r="B6222" i="106"/>
  <c r="D6222" i="106" s="1"/>
  <c r="J8" i="4"/>
  <c r="A7266" i="106"/>
  <c r="D7265" i="106"/>
  <c r="I10" i="4" l="1"/>
  <c r="B4128" i="106" s="1"/>
  <c r="D4128" i="106" s="1"/>
  <c r="E8" i="146"/>
  <c r="E10" i="146" s="1"/>
  <c r="I20" i="4"/>
  <c r="I78" i="4" s="1"/>
  <c r="D7" i="4"/>
  <c r="B2567" i="106" s="1"/>
  <c r="D2567" i="106" s="1"/>
  <c r="B5507" i="106"/>
  <c r="D5507" i="106" s="1"/>
  <c r="B5223" i="106"/>
  <c r="D5223" i="106" s="1"/>
  <c r="C6" i="4"/>
  <c r="C268" i="5"/>
  <c r="C7" i="4"/>
  <c r="B5326" i="106"/>
  <c r="D5326" i="106" s="1"/>
  <c r="K114" i="29"/>
  <c r="B1143" i="106"/>
  <c r="D1143" i="106" s="1"/>
  <c r="C13" i="4"/>
  <c r="H17" i="4"/>
  <c r="B2659" i="106"/>
  <c r="D2659" i="106" s="1"/>
  <c r="B1387" i="106"/>
  <c r="D1387" i="106" s="1"/>
  <c r="F16" i="4"/>
  <c r="B2599" i="106" s="1"/>
  <c r="D2599" i="106" s="1"/>
  <c r="F58" i="34"/>
  <c r="B1259" i="106"/>
  <c r="D1259" i="106" s="1"/>
  <c r="B7051" i="106"/>
  <c r="D7051" i="106" s="1"/>
  <c r="F59" i="34"/>
  <c r="B1282" i="106"/>
  <c r="D1282" i="106" s="1"/>
  <c r="D15" i="4"/>
  <c r="B2571" i="106" s="1"/>
  <c r="D2571" i="106" s="1"/>
  <c r="F57" i="34"/>
  <c r="F268" i="5"/>
  <c r="F6" i="4"/>
  <c r="B5653" i="106"/>
  <c r="D5653" i="106" s="1"/>
  <c r="D16" i="4"/>
  <c r="B2572" i="106" s="1"/>
  <c r="D2572" i="106" s="1"/>
  <c r="B1287" i="106"/>
  <c r="D1287" i="106" s="1"/>
  <c r="B7020" i="106"/>
  <c r="D7020" i="106" s="1"/>
  <c r="F55" i="34"/>
  <c r="F17" i="11"/>
  <c r="K295" i="29"/>
  <c r="G13" i="4"/>
  <c r="B1510" i="106"/>
  <c r="D1510" i="106" s="1"/>
  <c r="H7" i="4"/>
  <c r="B5914" i="106"/>
  <c r="D5914" i="106" s="1"/>
  <c r="B3672" i="106"/>
  <c r="D3672" i="106" s="1"/>
  <c r="K13" i="4"/>
  <c r="K367" i="29"/>
  <c r="B3678" i="106" s="1"/>
  <c r="D3678" i="106" s="1"/>
  <c r="G41" i="108"/>
  <c r="G44" i="108" s="1"/>
  <c r="G45" i="108" s="1"/>
  <c r="B4434" i="106"/>
  <c r="D4434" i="106" s="1"/>
  <c r="E268" i="5"/>
  <c r="E7" i="4"/>
  <c r="B7019" i="106"/>
  <c r="D7019" i="106" s="1"/>
  <c r="C16" i="4"/>
  <c r="B2560" i="106" s="1"/>
  <c r="D2560" i="106" s="1"/>
  <c r="D6" i="4"/>
  <c r="D268" i="5"/>
  <c r="B5421" i="106"/>
  <c r="D5421" i="106" s="1"/>
  <c r="B5869" i="106"/>
  <c r="D5869" i="106" s="1"/>
  <c r="G7" i="4"/>
  <c r="B2605" i="106" s="1"/>
  <c r="D2605" i="106" s="1"/>
  <c r="K313" i="29"/>
  <c r="B1561" i="106" s="1"/>
  <c r="D1561" i="106" s="1"/>
  <c r="B5915" i="106"/>
  <c r="D5915" i="106" s="1"/>
  <c r="B5778" i="106"/>
  <c r="D5778" i="106" s="1"/>
  <c r="G6" i="4"/>
  <c r="G268" i="5"/>
  <c r="E41" i="108"/>
  <c r="E44" i="108" s="1"/>
  <c r="E45" i="108" s="1"/>
  <c r="K174" i="29"/>
  <c r="B1331" i="106"/>
  <c r="D1331" i="106" s="1"/>
  <c r="E16" i="4"/>
  <c r="K7" i="4"/>
  <c r="B6022" i="106"/>
  <c r="D6022" i="106" s="1"/>
  <c r="K268" i="5"/>
  <c r="B7055" i="106"/>
  <c r="D7055" i="106" s="1"/>
  <c r="K343" i="29"/>
  <c r="B7225" i="106" s="1"/>
  <c r="D7225" i="106" s="1"/>
  <c r="D13" i="4"/>
  <c r="B1281" i="106"/>
  <c r="D1281" i="106" s="1"/>
  <c r="K151" i="29"/>
  <c r="F17" i="4"/>
  <c r="D9" i="146" s="1"/>
  <c r="B6223" i="106"/>
  <c r="D6223" i="106" s="1"/>
  <c r="J20" i="4"/>
  <c r="J10" i="4"/>
  <c r="B6225" i="106" s="1"/>
  <c r="D6225" i="106" s="1"/>
  <c r="J19" i="4"/>
  <c r="B6229" i="106" s="1"/>
  <c r="D6229" i="106" s="1"/>
  <c r="B6227" i="106"/>
  <c r="D6227" i="106" s="1"/>
  <c r="F11" i="34"/>
  <c r="B1388" i="106"/>
  <c r="D1388" i="106" s="1"/>
  <c r="F19" i="4"/>
  <c r="B4139" i="106" s="1"/>
  <c r="D4139" i="106" s="1"/>
  <c r="A7267" i="106"/>
  <c r="D7266" i="106"/>
  <c r="B2600" i="106" l="1"/>
  <c r="D2600" i="106" s="1"/>
  <c r="F76" i="34"/>
  <c r="B3227" i="106"/>
  <c r="D3227" i="106" s="1"/>
  <c r="B1288" i="106"/>
  <c r="D1288" i="106" s="1"/>
  <c r="F9" i="34"/>
  <c r="B2634" i="106"/>
  <c r="D2634" i="106" s="1"/>
  <c r="E17" i="4"/>
  <c r="B5870" i="106"/>
  <c r="D5870" i="106" s="1"/>
  <c r="K296" i="29"/>
  <c r="B1518" i="106" s="1"/>
  <c r="D1518" i="106" s="1"/>
  <c r="K152" i="29"/>
  <c r="B1289" i="106" s="1"/>
  <c r="D1289" i="106" s="1"/>
  <c r="B5508" i="106"/>
  <c r="D5508" i="106" s="1"/>
  <c r="B4443" i="106"/>
  <c r="D4443" i="106" s="1"/>
  <c r="E8" i="4"/>
  <c r="H8" i="4"/>
  <c r="B2657" i="106"/>
  <c r="D2657" i="106" s="1"/>
  <c r="I17" i="11"/>
  <c r="B7624" i="106"/>
  <c r="K115" i="29"/>
  <c r="B1153" i="106" s="1"/>
  <c r="D1153" i="106" s="1"/>
  <c r="B5327" i="106"/>
  <c r="D5327" i="106" s="1"/>
  <c r="K368" i="29"/>
  <c r="B3681" i="106" s="1"/>
  <c r="D3681" i="106" s="1"/>
  <c r="B6023" i="106"/>
  <c r="D6023" i="106" s="1"/>
  <c r="G8" i="4"/>
  <c r="B2604" i="106"/>
  <c r="D2604" i="106" s="1"/>
  <c r="D8" i="4"/>
  <c r="B2566" i="106"/>
  <c r="D2566" i="106" s="1"/>
  <c r="K175" i="29"/>
  <c r="B1333" i="106" s="1"/>
  <c r="D1333" i="106" s="1"/>
  <c r="B5552" i="106"/>
  <c r="D5552" i="106" s="1"/>
  <c r="B3572" i="106"/>
  <c r="D3572" i="106" s="1"/>
  <c r="K17" i="4"/>
  <c r="F8" i="34"/>
  <c r="B1152" i="106"/>
  <c r="D1152" i="106" s="1"/>
  <c r="B2553" i="106"/>
  <c r="D2553" i="106" s="1"/>
  <c r="C8" i="4"/>
  <c r="D17" i="4"/>
  <c r="B2569" i="106"/>
  <c r="D2569" i="106" s="1"/>
  <c r="F10" i="34"/>
  <c r="B1332" i="106"/>
  <c r="D1332" i="106" s="1"/>
  <c r="B2608" i="106"/>
  <c r="D2608" i="106" s="1"/>
  <c r="G17" i="4"/>
  <c r="F8" i="4"/>
  <c r="B2593" i="106"/>
  <c r="D2593" i="106" s="1"/>
  <c r="B2661" i="106"/>
  <c r="D2661" i="106" s="1"/>
  <c r="H19" i="4"/>
  <c r="B4141" i="106" s="1"/>
  <c r="D4141" i="106" s="1"/>
  <c r="K8" i="4"/>
  <c r="B3718" i="106"/>
  <c r="D3718" i="106" s="1"/>
  <c r="F12" i="34"/>
  <c r="B1517" i="106"/>
  <c r="D1517" i="106" s="1"/>
  <c r="B5720" i="106"/>
  <c r="D5720" i="106" s="1"/>
  <c r="K211" i="29"/>
  <c r="B1389" i="106" s="1"/>
  <c r="D1389" i="106" s="1"/>
  <c r="B2557" i="106"/>
  <c r="D2557" i="106" s="1"/>
  <c r="C17" i="4"/>
  <c r="D10" i="171"/>
  <c r="D19" i="171" s="1"/>
  <c r="D32" i="171" s="1"/>
  <c r="D49" i="171" s="1"/>
  <c r="B2554" i="106"/>
  <c r="D2554" i="106" s="1"/>
  <c r="B6230" i="106"/>
  <c r="D6230" i="106" s="1"/>
  <c r="J78" i="4"/>
  <c r="I81" i="4"/>
  <c r="B3320" i="106"/>
  <c r="D3320" i="106" s="1"/>
  <c r="A7268" i="106"/>
  <c r="D7267" i="106"/>
  <c r="F14" i="34" l="1"/>
  <c r="F77" i="34" s="1"/>
  <c r="F79" i="34" s="1"/>
  <c r="G19" i="4"/>
  <c r="B4140" i="106" s="1"/>
  <c r="D4140" i="106" s="1"/>
  <c r="B2612" i="106"/>
  <c r="D2612" i="106" s="1"/>
  <c r="B2635" i="106"/>
  <c r="D2635" i="106" s="1"/>
  <c r="E19" i="4"/>
  <c r="B4138" i="106" s="1"/>
  <c r="D4138" i="106" s="1"/>
  <c r="D19" i="4"/>
  <c r="B4137" i="106" s="1"/>
  <c r="D4137" i="106" s="1"/>
  <c r="B2573" i="106"/>
  <c r="D2573" i="106" s="1"/>
  <c r="C9" i="146"/>
  <c r="B2606" i="106"/>
  <c r="D2606" i="106" s="1"/>
  <c r="G10" i="4"/>
  <c r="B4126" i="106" s="1"/>
  <c r="D4126" i="106" s="1"/>
  <c r="G20" i="4"/>
  <c r="H10" i="4"/>
  <c r="B4127" i="106" s="1"/>
  <c r="D4127" i="106" s="1"/>
  <c r="H20" i="4"/>
  <c r="B2658" i="106"/>
  <c r="D2658" i="106" s="1"/>
  <c r="K20" i="4"/>
  <c r="B3571" i="106"/>
  <c r="D3571" i="106" s="1"/>
  <c r="K10" i="4"/>
  <c r="B4130" i="106" s="1"/>
  <c r="D4130" i="106" s="1"/>
  <c r="D16" i="37"/>
  <c r="B2555" i="106"/>
  <c r="D2555" i="106" s="1"/>
  <c r="B8" i="146"/>
  <c r="C20" i="4"/>
  <c r="H18" i="118"/>
  <c r="H13" i="118"/>
  <c r="C10" i="4"/>
  <c r="B4122" i="106" s="1"/>
  <c r="D4122" i="106" s="1"/>
  <c r="B3575" i="106"/>
  <c r="D3575" i="106" s="1"/>
  <c r="K19" i="4"/>
  <c r="B4144" i="106" s="1"/>
  <c r="D4144" i="106" s="1"/>
  <c r="B2632" i="106"/>
  <c r="D2632" i="106" s="1"/>
  <c r="E10" i="4"/>
  <c r="B4124" i="106" s="1"/>
  <c r="D4124" i="106" s="1"/>
  <c r="E20" i="4"/>
  <c r="B9" i="146"/>
  <c r="F9" i="146" s="1"/>
  <c r="H17" i="118"/>
  <c r="B2561" i="106"/>
  <c r="D2561" i="106" s="1"/>
  <c r="F16" i="37"/>
  <c r="C19" i="4"/>
  <c r="B4136" i="106" s="1"/>
  <c r="D4136" i="106" s="1"/>
  <c r="F20" i="4"/>
  <c r="F10" i="4"/>
  <c r="B4125" i="106" s="1"/>
  <c r="D4125" i="106" s="1"/>
  <c r="D8" i="146"/>
  <c r="D10" i="146" s="1"/>
  <c r="B2595" i="106"/>
  <c r="D2595" i="106" s="1"/>
  <c r="B2568" i="106"/>
  <c r="D2568" i="106" s="1"/>
  <c r="D10" i="4"/>
  <c r="B4123" i="106" s="1"/>
  <c r="D4123" i="106" s="1"/>
  <c r="C8" i="146"/>
  <c r="C10" i="146" s="1"/>
  <c r="D20" i="4"/>
  <c r="B7625" i="106"/>
  <c r="I18" i="11"/>
  <c r="J81" i="4"/>
  <c r="B6263" i="106"/>
  <c r="D6263" i="106" s="1"/>
  <c r="B3323" i="106"/>
  <c r="D3323" i="106" s="1"/>
  <c r="I82" i="4"/>
  <c r="E11" i="146"/>
  <c r="A7269" i="106"/>
  <c r="D7268" i="106"/>
  <c r="F175" i="34" l="1"/>
  <c r="F78" i="4"/>
  <c r="B2601" i="106"/>
  <c r="D2601" i="106" s="1"/>
  <c r="K17" i="118"/>
  <c r="H25" i="118"/>
  <c r="K24" i="118" s="1"/>
  <c r="O23" i="118" s="1"/>
  <c r="O25" i="118" s="1"/>
  <c r="K78" i="4"/>
  <c r="B3576" i="106"/>
  <c r="D3576" i="106" s="1"/>
  <c r="B2613" i="106"/>
  <c r="D2613" i="106" s="1"/>
  <c r="G78" i="4"/>
  <c r="B2574" i="106"/>
  <c r="D2574" i="106" s="1"/>
  <c r="D78" i="4"/>
  <c r="H16" i="37"/>
  <c r="B2636" i="106"/>
  <c r="D2636" i="106" s="1"/>
  <c r="E78" i="4"/>
  <c r="C78" i="4"/>
  <c r="B2562" i="106"/>
  <c r="D2562" i="106" s="1"/>
  <c r="H78" i="4"/>
  <c r="B2662" i="106"/>
  <c r="D2662" i="106" s="1"/>
  <c r="F176" i="34"/>
  <c r="B7631" i="106"/>
  <c r="B10" i="146"/>
  <c r="F8" i="146"/>
  <c r="F10" i="146" s="1"/>
  <c r="J82" i="4"/>
  <c r="B6266" i="106"/>
  <c r="D6266" i="106" s="1"/>
  <c r="I41" i="3"/>
  <c r="B2912" i="106"/>
  <c r="D2912" i="106" s="1"/>
  <c r="D63" i="36"/>
  <c r="B6273" i="106"/>
  <c r="D6273" i="106" s="1"/>
  <c r="I83" i="4"/>
  <c r="B6282" i="106" s="1"/>
  <c r="D6282" i="106" s="1"/>
  <c r="A7270" i="106"/>
  <c r="D7269" i="106"/>
  <c r="F177" i="34" l="1"/>
  <c r="F179" i="34" s="1"/>
  <c r="O16" i="118"/>
  <c r="K20" i="118"/>
  <c r="J20" i="118"/>
  <c r="H81" i="4"/>
  <c r="B3300" i="106"/>
  <c r="D3300" i="106" s="1"/>
  <c r="B3262" i="106"/>
  <c r="D3262" i="106" s="1"/>
  <c r="G81" i="4"/>
  <c r="C81" i="4"/>
  <c r="B3233" i="106"/>
  <c r="D3233" i="106" s="1"/>
  <c r="D81" i="4"/>
  <c r="B3239" i="106"/>
  <c r="D3239" i="106" s="1"/>
  <c r="B3278" i="106"/>
  <c r="D3278" i="106" s="1"/>
  <c r="E81" i="4"/>
  <c r="B3588" i="106"/>
  <c r="D3588" i="106" s="1"/>
  <c r="K81" i="4"/>
  <c r="F81" i="4"/>
  <c r="B3256" i="106"/>
  <c r="D3256" i="106" s="1"/>
  <c r="B6274" i="106"/>
  <c r="D6274" i="106" s="1"/>
  <c r="J83" i="4"/>
  <c r="B6283" i="106" s="1"/>
  <c r="D6283" i="106" s="1"/>
  <c r="J41" i="3"/>
  <c r="D64" i="36"/>
  <c r="B6215" i="106"/>
  <c r="D6215" i="106" s="1"/>
  <c r="B2913" i="106"/>
  <c r="D2913" i="106" s="1"/>
  <c r="D50" i="36"/>
  <c r="A7271" i="106"/>
  <c r="D7270" i="106"/>
  <c r="B1672" i="106" l="1"/>
  <c r="D1672" i="106" s="1"/>
  <c r="D11" i="146"/>
  <c r="F82" i="4"/>
  <c r="H12" i="118"/>
  <c r="K12" i="118" s="1"/>
  <c r="O11" i="118" s="1"/>
  <c r="O13" i="118" s="1"/>
  <c r="B1630" i="106"/>
  <c r="D1630" i="106" s="1"/>
  <c r="B11" i="146"/>
  <c r="C82" i="4"/>
  <c r="J16" i="37"/>
  <c r="B4269" i="106" s="1"/>
  <c r="D4269" i="106" s="1"/>
  <c r="H82" i="4"/>
  <c r="B1700" i="106"/>
  <c r="D1700" i="106" s="1"/>
  <c r="B3591" i="106"/>
  <c r="D3591" i="106" s="1"/>
  <c r="K82" i="4"/>
  <c r="G82" i="4"/>
  <c r="B1686" i="106"/>
  <c r="D1686" i="106" s="1"/>
  <c r="D82" i="4"/>
  <c r="C11" i="146"/>
  <c r="B1644" i="106"/>
  <c r="D1644" i="106" s="1"/>
  <c r="B1658" i="106"/>
  <c r="D1658" i="106" s="1"/>
  <c r="E82" i="4"/>
  <c r="O17" i="118"/>
  <c r="O20" i="118" s="1"/>
  <c r="B6216" i="106"/>
  <c r="D6216" i="106" s="1"/>
  <c r="D51" i="36"/>
  <c r="A7272" i="106"/>
  <c r="D7271" i="106"/>
  <c r="B6271" i="106" l="1"/>
  <c r="D6271" i="106" s="1"/>
  <c r="G83" i="4"/>
  <c r="B6280" i="106" s="1"/>
  <c r="D6280" i="106" s="1"/>
  <c r="D59" i="36"/>
  <c r="E41" i="3"/>
  <c r="B140" i="106"/>
  <c r="D140" i="106" s="1"/>
  <c r="N21" i="3"/>
  <c r="D83" i="4"/>
  <c r="B6277" i="106" s="1"/>
  <c r="D6277" i="106" s="1"/>
  <c r="B6268" i="106"/>
  <c r="D6268" i="106" s="1"/>
  <c r="D65" i="36"/>
  <c r="B3567" i="106"/>
  <c r="D3567" i="106" s="1"/>
  <c r="K41" i="3"/>
  <c r="B212" i="106"/>
  <c r="D212" i="106" s="1"/>
  <c r="D62" i="36"/>
  <c r="H41" i="3"/>
  <c r="F11" i="146"/>
  <c r="D60" i="36"/>
  <c r="B170" i="106"/>
  <c r="D170" i="106" s="1"/>
  <c r="F41" i="3"/>
  <c r="G41" i="3"/>
  <c r="B189" i="106"/>
  <c r="D189" i="106" s="1"/>
  <c r="D61" i="36"/>
  <c r="K83" i="4"/>
  <c r="B6284" i="106" s="1"/>
  <c r="D6284" i="106" s="1"/>
  <c r="B6275" i="106"/>
  <c r="D6275" i="106" s="1"/>
  <c r="B6272" i="106"/>
  <c r="D6272" i="106" s="1"/>
  <c r="H83" i="4"/>
  <c r="B6281" i="106" s="1"/>
  <c r="D6281" i="106" s="1"/>
  <c r="D57" i="36"/>
  <c r="B92" i="106"/>
  <c r="D92" i="106" s="1"/>
  <c r="D76" i="36"/>
  <c r="C41" i="3"/>
  <c r="F83" i="4"/>
  <c r="B6279" i="106" s="1"/>
  <c r="D6279" i="106" s="1"/>
  <c r="B6270" i="106"/>
  <c r="D6270" i="106" s="1"/>
  <c r="E83" i="4"/>
  <c r="B6278" i="106" s="1"/>
  <c r="D6278" i="106" s="1"/>
  <c r="B6269" i="106"/>
  <c r="D6269" i="106" s="1"/>
  <c r="D58" i="36"/>
  <c r="D41" i="3"/>
  <c r="B123" i="106"/>
  <c r="D123" i="106" s="1"/>
  <c r="C83" i="4"/>
  <c r="B6276" i="106" s="1"/>
  <c r="D6276" i="106" s="1"/>
  <c r="B6267" i="106"/>
  <c r="D6267" i="106" s="1"/>
  <c r="O35" i="118"/>
  <c r="O37" i="118" s="1"/>
  <c r="A7273" i="106"/>
  <c r="D7272" i="106"/>
  <c r="B141" i="106" l="1"/>
  <c r="D141" i="106" s="1"/>
  <c r="D46" i="36"/>
  <c r="B124" i="106"/>
  <c r="D124" i="106" s="1"/>
  <c r="D45" i="36"/>
  <c r="B190" i="106"/>
  <c r="D190" i="106" s="1"/>
  <c r="D48" i="36"/>
  <c r="C12" i="146"/>
  <c r="D29" i="36"/>
  <c r="J24" i="24" s="1"/>
  <c r="B3568" i="106"/>
  <c r="D3568" i="106" s="1"/>
  <c r="D52" i="36"/>
  <c r="D47" i="36"/>
  <c r="B171" i="106"/>
  <c r="D171" i="106" s="1"/>
  <c r="D49" i="36"/>
  <c r="B213" i="106"/>
  <c r="D213" i="106" s="1"/>
  <c r="B282" i="106"/>
  <c r="D282" i="106" s="1"/>
  <c r="N23" i="3"/>
  <c r="D44" i="36"/>
  <c r="B93" i="106"/>
  <c r="D93" i="106" s="1"/>
  <c r="A7274" i="106"/>
  <c r="D7273" i="106"/>
  <c r="B284" i="106" l="1"/>
  <c r="D284" i="106" s="1"/>
  <c r="D55" i="36"/>
  <c r="A7275" i="106"/>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<sst xmlns="http://schemas.openxmlformats.org/spreadsheetml/2006/main" count="5351" uniqueCount="2212">
  <si>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</si>
  <si>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</si>
  <si>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</si>
  <si>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</si>
  <si>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</si>
  <si>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</si>
  <si>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</si>
  <si>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</si>
  <si>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</si>
  <si>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</si>
  <si>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</si>
  <si>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</si>
  <si>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</si>
  <si>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</si>
  <si>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</si>
  <si>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</si>
  <si>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</si>
  <si>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</si>
  <si>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</si>
  <si>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</si>
  <si>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</si>
  <si>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</si>
  <si>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</si>
  <si>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</si>
  <si>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</si>
  <si>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</si>
  <si>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</si>
  <si>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</si>
  <si>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</si>
  <si>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</si>
  <si>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</si>
  <si>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</si>
  <si>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</si>
  <si>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</si>
  <si>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</si>
  <si>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</si>
  <si>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</si>
  <si>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</si>
  <si>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</si>
  <si>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</si>
  <si>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</si>
  <si>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</si>
  <si>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</si>
  <si>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</si>
  <si>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</si>
  <si>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</si>
  <si>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</si>
  <si>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</si>
  <si>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</si>
  <si>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</si>
  <si>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</si>
  <si>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</si>
  <si>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</si>
  <si>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</si>
  <si>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</si>
  <si>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</si>
  <si>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</si>
  <si>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</si>
  <si>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</si>
  <si>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</si>
  <si>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</si>
  <si>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</si>
  <si>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</si>
  <si>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</si>
  <si>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</si>
  <si>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</si>
  <si>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</si>
  <si>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</si>
  <si>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</si>
  <si>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</si>
  <si>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</si>
  <si>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</si>
  <si>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</si>
  <si>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</si>
  <si>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</si>
  <si>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</si>
  <si>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</si>
  <si>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</si>
  <si>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</si>
  <si>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</si>
  <si>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</si>
  <si>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</si>
  <si>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</si>
  <si>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</si>
  <si>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</si>
  <si>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</si>
  <si>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</si>
  <si>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</si>
  <si>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</si>
  <si>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</si>
  <si>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</si>
  <si>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</si>
  <si>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</si>
  <si>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</si>
  <si>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</si>
  <si>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</si>
  <si>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</si>
  <si>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</si>
  <si>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</si>
  <si>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</si>
  <si>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</si>
  <si>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</si>
  <si>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</si>
  <si>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</si>
  <si>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</si>
  <si>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</si>
  <si>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</si>
  <si>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</si>
  <si>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</si>
  <si>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</si>
  <si>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</si>
  <si>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</si>
  <si>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</si>
  <si>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</si>
  <si>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</si>
  <si>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</si>
  <si>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</si>
  <si>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</si>
  <si>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</si>
  <si>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</si>
  <si>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</si>
  <si>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</si>
  <si>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</si>
  <si>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</si>
  <si>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</si>
  <si>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</si>
  <si>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</si>
  <si>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</si>
  <si>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</si>
  <si>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</si>
  <si>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</si>
  <si>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</si>
  <si>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</si>
  <si>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</si>
  <si>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</si>
  <si>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</si>
  <si>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</si>
  <si>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</si>
  <si>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</si>
  <si>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</si>
  <si>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</si>
  <si>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</si>
  <si>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</si>
  <si>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</si>
  <si>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</si>
  <si>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</si>
  <si>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</si>
  <si>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</si>
  <si>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</si>
  <si>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</si>
  <si>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</si>
  <si>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</si>
  <si>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</si>
  <si>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</si>
  <si>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</si>
  <si>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</si>
  <si>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</si>
  <si>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</si>
  <si>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</si>
  <si>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</si>
  <si>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</si>
  <si>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</si>
  <si>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</si>
  <si>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</si>
  <si>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</si>
  <si>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</si>
  <si>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</si>
  <si>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</si>
  <si>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</si>
  <si>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</si>
  <si>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</si>
  <si>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</si>
  <si>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</si>
  <si>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</si>
  <si>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</si>
  <si>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</si>
  <si>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</si>
  <si>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</si>
  <si>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</si>
  <si>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</si>
  <si>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</si>
  <si>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</si>
  <si>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</si>
  <si>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</si>
  <si>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</si>
  <si>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</si>
  <si>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</si>
  <si>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</si>
  <si>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</si>
  <si>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</si>
  <si>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</si>
  <si>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</si>
  <si>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</si>
  <si>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</si>
  <si>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</si>
  <si>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</si>
  <si>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</si>
  <si>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</si>
  <si>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</si>
  <si>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</si>
  <si>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</si>
  <si>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</si>
  <si>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</si>
  <si>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</si>
  <si>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</si>
  <si>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</si>
  <si>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</si>
  <si>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</si>
  <si>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</si>
  <si>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</si>
  <si>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</si>
  <si>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</si>
  <si>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</si>
  <si>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</si>
  <si>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</si>
  <si>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</si>
  <si>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</si>
  <si>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</si>
  <si>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</si>
  <si>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</si>
  <si>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</si>
  <si>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</si>
  <si>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</si>
  <si>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</si>
  <si>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</si>
  <si>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</si>
  <si>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</si>
  <si>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</si>
  <si>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</si>
  <si>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</si>
  <si>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</si>
  <si>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</si>
  <si>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</si>
  <si>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</si>
  <si>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</si>
  <si>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</si>
  <si>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</si>
  <si>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</si>
  <si>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</si>
  <si>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</si>
  <si>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</si>
  <si>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</si>
  <si>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</si>
  <si>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</si>
  <si>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</si>
  <si>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</si>
  <si>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</si>
  <si>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</si>
  <si>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</si>
  <si>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</si>
  <si>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</si>
  <si>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</si>
  <si>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</si>
  <si>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</si>
  <si>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</si>
  <si>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</si>
  <si>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</si>
  <si>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</si>
  <si>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</si>
  <si>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</si>
  <si>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</si>
  <si>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</si>
  <si>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</si>
  <si>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</si>
  <si>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</si>
  <si>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</si>
  <si>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</si>
  <si>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</si>
  <si>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</si>
  <si>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</si>
  <si>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</si>
  <si>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</si>
  <si>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</si>
  <si>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</si>
  <si>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</si>
  <si>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</si>
  <si>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</si>
  <si>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</si>
  <si>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</si>
  <si>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</si>
  <si>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</si>
  <si>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</si>
  <si>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</si>
  <si>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</si>
  <si>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</si>
  <si>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</si>
  <si>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</si>
  <si>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</si>
  <si>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</si>
  <si>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</si>
  <si>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</si>
  <si>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</si>
  <si>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</si>
  <si>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</si>
  <si>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</si>
  <si>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</si>
  <si>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</si>
  <si>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</si>
  <si>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</si>
  <si>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</si>
  <si>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</si>
  <si>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</si>
  <si>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</si>
  <si>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</si>
  <si>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</si>
  <si>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</si>
  <si>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</si>
  <si>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</si>
  <si>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</si>
  <si>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</si>
  <si>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</si>
  <si>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</si>
  <si>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</si>
  <si>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</si>
  <si>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</si>
  <si>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</si>
  <si>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</si>
  <si>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</si>
  <si>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</si>
  <si>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</si>
  <si>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</si>
  <si>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</si>
  <si>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</si>
  <si>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</si>
  <si>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</si>
  <si>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</si>
  <si>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</si>
  <si>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</si>
  <si>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</si>
  <si>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</si>
  <si>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</si>
  <si>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</si>
  <si>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</si>
  <si>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</si>
  <si>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</si>
  <si>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</si>
  <si>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</si>
  <si>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</si>
  <si>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</si>
  <si>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</si>
  <si>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</si>
  <si>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</si>
  <si>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</si>
  <si>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</si>
  <si>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</si>
  <si>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</si>
  <si>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</si>
  <si>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</si>
  <si>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</si>
  <si>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</si>
  <si>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</si>
  <si>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</si>
  <si>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</si>
  <si>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</si>
  <si>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</si>
  <si>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</si>
  <si>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</si>
  <si>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</si>
  <si>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</si>
  <si>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</si>
  <si>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</si>
  <si>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</si>
  <si>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</si>
  <si>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</si>
  <si>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</si>
  <si>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</si>
  <si>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</si>
  <si>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</si>
  <si>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</si>
  <si>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</si>
  <si>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</si>
  <si>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</si>
  <si>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</si>
  <si>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</si>
  <si>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</si>
  <si>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</si>
  <si>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</si>
  <si>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</si>
  <si>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</si>
  <si>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</si>
  <si>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</si>
  <si>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</si>
  <si>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</si>
  <si>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</si>
  <si>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</si>
  <si>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</si>
  <si>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</si>
  <si>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</si>
  <si>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</si>
  <si>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</si>
  <si>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</si>
  <si>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</si>
  <si>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</si>
  <si>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</si>
  <si>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</si>
  <si>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</si>
  <si>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</si>
  <si>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</si>
  <si>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</si>
  <si>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</si>
  <si>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</si>
  <si>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</si>
  <si>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</si>
  <si>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</si>
  <si>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</si>
  <si>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</si>
  <si>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</si>
  <si>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</si>
  <si>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</si>
  <si>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</si>
  <si>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</si>
  <si>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</si>
  <si>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</si>
  <si>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</si>
  <si>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</si>
  <si>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</si>
  <si>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</si>
  <si>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</si>
  <si>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</si>
  <si>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</si>
  <si>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</si>
  <si>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</si>
  <si>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</si>
  <si>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</si>
  <si>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</si>
  <si>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</si>
  <si>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</si>
  <si>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</si>
  <si>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</si>
  <si>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</si>
  <si>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</si>
  <si>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</si>
  <si>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</si>
  <si>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</si>
  <si>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</si>
  <si>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</si>
  <si>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</si>
  <si>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</si>
  <si>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</si>
  <si>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</si>
  <si>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</si>
  <si>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</si>
  <si>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</si>
  <si>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</si>
  <si>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</si>
  <si>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</si>
  <si>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</si>
  <si>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</si>
  <si>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</si>
  <si>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</si>
  <si>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</si>
  <si>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</si>
  <si>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</si>
  <si>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</si>
  <si>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</si>
  <si>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</si>
  <si>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</si>
  <si>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</si>
  <si>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</si>
  <si>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</si>
  <si>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</si>
  <si>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</si>
  <si>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</si>
  <si>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</si>
  <si>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</si>
  <si>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</si>
  <si>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</si>
  <si>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</si>
  <si>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</si>
  <si>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</si>
  <si>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</si>
  <si>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</si>
  <si>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</si>
  <si>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</si>
  <si>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</si>
  <si>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</si>
  <si>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</si>
  <si>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</si>
  <si>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</si>
  <si>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</si>
  <si>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</si>
  <si>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</si>
  <si>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</si>
  <si>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</si>
  <si>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</si>
  <si>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</si>
  <si>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</si>
  <si>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</si>
  <si>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</si>
  <si>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</si>
  <si>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</si>
  <si>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</si>
  <si>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</si>
  <si>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</si>
  <si>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</si>
  <si>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</si>
  <si>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</si>
  <si>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</si>
  <si>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</si>
  <si>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</si>
  <si>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</si>
  <si>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</si>
  <si>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</si>
  <si>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</si>
  <si>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</si>
  <si>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</si>
  <si>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</si>
  <si>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</si>
  <si>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</si>
  <si>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</si>
  <si>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</si>
  <si>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</si>
  <si>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</si>
  <si>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</si>
  <si>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</si>
  <si>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</si>
  <si>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</si>
  <si>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</si>
  <si>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</si>
  <si>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</si>
  <si>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</si>
  <si>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</si>
  <si>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</si>
  <si>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</si>
  <si>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</si>
  <si>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</si>
  <si>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</si>
  <si>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</si>
  <si>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</si>
  <si>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</si>
  <si>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</si>
  <si>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</si>
  <si>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</si>
  <si>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</si>
  <si>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</si>
  <si>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</si>
  <si>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</si>
  <si>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</si>
  <si>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</si>
  <si>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</si>
  <si>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</si>
  <si>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</si>
  <si>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</si>
  <si>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</si>
  <si>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</si>
  <si>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</si>
  <si>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</si>
  <si>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</si>
  <si>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</si>
  <si>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</si>
  <si>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</si>
  <si>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</si>
  <si>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</si>
  <si>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</si>
  <si>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</si>
  <si>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</si>
  <si>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</si>
  <si>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</si>
  <si>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</si>
  <si>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</si>
  <si>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</si>
  <si>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</si>
  <si>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</si>
  <si>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</si>
  <si>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</si>
  <si>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</si>
  <si>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</si>
  <si>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</si>
  <si>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</si>
  <si>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</si>
  <si>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</si>
  <si>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</si>
  <si>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</si>
  <si>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</si>
  <si>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</si>
  <si>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</si>
  <si>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</si>
  <si>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</si>
  <si>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</si>
  <si>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</si>
  <si>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</si>
  <si>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</si>
  <si>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</si>
  <si>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</si>
  <si>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</si>
  <si>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</si>
  <si>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</si>
  <si>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</si>
  <si>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</si>
  <si>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</si>
  <si>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</si>
  <si>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</si>
  <si>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</si>
  <si>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</si>
  <si>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</si>
  <si>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</si>
  <si>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</si>
  <si>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</si>
  <si>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</si>
  <si>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</si>
  <si>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</si>
  <si>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</si>
  <si>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</si>
  <si>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</si>
  <si>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</si>
  <si>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</si>
  <si>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</si>
  <si>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</si>
  <si>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</si>
  <si>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</si>
  <si>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</si>
  <si>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</si>
  <si>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</si>
  <si>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</si>
  <si>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</si>
  <si>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</si>
  <si>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</si>
  <si>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</si>
  <si>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</si>
  <si>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</si>
  <si>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</si>
  <si>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</si>
  <si>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</si>
  <si>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</si>
  <si>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</si>
  <si>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</si>
  <si>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</si>
  <si>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</si>
  <si>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</si>
  <si>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</si>
  <si>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</si>
  <si>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</si>
  <si>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</si>
  <si>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</si>
  <si>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</si>
  <si>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</si>
  <si>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</si>
  <si>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</si>
  <si>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</si>
  <si>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</si>
  <si>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</si>
  <si>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</si>
  <si>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</si>
  <si>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</si>
  <si>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</si>
  <si>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</si>
  <si>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</si>
  <si>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</si>
  <si>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</si>
  <si>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</si>
  <si>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</si>
  <si>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</si>
  <si>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</si>
  <si>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</si>
  <si>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</si>
  <si>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</si>
  <si>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</si>
  <si>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</si>
  <si>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</si>
  <si>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</si>
  <si>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</si>
  <si>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</si>
  <si>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</si>
  <si>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</si>
  <si>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</si>
  <si>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</si>
  <si>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</si>
  <si>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</si>
  <si>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</si>
  <si>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</si>
  <si>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</si>
  <si>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</si>
  <si>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</si>
  <si>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</si>
  <si>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</si>
  <si>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</si>
  <si>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</si>
  <si>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</si>
  <si>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</si>
  <si>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</si>
  <si>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</si>
  <si>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</si>
  <si>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</si>
  <si>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</si>
  <si>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</si>
  <si>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</si>
  <si>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</si>
  <si>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</si>
  <si>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</si>
  <si>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</si>
  <si>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</si>
  <si>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</si>
  <si>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</si>
  <si>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</si>
  <si>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</si>
  <si>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</si>
  <si>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</si>
  <si>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</si>
  <si>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</si>
  <si>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</si>
  <si>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</si>
  <si>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</si>
  <si>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</si>
  <si>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</si>
  <si>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</si>
  <si>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</si>
  <si>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</si>
  <si>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</si>
  <si>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</si>
  <si>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</si>
  <si>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</si>
  <si>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</si>
  <si>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</si>
  <si>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</si>
  <si>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</si>
  <si>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</si>
  <si>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</si>
  <si>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</si>
  <si>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</si>
  <si>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</si>
  <si>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</si>
  <si>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</si>
  <si>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</si>
  <si>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</si>
  <si>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</si>
  <si>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</si>
  <si>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</si>
  <si>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</si>
  <si>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</si>
  <si>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</si>
  <si>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</si>
  <si>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</si>
  <si>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</si>
  <si>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</si>
  <si>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</si>
  <si>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</si>
  <si>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</si>
  <si>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</si>
  <si>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</si>
  <si>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</si>
  <si>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</si>
  <si>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</si>
  <si>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</si>
  <si>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</si>
  <si>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</si>
  <si>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</si>
  <si>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</si>
  <si>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</si>
  <si>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</si>
  <si>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</si>
  <si>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</si>
  <si>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</si>
  <si>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</si>
  <si>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</si>
  <si>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</si>
  <si>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</si>
  <si>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</si>
  <si>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</si>
  <si>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</si>
  <si>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</si>
  <si>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</si>
  <si>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</si>
  <si>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</si>
  <si>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</si>
  <si>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</si>
  <si>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</si>
  <si>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</si>
  <si>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</si>
  <si>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</si>
  <si>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</si>
  <si>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</si>
  <si>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</si>
  <si>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</si>
  <si>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</si>
  <si>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</si>
  <si>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</si>
  <si>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</si>
  <si>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</si>
  <si>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</si>
  <si>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</si>
  <si>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</si>
  <si>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</si>
  <si>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</si>
  <si>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</si>
  <si>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</si>
  <si>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</si>
  <si>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</si>
  <si>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</si>
  <si>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</si>
  <si>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</si>
  <si>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</si>
  <si>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</si>
  <si>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</si>
  <si>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</si>
  <si>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</si>
  <si>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</si>
  <si>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</si>
  <si>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</si>
  <si>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</si>
  <si>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</si>
  <si>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</si>
  <si>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</si>
  <si>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</si>
  <si>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</si>
  <si>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</si>
  <si>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</si>
  <si>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</si>
  <si>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</si>
  <si>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</si>
  <si>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</si>
  <si>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</si>
  <si>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</si>
  <si>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</si>
  <si>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</si>
  <si>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</si>
  <si>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</si>
  <si>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</si>
  <si>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</si>
  <si>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</si>
  <si>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</si>
  <si>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</si>
  <si>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</si>
  <si>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</si>
  <si>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</si>
  <si>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</si>
  <si>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</si>
  <si>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</si>
  <si>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</si>
  <si>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</si>
  <si>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</si>
  <si>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</si>
  <si>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</si>
  <si>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</si>
  <si>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</si>
  <si>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</si>
  <si>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</si>
  <si>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</si>
  <si>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</si>
  <si>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</si>
  <si>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</si>
  <si>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</si>
  <si>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</si>
  <si>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</si>
  <si>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</si>
  <si>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</si>
  <si>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</si>
  <si>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</si>
  <si>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</si>
  <si>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</si>
  <si>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</si>
  <si>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</si>
  <si>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</si>
  <si>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</si>
  <si>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</si>
  <si>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</si>
  <si>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</si>
  <si>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</si>
  <si>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</si>
  <si>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</si>
  <si>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</si>
  <si>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</si>
  <si>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</si>
  <si>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</si>
  <si>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</si>
  <si>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</si>
  <si>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</si>
  <si>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</si>
  <si>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</si>
  <si>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</si>
  <si>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</si>
  <si>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</si>
  <si>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</si>
  <si>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</si>
  <si>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</si>
  <si>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</si>
  <si>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</si>
  <si>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</si>
  <si>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</si>
  <si>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</si>
  <si>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</si>
  <si>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</si>
  <si>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</si>
  <si>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</si>
  <si>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</si>
  <si>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</si>
  <si>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</si>
  <si>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</si>
  <si>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</si>
  <si>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</si>
  <si>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</si>
  <si>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</si>
  <si>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</si>
  <si>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</si>
  <si>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</si>
  <si>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</si>
  <si>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</si>
  <si>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</si>
  <si>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</si>
  <si>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</si>
  <si>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</si>
  <si>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</si>
  <si>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</si>
  <si>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</si>
  <si>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</si>
  <si>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</si>
  <si>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</si>
  <si>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</si>
  <si>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</si>
  <si>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</si>
  <si>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</si>
  <si>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</si>
  <si>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</si>
  <si>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</si>
  <si>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</si>
  <si>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</si>
  <si>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</si>
  <si>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</si>
  <si>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</si>
  <si>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</si>
  <si>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</si>
  <si>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</si>
  <si>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</si>
  <si>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</si>
  <si>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</si>
  <si>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</si>
  <si>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</si>
  <si>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</si>
  <si>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</si>
  <si>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</si>
  <si>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</si>
  <si>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</si>
  <si>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</si>
  <si>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</si>
  <si>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</si>
  <si>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</si>
  <si>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</si>
  <si>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</si>
  <si>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</si>
  <si>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</si>
  <si>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</si>
  <si>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</si>
  <si>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</si>
  <si>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</si>
  <si>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</si>
  <si>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</si>
  <si>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</si>
  <si>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</si>
  <si>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</si>
  <si>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</si>
  <si>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</si>
  <si>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</si>
  <si>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</si>
  <si>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</si>
  <si>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</si>
  <si>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</si>
  <si>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</si>
  <si>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</si>
  <si>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</si>
  <si>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</si>
  <si>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</si>
  <si>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</si>
  <si>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</si>
  <si>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</si>
  <si>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</si>
  <si>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</si>
  <si>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</si>
  <si>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</si>
  <si>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</si>
  <si>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</si>
  <si>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</si>
  <si>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</si>
  <si>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</si>
  <si>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</si>
  <si>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</si>
  <si>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</si>
  <si>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</si>
  <si>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</si>
  <si>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</si>
  <si>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</si>
  <si>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</si>
  <si>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</si>
  <si>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</si>
  <si>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</si>
  <si>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</si>
  <si>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</si>
  <si>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</si>
  <si>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</si>
  <si>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</si>
  <si>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</si>
  <si>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</si>
  <si>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</si>
  <si>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</si>
  <si>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</si>
  <si>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</si>
  <si>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</si>
  <si>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</si>
  <si>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</si>
  <si>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</si>
  <si>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</si>
  <si>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</si>
  <si>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</si>
  <si>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</si>
  <si>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</si>
  <si>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</si>
  <si>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</si>
  <si>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</si>
  <si>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</si>
  <si>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</si>
  <si>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</si>
  <si>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</si>
  <si>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</si>
  <si>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</si>
  <si>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</si>
  <si>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</si>
  <si>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</si>
  <si>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</si>
  <si>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</si>
  <si>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</si>
  <si>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</si>
  <si>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</si>
  <si>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</si>
  <si>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</si>
  <si>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</si>
  <si>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</si>
  <si>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</si>
  <si>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</si>
  <si>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</si>
  <si>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</si>
  <si>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</si>
  <si>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</si>
  <si>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</si>
  <si>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</si>
  <si>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</si>
  <si>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</si>
  <si>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</si>
  <si>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</si>
  <si>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</si>
  <si>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</si>
  <si>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</si>
  <si>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</si>
  <si>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</si>
  <si>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</si>
  <si>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</si>
  <si>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</si>
  <si>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</si>
  <si>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</si>
  <si>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</si>
  <si>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</si>
  <si>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</si>
  <si>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</si>
  <si>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</si>
  <si>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</si>
  <si>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</si>
  <si>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</si>
  <si>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</si>
  <si>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</si>
  <si>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</si>
  <si>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</si>
  <si>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</si>
  <si>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</si>
  <si>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</si>
  <si>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</si>
  <si>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</si>
  <si>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</si>
  <si>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</si>
  <si>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</si>
  <si>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</si>
  <si>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</si>
  <si>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</si>
  <si>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</si>
  <si>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</si>
  <si>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</si>
  <si>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</si>
  <si>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</si>
  <si>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</si>
  <si>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</si>
  <si>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</si>
  <si>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</si>
  <si>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</si>
  <si>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</si>
  <si>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</si>
  <si>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</si>
  <si>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</si>
  <si>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</si>
  <si>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</si>
  <si>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</si>
  <si>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</si>
  <si>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</si>
  <si>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</si>
  <si>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</si>
  <si>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</si>
  <si>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</si>
  <si>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</si>
  <si>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</si>
  <si>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</si>
  <si>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</si>
  <si>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</si>
  <si>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</si>
  <si>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</si>
  <si>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</si>
  <si>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</si>
  <si>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</si>
  <si>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</si>
  <si>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</si>
  <si>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</si>
  <si>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</si>
  <si>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</si>
  <si>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</si>
  <si>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</si>
  <si>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</si>
  <si>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</si>
  <si>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</si>
  <si>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</si>
  <si>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</si>
  <si>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</si>
  <si>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</si>
  <si>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</si>
  <si>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</si>
  <si>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</si>
  <si>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</si>
  <si>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</si>
  <si>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</si>
  <si>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</si>
  <si>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</si>
  <si>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</si>
  <si>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</si>
  <si>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</si>
  <si>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</si>
  <si>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</si>
  <si>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</si>
  <si>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</si>
  <si>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</si>
  <si>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</si>
  <si>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</si>
  <si>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</si>
  <si>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</si>
  <si>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</si>
  <si>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</si>
  <si>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</si>
  <si>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</si>
  <si>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</si>
  <si>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</si>
  <si>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</si>
  <si>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</si>
  <si>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</si>
  <si>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</si>
  <si>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</si>
  <si>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</si>
  <si>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</si>
  <si>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</si>
  <si>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</si>
  <si>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</si>
  <si>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</si>
  <si>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</si>
  <si>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</si>
  <si>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</si>
  <si>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</si>
  <si>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</si>
  <si>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</si>
  <si>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</si>
  <si>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</si>
  <si>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</si>
  <si>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</si>
  <si>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</si>
  <si>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</si>
  <si>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</si>
  <si>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</si>
  <si>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</si>
  <si>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</si>
  <si>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</si>
  <si>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</si>
  <si>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</si>
  <si>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</si>
  <si>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</si>
  <si>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</si>
  <si>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</si>
  <si>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</si>
  <si>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</si>
  <si>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</si>
  <si>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</si>
  <si>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</si>
  <si>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</si>
  <si>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</si>
  <si>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</si>
  <si>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</si>
  <si>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</si>
  <si>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</si>
  <si>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</si>
  <si>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</si>
  <si>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</si>
  <si>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</si>
  <si>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</si>
  <si>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</si>
  <si>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</si>
  <si>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</si>
  <si>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</si>
  <si>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</si>
  <si>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</si>
  <si>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</si>
  <si>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</si>
  <si>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</si>
  <si>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</si>
  <si>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</si>
  <si>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</si>
  <si>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</si>
  <si>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</si>
  <si>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</si>
  <si>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</si>
  <si>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</si>
  <si>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</si>
  <si>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</si>
  <si>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</si>
  <si>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</si>
  <si>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</si>
  <si>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</si>
  <si>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</si>
  <si>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</si>
  <si>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</si>
  <si>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</si>
  <si>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</si>
  <si>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</si>
  <si>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</si>
  <si>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</si>
  <si>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</si>
  <si>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</si>
  <si>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</si>
  <si>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</si>
  <si>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</si>
  <si>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</si>
  <si>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</si>
  <si>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</si>
  <si>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</si>
  <si>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</si>
  <si>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</si>
  <si>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</si>
  <si>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</si>
  <si>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</si>
  <si>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</si>
  <si>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</si>
  <si>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</si>
  <si>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</si>
  <si>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</si>
  <si>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</si>
  <si>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</si>
  <si>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</si>
  <si>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</si>
  <si>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</si>
  <si>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</si>
  <si>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</si>
  <si>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</si>
  <si>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</si>
  <si>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</si>
  <si>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</si>
  <si>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</si>
  <si>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</si>
  <si>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</si>
  <si>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</si>
  <si>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</si>
  <si>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</si>
  <si>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</si>
  <si>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</si>
  <si>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</si>
  <si>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</si>
  <si>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</si>
  <si>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</si>
  <si>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</si>
  <si>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</si>
  <si>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</si>
  <si>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</si>
  <si>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</si>
  <si>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</si>
  <si>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</si>
  <si>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</si>
  <si>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</si>
  <si>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</si>
  <si>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</si>
  <si>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</si>
  <si>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</si>
  <si>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</si>
  <si>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</si>
  <si>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</si>
  <si>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</si>
  <si>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</si>
  <si>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</si>
  <si>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</si>
  <si>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</si>
  <si>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</si>
  <si>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</si>
  <si>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</si>
  <si>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</si>
  <si>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</si>
  <si>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</si>
  <si>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</si>
  <si>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</si>
  <si>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</si>
  <si>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</si>
  <si>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</si>
  <si>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</si>
  <si>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</si>
  <si>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</si>
  <si>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</si>
  <si>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</si>
  <si>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</si>
  <si>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</si>
  <si>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</si>
  <si>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</si>
  <si>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</si>
  <si>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</si>
  <si>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</si>
  <si>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</si>
  <si>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</si>
  <si>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</si>
  <si>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</si>
  <si>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</si>
  <si>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</si>
  <si>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</si>
  <si>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</si>
  <si>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</si>
  <si>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</si>
  <si>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</si>
  <si>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</si>
  <si>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</si>
  <si>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</si>
  <si>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</si>
  <si>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</si>
  <si>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</si>
  <si>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</si>
  <si>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</si>
  <si>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</si>
  <si>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</si>
  <si>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</si>
  <si>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</si>
  <si>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</si>
  <si>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</si>
  <si>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</si>
  <si>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</si>
  <si>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</si>
  <si>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</si>
  <si>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</si>
  <si>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</si>
  <si>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</si>
  <si>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</si>
  <si>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</si>
  <si>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</si>
  <si>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</si>
  <si>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</si>
  <si>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</si>
  <si>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</si>
  <si>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</si>
  <si>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</si>
  <si>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</si>
  <si>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</si>
  <si>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</si>
  <si>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</si>
  <si>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</si>
  <si>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</si>
  <si>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</si>
  <si>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</si>
  <si>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</si>
  <si>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</si>
  <si>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</si>
  <si>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</si>
  <si>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</si>
  <si>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</si>
  <si>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</si>
  <si>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</si>
  <si>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</si>
  <si>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</si>
  <si>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</si>
  <si>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</si>
  <si>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</si>
  <si>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</si>
  <si>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</si>
  <si>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</si>
  <si>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</si>
  <si>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</si>
  <si>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</si>
  <si>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</si>
  <si>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</si>
  <si>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</si>
  <si>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</si>
  <si>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</si>
  <si>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</si>
  <si>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</si>
  <si>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</si>
  <si>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</si>
  <si>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</si>
  <si>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</si>
  <si>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</si>
  <si>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</si>
  <si>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</si>
  <si>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</si>
  <si>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</si>
  <si>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</si>
  <si>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</si>
  <si>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</si>
  <si>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</si>
  <si>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</si>
  <si>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</si>
  <si>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</si>
  <si>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</si>
  <si>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</si>
  <si>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</si>
  <si>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</si>
  <si>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</si>
  <si>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</si>
  <si>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</si>
  <si>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</si>
  <si>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</si>
  <si>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</si>
  <si>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</si>
  <si>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</si>
  <si>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</si>
  <si>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</si>
  <si>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</si>
  <si>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</si>
  <si>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</si>
  <si>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</si>
  <si>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</si>
  <si>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</si>
  <si>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</si>
  <si>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</si>
  <si>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</si>
  <si>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</si>
  <si>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</si>
  <si>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</si>
  <si>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</si>
  <si>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</si>
  <si>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</si>
  <si>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</si>
  <si>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</si>
  <si>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</si>
  <si>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</si>
  <si>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</si>
  <si>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</si>
  <si>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</si>
  <si>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</si>
  <si>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</si>
  <si>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</si>
  <si>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</si>
  <si>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</si>
  <si>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</si>
  <si>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</si>
  <si>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</si>
  <si>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</si>
  <si>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</si>
  <si>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</si>
  <si>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</si>
  <si>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</si>
  <si>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</si>
  <si>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</si>
  <si>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</si>
  <si>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</si>
  <si>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</si>
  <si>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</si>
  <si>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</si>
  <si>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</si>
  <si>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</si>
  <si>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</si>
  <si>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</si>
  <si>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</si>
  <si>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</si>
  <si>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</si>
  <si>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</si>
  <si>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</si>
  <si>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</si>
  <si>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</si>
  <si>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</si>
  <si>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</si>
  <si>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</si>
  <si>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</si>
  <si>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</si>
  <si>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</si>
  <si>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</si>
  <si>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</si>
  <si>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</si>
  <si>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</si>
  <si>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</si>
  <si>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</si>
  <si>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</si>
  <si>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</si>
  <si>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</si>
  <si>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</si>
  <si>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</si>
  <si>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</si>
  <si>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</si>
  <si>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</si>
  <si>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</si>
  <si>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</si>
  <si>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</si>
  <si>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</si>
  <si>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</si>
  <si>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</si>
  <si>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</si>
  <si>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</si>
  <si>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</si>
  <si>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</si>
  <si>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</si>
  <si>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</si>
  <si>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</si>
  <si>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</si>
  <si>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</si>
  <si>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</si>
  <si>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</si>
  <si>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</si>
  <si>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</si>
  <si>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</si>
  <si>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</si>
  <si>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</si>
  <si>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</si>
  <si>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</si>
  <si>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</si>
  <si>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</si>
  <si>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</si>
  <si>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</si>
  <si>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</si>
  <si>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</si>
  <si>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</si>
  <si>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</si>
  <si>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</si>
  <si>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</si>
  <si>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</si>
  <si>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</si>
  <si>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</si>
  <si>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</si>
  <si>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</si>
  <si>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</si>
  <si>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</si>
  <si>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</si>
  <si>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</si>
  <si>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</si>
  <si>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</si>
  <si>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</si>
  <si>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</si>
  <si>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</si>
  <si>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</si>
  <si>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</si>
  <si>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</si>
  <si>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</si>
  <si>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</si>
  <si>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</si>
  <si>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</si>
  <si>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</si>
  <si>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</si>
  <si>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</si>
  <si>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</si>
  <si>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</si>
  <si>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</si>
  <si>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</si>
  <si>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</si>
  <si>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</si>
  <si>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</si>
  <si>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</si>
  <si>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</si>
  <si>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</si>
  <si>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</si>
  <si>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</si>
  <si>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</si>
  <si>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</si>
  <si>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</si>
  <si>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</si>
  <si>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</si>
  <si>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</si>
  <si>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</si>
  <si>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</si>
  <si>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</si>
  <si>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</si>
  <si>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</si>
  <si>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</si>
  <si>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</si>
  <si>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</si>
  <si>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</si>
  <si>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</si>
  <si>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</si>
  <si>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</si>
  <si>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</si>
  <si>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</si>
  <si>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</si>
  <si>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</si>
  <si>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</si>
  <si>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</si>
  <si>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</si>
  <si>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</si>
  <si>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</si>
  <si>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</si>
  <si>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</si>
  <si>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</si>
  <si>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</si>
  <si>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</si>
  <si>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</si>
  <si>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</si>
  <si>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</si>
  <si>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</si>
  <si>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</si>
  <si>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</si>
  <si>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</si>
  <si>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</si>
  <si>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</si>
  <si>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</si>
  <si>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</si>
  <si>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</si>
  <si>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</si>
  <si>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</si>
  <si>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</si>
  <si>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</si>
  <si>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</si>
  <si>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</si>
  <si>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</si>
  <si>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</si>
  <si>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</si>
  <si>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</si>
  <si>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</si>
  <si>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</si>
  <si>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</si>
  <si>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</si>
  <si>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</si>
  <si>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</si>
  <si>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</si>
  <si>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</si>
  <si>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</si>
  <si>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</si>
  <si>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</si>
  <si>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</si>
  <si>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</si>
  <si>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</si>
  <si>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</si>
  <si>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</si>
  <si>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</si>
  <si>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</si>
  <si>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</si>
  <si>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</si>
  <si>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</si>
  <si>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</si>
  <si>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</si>
  <si>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</si>
  <si>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</si>
  <si>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</si>
  <si>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</si>
  <si>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</si>
  <si>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</si>
  <si>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</si>
  <si>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</si>
  <si>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</si>
  <si>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</si>
  <si>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</si>
  <si>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</si>
  <si>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</si>
  <si>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</si>
  <si>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</si>
  <si>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</si>
  <si>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</si>
  <si>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</si>
  <si>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</si>
  <si>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</si>
  <si>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</si>
  <si>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</si>
  <si>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</si>
  <si>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</si>
  <si>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</si>
  <si>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</si>
  <si>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</si>
  <si>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</si>
  <si>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</si>
  <si>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</si>
  <si>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</si>
  <si>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</si>
  <si>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</si>
  <si>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</si>
  <si>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</si>
  <si>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</si>
  <si>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</si>
  <si>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</si>
  <si>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</si>
  <si>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</si>
  <si>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</si>
  <si>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</si>
  <si>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</si>
  <si>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</si>
  <si>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</si>
  <si>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</si>
  <si>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</si>
  <si>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</si>
  <si>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</si>
  <si>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</si>
  <si>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</si>
  <si>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</si>
  <si>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</si>
  <si>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</si>
  <si>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</si>
  <si>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</si>
  <si>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</si>
  <si>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</si>
  <si>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</si>
  <si>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</si>
  <si>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</si>
  <si>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</si>
  <si>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</si>
  <si>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</si>
  <si>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</si>
  <si>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</si>
  <si>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</si>
  <si>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</si>
  <si>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</si>
  <si>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</si>
  <si>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</si>
  <si>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</si>
  <si>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</si>
  <si>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</si>
  <si>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</si>
  <si>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</si>
  <si>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</si>
  <si>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</si>
  <si>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</si>
  <si>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</si>
  <si>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</si>
  <si>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</si>
  <si>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</si>
  <si>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</si>
  <si>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</si>
  <si>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</si>
  <si>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</si>
  <si>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</si>
  <si>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</si>
  <si>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</si>
  <si>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</si>
  <si>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</si>
  <si>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</si>
  <si>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</si>
  <si>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</si>
  <si>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</si>
  <si>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</si>
  <si>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</si>
  <si>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</si>
  <si>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</si>
  <si>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</si>
  <si>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</si>
  <si>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</si>
  <si>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</si>
  <si>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</si>
  <si>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</si>
  <si>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</si>
  <si>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</si>
  <si>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</si>
  <si>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</si>
  <si>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</si>
  <si>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</si>
  <si>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</si>
  <si>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</si>
  <si>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</si>
  <si>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</si>
  <si>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</si>
  <si>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</si>
  <si>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</si>
  <si>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</si>
  <si>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</si>
  <si>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</si>
  <si>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</si>
  <si>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</si>
  <si>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</si>
  <si>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</si>
  <si>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</si>
  <si>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</si>
  <si>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</si>
  <si>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</si>
  <si>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</si>
  <si>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</si>
  <si>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</si>
  <si>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</si>
  <si>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</si>
  <si>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</si>
  <si>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</si>
  <si>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</si>
  <si>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</si>
  <si>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</si>
  <si>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</si>
  <si>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</si>
  <si>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</si>
  <si>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</si>
  <si>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</si>
  <si>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</si>
  <si>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</si>
  <si>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</si>
  <si>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</si>
  <si>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</si>
  <si>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</si>
  <si>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</si>
  <si>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</si>
  <si>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</si>
  <si>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</si>
  <si>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</si>
  <si>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</si>
  <si>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</si>
  <si>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</si>
  <si>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</si>
  <si>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</si>
  <si>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</si>
  <si>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</si>
  <si>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</si>
  <si>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</si>
  <si>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</si>
  <si>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</si>
  <si>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</si>
  <si>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</si>
  <si>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</si>
  <si>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</si>
  <si>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</si>
  <si>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</si>
  <si>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</si>
  <si>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</si>
  <si>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</si>
  <si>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</si>
  <si>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</si>
  <si>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</si>
  <si>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</si>
  <si>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</si>
  <si>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</si>
  <si>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</si>
  <si>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</si>
  <si>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</si>
  <si>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</si>
  <si>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</si>
  <si>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</si>
  <si>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</si>
  <si>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</si>
  <si>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</si>
  <si>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</si>
  <si>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</si>
  <si>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</si>
  <si>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</si>
  <si>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</si>
  <si>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</si>
  <si>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</si>
  <si>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</si>
  <si>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</si>
  <si>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</si>
  <si>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</si>
  <si>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</si>
  <si>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</si>
  <si>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</si>
  <si>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</si>
  <si>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</si>
  <si>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</si>
  <si>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</si>
  <si>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</si>
  <si>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</si>
  <si>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</si>
  <si>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</si>
  <si>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</si>
  <si>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</si>
  <si>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</si>
  <si>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</si>
  <si>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</si>
  <si>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</si>
  <si>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</si>
  <si>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</si>
  <si>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</si>
  <si>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</si>
  <si>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</si>
  <si>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</si>
  <si>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</si>
  <si>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</si>
  <si>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</si>
  <si>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</si>
  <si>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</si>
  <si>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</si>
  <si>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</si>
  <si>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</si>
  <si>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</si>
  <si>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</si>
  <si>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</si>
  <si>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</si>
  <si>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</si>
  <si>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</si>
  <si>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</si>
  <si>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</si>
  <si>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</si>
  <si>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</si>
  <si>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</si>
  <si>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</si>
  <si>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</si>
  <si>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</si>
  <si>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</si>
  <si>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</si>
  <si>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</si>
  <si>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</si>
  <si>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</si>
  <si>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</si>
  <si>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</si>
  <si>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</si>
  <si>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</si>
  <si>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</si>
  <si>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</si>
  <si>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</si>
  <si>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</si>
  <si>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</si>
  <si>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</si>
  <si>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</si>
  <si>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</si>
  <si>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</si>
  <si>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</si>
  <si>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</si>
  <si>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</si>
  <si>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</si>
  <si>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</si>
  <si>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</si>
  <si>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</si>
  <si>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</si>
  <si>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</si>
  <si>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</si>
  <si>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</si>
  <si>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</si>
  <si>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</si>
  <si>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</si>
  <si>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</si>
  <si>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</si>
  <si>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</si>
  <si>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</si>
  <si>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</si>
  <si>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</si>
  <si>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</si>
  <si>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</si>
  <si>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</si>
  <si>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</si>
  <si>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</si>
  <si>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</si>
  <si>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</si>
  <si>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</si>
  <si>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</si>
  <si>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</si>
  <si>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</si>
  <si>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</si>
  <si>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</si>
  <si>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</si>
  <si>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</si>
  <si>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</si>
  <si>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</si>
  <si>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</si>
  <si>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</si>
  <si>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</si>
  <si>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</si>
  <si>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</si>
  <si>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</si>
  <si>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</si>
  <si>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</si>
  <si>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</si>
  <si>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</si>
  <si>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</si>
  <si>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</si>
  <si>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</si>
  <si>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</si>
  <si>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</si>
  <si>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</si>
  <si>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</si>
  <si>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</si>
  <si>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</si>
  <si>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</si>
  <si>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</si>
  <si>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</si>
  <si>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</si>
  <si>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</si>
  <si>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</si>
  <si>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</si>
  <si>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</si>
  <si>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</si>
  <si>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</si>
  <si>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</si>
  <si>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</si>
  <si>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</si>
  <si>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</si>
  <si>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</si>
  <si>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</si>
  <si>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</si>
  <si>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</si>
  <si>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</si>
  <si>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</si>
  <si>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</si>
  <si>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</si>
  <si>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</si>
  <si>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</si>
  <si>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</si>
  <si>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</si>
  <si>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</si>
  <si>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</si>
  <si>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</si>
  <si>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</si>
  <si>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</si>
  <si>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</si>
  <si>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</si>
  <si>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</si>
  <si>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</si>
  <si>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</si>
  <si>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</si>
  <si>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</si>
  <si>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</si>
  <si>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</si>
  <si>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</si>
  <si>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</si>
  <si>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</si>
  <si>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</si>
  <si>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</si>
  <si>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</si>
  <si>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</si>
  <si>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</si>
  <si>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</si>
  <si>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</si>
  <si>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</si>
  <si>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</si>
  <si>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</si>
  <si>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</si>
  <si>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</si>
  <si>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</si>
  <si>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</si>
  <si>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</si>
  <si>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</si>
  <si>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</si>
  <si>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</si>
  <si>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</si>
  <si>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</si>
  <si>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</si>
  <si>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</si>
  <si>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</si>
  <si>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</si>
  <si>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</si>
  <si>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</si>
  <si>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</si>
  <si>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</si>
  <si>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</si>
  <si>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</si>
  <si>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</si>
  <si>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</si>
  <si>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</si>
  <si>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</si>
  <si>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</si>
  <si>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</si>
  <si>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</si>
  <si>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</si>
  <si>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</si>
  <si>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</si>
  <si>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</si>
  <si>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</si>
  <si>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</si>
  <si>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</si>
  <si>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</si>
  <si>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</si>
  <si>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</si>
  <si>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</si>
  <si>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</si>
  <si>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</si>
  <si>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</si>
  <si>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</si>
  <si>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</si>
  <si>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</si>
  <si>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</si>
  <si>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</si>
  <si>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</si>
  <si>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</si>
  <si>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</si>
  <si>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</si>
  <si>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</si>
  <si>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</si>
  <si>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</si>
  <si>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</si>
  <si>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</si>
  <si>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</si>
  <si>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</si>
  <si>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</si>
  <si>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</si>
  <si>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</si>
  <si>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</si>
  <si>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U.S. Department of Agriculture Passed Through</t>
  </si>
  <si>
    <t xml:space="preserve"> Illinois State Board of Education</t>
  </si>
  <si>
    <t>U.S. Department of Education/Department of</t>
  </si>
  <si>
    <t xml:space="preserve">  Defense Passed Through Illinois State Board of     Education</t>
  </si>
  <si>
    <t>Subtotal CFDA "10"</t>
  </si>
  <si>
    <t>U.S. Department of Education Passed Through</t>
  </si>
  <si>
    <t>Subtotal CFDA "84"</t>
  </si>
  <si>
    <t>18-4300-00</t>
  </si>
  <si>
    <t>19-4300-00</t>
  </si>
  <si>
    <t>19-4299-00</t>
  </si>
  <si>
    <t>18-4210-00</t>
  </si>
  <si>
    <t>19-4210-00</t>
  </si>
  <si>
    <t>N/A</t>
  </si>
  <si>
    <t xml:space="preserve"> Passed Through Special Education District of Lake County</t>
  </si>
  <si>
    <t>U.S. Department of Education</t>
  </si>
  <si>
    <t xml:space="preserve"> Passed Through  Illinois State Board of Education</t>
  </si>
  <si>
    <t>Total Nutrition Cluster</t>
  </si>
  <si>
    <t xml:space="preserve">U.S. Department of Health and Human Services </t>
  </si>
  <si>
    <t xml:space="preserve">Passed Through Illinois Department of </t>
  </si>
  <si>
    <t xml:space="preserve"> Healthcare and Family Services </t>
  </si>
  <si>
    <t xml:space="preserve">  Medicaid Administrative Outreach</t>
  </si>
  <si>
    <t xml:space="preserve">   Medicaid Administrative Outreach</t>
  </si>
  <si>
    <t>19-4991-00</t>
  </si>
  <si>
    <t>18-4991-00</t>
  </si>
  <si>
    <t>Subtotal CFDA "93"</t>
  </si>
  <si>
    <t>Total Federal Assistance</t>
  </si>
  <si>
    <t>84.424A</t>
  </si>
  <si>
    <t>19-4400-00</t>
  </si>
  <si>
    <t>18-4909-00</t>
  </si>
  <si>
    <t>19-4909-00</t>
  </si>
  <si>
    <t>18-4932-00</t>
  </si>
  <si>
    <t>19-4932-00</t>
  </si>
  <si>
    <t>Subtotal Special Education Cluster</t>
  </si>
  <si>
    <t>Medicaid Admin Fees</t>
  </si>
  <si>
    <t xml:space="preserve">  Food Donation Program </t>
  </si>
  <si>
    <t xml:space="preserve">  Title I ‐ Low Income  (M)</t>
  </si>
  <si>
    <t xml:space="preserve">   Title II ‐ Teacher Quality</t>
  </si>
  <si>
    <t xml:space="preserve">    Special Education ‐ Grants to States  (M)</t>
  </si>
  <si>
    <t xml:space="preserve">    Special Education ‐ Preschool Grants  (M)</t>
  </si>
  <si>
    <t>(1) Program End Date is 9/30</t>
  </si>
  <si>
    <t>(2) Program End Date is 8/31</t>
  </si>
  <si>
    <t xml:space="preserve">  National School Lunch Program  (1)</t>
  </si>
  <si>
    <t xml:space="preserve">   National School Lunch Program  (1)</t>
  </si>
  <si>
    <t xml:space="preserve">    I.D.E.A. ‐ Room and Board  (M) (2)</t>
  </si>
  <si>
    <t xml:space="preserve">   Title III ‐ LIP/LEP  (2)</t>
  </si>
  <si>
    <t xml:space="preserve">  Title IVA ‐ Student Support &amp; Academic Enrich  (2)</t>
  </si>
  <si>
    <t xml:space="preserve">  Title II ‐ Teacher Quality </t>
  </si>
  <si>
    <t xml:space="preserve">  Food Donation Program</t>
  </si>
  <si>
    <t>18-4625-XC</t>
  </si>
  <si>
    <t>19-4620-00</t>
  </si>
  <si>
    <t>19-4600-00</t>
  </si>
  <si>
    <t>X</t>
  </si>
  <si>
    <t>LAKE</t>
  </si>
  <si>
    <t>131 MCKINLEY AVENUE</t>
  </si>
  <si>
    <t>LAKE VILLA</t>
  </si>
  <si>
    <t>Page 9, Line 11 - Other Tax Levies</t>
  </si>
  <si>
    <t>SEDOL IMRF Levy</t>
  </si>
  <si>
    <t>Page 10, Line 81 - Other District/School Activity Revenue</t>
  </si>
  <si>
    <t>Athletic Fees</t>
  </si>
  <si>
    <t>Page 12, Line 168 - Other Restricted Revenue from State Sources</t>
  </si>
  <si>
    <t>After School Bus Passes</t>
  </si>
  <si>
    <t>Page 15, Line 41 - Other Support Services - Pupils</t>
  </si>
  <si>
    <t>Page 18, Line 171 - Debt Services - Other</t>
  </si>
  <si>
    <t>Page 19, Line 237 - Other Support Services - Pupils</t>
  </si>
  <si>
    <t>Benefits for Other Support Services Staff</t>
  </si>
  <si>
    <t>Adaptive PE, Physical Therapy, Occupational Therapy, Outsourced Social Worker, Nursing, and Occupational Therapy</t>
  </si>
  <si>
    <t>Page 23, Line 18-Other Tax Receipts</t>
  </si>
  <si>
    <t>SEDOL IMRF Taxes Collected</t>
  </si>
  <si>
    <t>ALOP Payments, Reimbursements, Fees, Miscellaneous Revenue</t>
  </si>
  <si>
    <t>Reimbursements</t>
  </si>
  <si>
    <t>2000 GO School Bonds Series B</t>
  </si>
  <si>
    <t>2007 GO Refunding Series</t>
  </si>
  <si>
    <t>PBS Copier Lease</t>
  </si>
  <si>
    <t>2017 GO Limited School Bonds</t>
  </si>
  <si>
    <t>2018 Chromebook Lease</t>
  </si>
  <si>
    <t>2018 Chromebook Add-on</t>
  </si>
  <si>
    <t>Capital Lease</t>
  </si>
  <si>
    <t>2019 Chromebook Lease</t>
  </si>
  <si>
    <t>Page 24, Line 37 Column G</t>
  </si>
  <si>
    <t>Capital Lease Proceeds</t>
  </si>
  <si>
    <t>x</t>
  </si>
  <si>
    <t>anna.kasprzyk@district41.org</t>
  </si>
  <si>
    <t>CHERYDEN JUERGENSEN</t>
  </si>
  <si>
    <t>The accompanying Schedule of Expenditures of Federal Awards includes the federal grant activity of Lake Villa Community Consolidated School District No. 41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</si>
  <si>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</si>
  <si>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Of the federal expenditures presented in the schedule, Lake Villa Community Consolidated School District No. 41 provided federal awards to subrecipients as follows:</t>
  </si>
  <si>
    <r>
      <t xml:space="preserve">The following amounts were expended in the form of non-cash assistance by Lake Villa Community Consolidated School District No. 41 and </t>
    </r>
    <r>
      <rPr>
        <b/>
        <sz val="9"/>
        <rFont val="Calibri"/>
        <family val="2"/>
        <scheme val="minor"/>
      </rPr>
      <t>should be</t>
    </r>
    <r>
      <rPr>
        <sz val="9"/>
        <rFont val="Calibri"/>
        <family val="2"/>
        <scheme val="minor"/>
      </rPr>
      <t xml:space="preserve"> included in the Schedule of Expenditures of Federal Awards:</t>
    </r>
  </si>
  <si>
    <t>ADVERSE</t>
  </si>
  <si>
    <t>UNMODIFIED</t>
  </si>
  <si>
    <t>TITLE I - LOW INCOME</t>
  </si>
  <si>
    <t>84.027, 84.173</t>
  </si>
  <si>
    <t>SPECIAL EDUCATION CLUSTER</t>
  </si>
  <si>
    <t>2018-001</t>
  </si>
  <si>
    <t>CLIC</t>
  </si>
  <si>
    <t>ISDLAF</t>
  </si>
  <si>
    <t>Lake Regions School Benefit Cooperative</t>
  </si>
  <si>
    <t>IUPC</t>
  </si>
  <si>
    <t>Special Education District of Lake County</t>
  </si>
  <si>
    <t>Durham Co</t>
  </si>
  <si>
    <t>US Communities, Joint Purchasing Program</t>
  </si>
  <si>
    <t>O&amp;M-Operation and Maintenance-Purchased Service</t>
  </si>
  <si>
    <t>20-2540-300</t>
  </si>
  <si>
    <t>ALPHA BUILDING MAINTENANCE SERVICE INC</t>
  </si>
  <si>
    <t>ED-Food Service-Purchased Service</t>
  </si>
  <si>
    <t>10-2560-300</t>
  </si>
  <si>
    <t>ARBOR MANAGEMENT, INC</t>
  </si>
  <si>
    <t>ED-Psychological Services - Purchased Service</t>
  </si>
  <si>
    <t>CENTER FOR PSYCHOLOGICAL SERVICES</t>
  </si>
  <si>
    <t>ED- Other Support Services- Pupil Services-Purchased Serv</t>
  </si>
  <si>
    <t>CUMBERLAND THERAPY SERVICES LLC</t>
  </si>
  <si>
    <t>TR-Pupil Transportation Services-Purchased Service</t>
  </si>
  <si>
    <t>40-2550-300</t>
  </si>
  <si>
    <t>DURHAM SCHOOL SERVICES</t>
  </si>
  <si>
    <t>ED- Board of Ed Services - Purchased Service</t>
  </si>
  <si>
    <t>EO SULLIVAN CONSULTING</t>
  </si>
  <si>
    <t>GROW 'N MOW, INC</t>
  </si>
  <si>
    <t>ED-Data Processing Services- Purchased Service</t>
  </si>
  <si>
    <t>10-2660-300</t>
  </si>
  <si>
    <t>PROVEN BUSINESS SYSTEMS</t>
  </si>
  <si>
    <t>STR PARTNERS, LLC</t>
  </si>
  <si>
    <t>HODGES, LOIZZI, EISENHAMMER, RODICK &amp; KOHN</t>
  </si>
  <si>
    <t>TECHNOLOGY RESOURCE ADVISORS, INC</t>
  </si>
  <si>
    <t>TOP LINE TRANSPORTATION</t>
  </si>
  <si>
    <t>Page 10, Line 107-Other Local Revenues-Ed Fund</t>
  </si>
  <si>
    <t>Page 10, Line 107-Other Local Revenues-Transportation Fund</t>
  </si>
  <si>
    <t xml:space="preserve">TITLE I - LOW INCOME </t>
  </si>
  <si>
    <t>4300-00</t>
  </si>
  <si>
    <t>Grant reports were submitted late.</t>
  </si>
  <si>
    <t>U.S. DEPARTMENT OF EDUCATION</t>
  </si>
  <si>
    <t>Repeat finding in current year. Management</t>
  </si>
  <si>
    <t>Management is responsible for filing grant reports by the applicable due date.</t>
  </si>
  <si>
    <t>During the course of our audit, we determined grant reports were not filed by the required due dates.</t>
  </si>
  <si>
    <t>Reports were received by funding agencies after the required due dates.</t>
  </si>
  <si>
    <t>Management should develop a process to ensure all grant reports are filed by the required due dates.</t>
  </si>
  <si>
    <t>Management will reinforce procedures to ensure all grant reports are submitted by the required due date.</t>
  </si>
  <si>
    <t xml:space="preserve">Grant reports were not filed by the required </t>
  </si>
  <si>
    <t>due dates.</t>
  </si>
  <si>
    <t>implemented processes to ensure timely filing.</t>
  </si>
  <si>
    <t>They will work to reinforce those procedures.</t>
  </si>
  <si>
    <t>Due to processing delay, grant reports were not submitted to funding agencies by the due dates.</t>
  </si>
  <si>
    <t>10-2100-300</t>
  </si>
  <si>
    <t>10-2300-300</t>
  </si>
  <si>
    <t>Lake Villa CCSD 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</si>
</sst>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770">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4" fillId="0" borderId="0" applyAlignment="0"/>
    <xf numFmtId="181" fontId="163" fillId="0" borderId="0" applyFont="0" applyFill="0" applyBorder="0" applyAlignment="0" applyProtection="0"/>
    <xf numFmtId="182" fontId="163" fillId="0" borderId="0" applyFont="0" applyFill="0" applyBorder="0" applyAlignment="0" applyProtection="0"/>
    <xf numFmtId="43" fontId="14" fillId="0" borderId="0" applyAlignment="0"/>
    <xf numFmtId="0" fontId="6" fillId="0" borderId="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183" fontId="163" fillId="0" borderId="0" applyFont="0" applyFill="0" applyBorder="0" applyAlignment="0" applyProtection="0"/>
    <xf numFmtId="184" fontId="163" fillId="0" borderId="0" applyFont="0" applyFill="0" applyBorder="0" applyAlignment="0" applyProtection="0"/>
    <xf numFmtId="43" fontId="14" fillId="0" borderId="0" applyAlignment="0"/>
    <xf numFmtId="185" fontId="163" fillId="0" borderId="0" applyFont="0" applyFill="0" applyBorder="0" applyAlignment="0" applyProtection="0">
      <alignment horizontal="right"/>
    </xf>
    <xf numFmtId="186" fontId="163" fillId="0" borderId="0" applyFont="0" applyFill="0" applyBorder="0" applyAlignment="0" applyProtection="0"/>
    <xf numFmtId="187" fontId="163" fillId="0" borderId="0" applyFont="0" applyFill="0" applyBorder="0" applyAlignment="0" applyProtection="0">
      <alignment horizontal="right"/>
    </xf>
    <xf numFmtId="188" fontId="163" fillId="0" borderId="0" applyFont="0" applyFill="0" applyBorder="0" applyAlignment="0" applyProtection="0">
      <alignment horizontal="right"/>
    </xf>
    <xf numFmtId="189" fontId="163" fillId="0" borderId="0" applyFont="0" applyFill="0" applyBorder="0" applyAlignment="0" applyProtection="0">
      <alignment horizontal="right"/>
    </xf>
    <xf numFmtId="190" fontId="163" fillId="0" borderId="0" applyFont="0" applyFill="0" applyBorder="0" applyAlignment="0" applyProtection="0"/>
    <xf numFmtId="0" fontId="145" fillId="27" borderId="0" applyNumberFormat="0" applyBorder="0" applyAlignment="0" applyProtection="0"/>
    <xf numFmtId="0" fontId="145" fillId="27" borderId="0" applyNumberFormat="0" applyBorder="0" applyAlignment="0" applyProtection="0"/>
    <xf numFmtId="0" fontId="157" fillId="28"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45" fillId="30" borderId="0" applyNumberFormat="0" applyBorder="0" applyAlignment="0" applyProtection="0"/>
    <xf numFmtId="0" fontId="145" fillId="31" borderId="0" applyNumberFormat="0" applyBorder="0" applyAlignment="0" applyProtection="0"/>
    <xf numFmtId="0" fontId="157" fillId="32"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45" fillId="30" borderId="0" applyNumberFormat="0" applyBorder="0" applyAlignment="0" applyProtection="0"/>
    <xf numFmtId="0" fontId="145" fillId="34" borderId="0" applyNumberFormat="0" applyBorder="0" applyAlignment="0" applyProtection="0"/>
    <xf numFmtId="0" fontId="157" fillId="31"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45" fillId="27" borderId="0" applyNumberFormat="0" applyBorder="0" applyAlignment="0" applyProtection="0"/>
    <xf numFmtId="0" fontId="145" fillId="31" borderId="0" applyNumberFormat="0" applyBorder="0" applyAlignment="0" applyProtection="0"/>
    <xf numFmtId="0" fontId="157" fillId="31"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45" fillId="35" borderId="0" applyNumberFormat="0" applyBorder="0" applyAlignment="0" applyProtection="0"/>
    <xf numFmtId="0" fontId="145" fillId="27" borderId="0" applyNumberFormat="0" applyBorder="0" applyAlignment="0" applyProtection="0"/>
    <xf numFmtId="0" fontId="157" fillId="28"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45" fillId="30" borderId="0" applyNumberFormat="0" applyBorder="0" applyAlignment="0" applyProtection="0"/>
    <xf numFmtId="0" fontId="145" fillId="37" borderId="0" applyNumberFormat="0" applyBorder="0" applyAlignment="0" applyProtection="0"/>
    <xf numFmtId="0" fontId="157" fillId="37"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63" fillId="0" borderId="165" applyNumberFormat="0" applyFill="0" applyAlignment="0" applyProtection="0"/>
    <xf numFmtId="191" fontId="164" fillId="0" borderId="165" applyNumberFormat="0" applyFill="0" applyAlignment="0" applyProtection="0">
      <alignment horizontal="center"/>
    </xf>
    <xf numFmtId="191" fontId="164" fillId="0" borderId="78" applyFill="0" applyAlignment="0" applyProtection="0">
      <alignment horizontal="center"/>
    </xf>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54" fillId="32" borderId="166" applyNumberFormat="0" applyAlignment="0" applyProtection="0"/>
    <xf numFmtId="0" fontId="154" fillId="32" borderId="166" applyNumberFormat="0" applyAlignment="0" applyProtection="0"/>
    <xf numFmtId="0" fontId="154" fillId="32" borderId="166" applyNumberFormat="0" applyAlignment="0" applyProtection="0"/>
    <xf numFmtId="0" fontId="154" fillId="32" borderId="166" applyNumberFormat="0" applyAlignment="0" applyProtection="0"/>
    <xf numFmtId="0" fontId="154" fillId="32" borderId="166" applyNumberFormat="0" applyAlignment="0" applyProtection="0"/>
    <xf numFmtId="0" fontId="154" fillId="32" borderId="166" applyNumberFormat="0" applyAlignment="0" applyProtection="0"/>
    <xf numFmtId="0" fontId="165" fillId="0" borderId="0" applyProtection="0"/>
    <xf numFmtId="191" fontId="164" fillId="0" borderId="0" applyFill="0" applyBorder="0" applyProtection="0">
      <alignment horizont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5"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143" fillId="0" borderId="0" applyProtection="0"/>
    <xf numFmtId="192" fontId="163" fillId="0" borderId="0" applyFont="0" applyFill="0" applyBorder="0" applyAlignment="0" applyProtection="0"/>
    <xf numFmtId="191" fontId="164" fillId="0" borderId="167" applyNumberFormat="0" applyFill="0" applyAlignment="0" applyProtection="0"/>
    <xf numFmtId="0" fontId="163" fillId="0" borderId="167" applyNumberFormat="0" applyFill="0" applyAlignment="0" applyProtection="0"/>
    <xf numFmtId="0" fontId="156" fillId="41" borderId="0" applyNumberFormat="0" applyBorder="0" applyAlignment="0" applyProtection="0"/>
    <xf numFmtId="0" fontId="156" fillId="42" borderId="0" applyNumberFormat="0" applyBorder="0" applyAlignment="0" applyProtection="0"/>
    <xf numFmtId="0" fontId="156" fillId="43" borderId="0" applyNumberFormat="0" applyBorder="0" applyAlignment="0" applyProtection="0"/>
    <xf numFmtId="0" fontId="166" fillId="0" borderId="0" applyProtection="0"/>
    <xf numFmtId="0" fontId="15" fillId="0" borderId="0" applyProtection="0"/>
    <xf numFmtId="0" fontId="167" fillId="0" borderId="0" applyProtection="0"/>
    <xf numFmtId="0" fontId="168" fillId="0" borderId="0" applyProtection="0"/>
    <xf numFmtId="0" fontId="169" fillId="0" borderId="0" applyProtection="0"/>
    <xf numFmtId="0" fontId="170" fillId="0" borderId="0" applyProtection="0"/>
    <xf numFmtId="0" fontId="171" fillId="0" borderId="0" applyProtection="0"/>
    <xf numFmtId="2" fontId="143" fillId="0" borderId="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9" fillId="0" borderId="170" applyNumberFormat="0" applyFill="0" applyAlignment="0" applyProtection="0"/>
    <xf numFmtId="0" fontId="149" fillId="0" borderId="170" applyNumberFormat="0" applyFill="0" applyAlignment="0" applyProtection="0"/>
    <xf numFmtId="0" fontId="149" fillId="0" borderId="170" applyNumberFormat="0" applyFill="0" applyAlignment="0" applyProtection="0"/>
    <xf numFmtId="0" fontId="149" fillId="0" borderId="170" applyNumberFormat="0" applyFill="0" applyAlignment="0" applyProtection="0"/>
    <xf numFmtId="0" fontId="149" fillId="0" borderId="170" applyNumberFormat="0" applyFill="0" applyAlignment="0" applyProtection="0"/>
    <xf numFmtId="0" fontId="149" fillId="0" borderId="170"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72" fillId="0" borderId="0" applyProtection="0"/>
    <xf numFmtId="0" fontId="144" fillId="0" borderId="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93" fontId="163" fillId="0" borderId="0" applyFont="0" applyFill="0" applyBorder="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61" fillId="0" borderId="171" applyNumberFormat="0" applyFill="0" applyAlignment="0" applyProtection="0"/>
    <xf numFmtId="0" fontId="161" fillId="0" borderId="171" applyNumberFormat="0" applyFill="0" applyAlignment="0" applyProtection="0"/>
    <xf numFmtId="0" fontId="161" fillId="0" borderId="171" applyNumberFormat="0" applyFill="0" applyAlignment="0" applyProtection="0"/>
    <xf numFmtId="0" fontId="161" fillId="0" borderId="171" applyNumberFormat="0" applyFill="0" applyAlignment="0" applyProtection="0"/>
    <xf numFmtId="0" fontId="161" fillId="0" borderId="171" applyNumberFormat="0" applyFill="0" applyAlignment="0" applyProtection="0"/>
    <xf numFmtId="0" fontId="161" fillId="0" borderId="171" applyNumberFormat="0" applyFill="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64" fillId="0" borderId="0" applyNumberFormat="0" applyFill="0" applyAlignment="0" applyProtection="0"/>
    <xf numFmtId="0" fontId="14" fillId="0" borderId="0"/>
    <xf numFmtId="0" fontId="14" fillId="0" borderId="0"/>
    <xf numFmtId="0" fontId="14" fillId="0" borderId="0"/>
    <xf numFmtId="0" fontId="14" fillId="0" borderId="0"/>
    <xf numFmtId="0" fontId="6" fillId="0" borderId="0"/>
    <xf numFmtId="0" fontId="142" fillId="0" borderId="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194" fontId="164" fillId="0" borderId="0" applyFill="0" applyBorder="0" applyProtection="0">
      <alignment horizontal="right"/>
    </xf>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195" fontId="164" fillId="0" borderId="0" applyProtection="0"/>
    <xf numFmtId="0" fontId="146" fillId="0" borderId="0" applyNumberFormat="0" applyFill="0" applyBorder="0" applyAlignment="0" applyProtection="0"/>
    <xf numFmtId="0" fontId="164" fillId="0" borderId="78" applyNumberFormat="0" applyFill="0" applyAlignment="0" applyProtection="0"/>
    <xf numFmtId="8" fontId="173" fillId="0" borderId="0" applyNumberFormat="0" applyFill="0" applyBorder="0" applyAlignment="0" applyProtection="0"/>
    <xf numFmtId="0" fontId="162" fillId="0" borderId="0" applyNumberFormat="0" applyBorder="0" applyAlignment="0"/>
    <xf numFmtId="0" fontId="174" fillId="0" borderId="0" applyNumberFormat="0" applyBorder="0" applyAlignment="0"/>
    <xf numFmtId="0" fontId="163" fillId="0" borderId="173" applyNumberFormat="0" applyFont="0" applyFill="0" applyAlignment="0" applyProtection="0"/>
    <xf numFmtId="0" fontId="163" fillId="0" borderId="174" applyNumberFormat="0" applyFont="0" applyFill="0" applyAlignment="0" applyProtection="0"/>
    <xf numFmtId="0" fontId="163" fillId="0" borderId="141" applyNumberFormat="0" applyFon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2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2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2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3"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3"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3"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2"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2"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2"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29"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29"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29"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3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3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3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38"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38"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38"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59" fillId="39"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59" fillId="39"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59" fillId="39"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32"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32"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32"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34"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34"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34"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47" fillId="0" borderId="168"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47" fillId="0" borderId="168"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47" fillId="0" borderId="168"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48"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48"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48"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49" fillId="0" borderId="170"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49" fillId="0" borderId="170"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49" fillId="0" borderId="170"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6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6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6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44"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44"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44"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2" fillId="0" borderId="0"/>
    <xf numFmtId="0" fontId="14" fillId="0" borderId="0"/>
    <xf numFmtId="0" fontId="14" fillId="0" borderId="0"/>
    <xf numFmtId="0" fontId="14" fillId="0" borderId="0"/>
    <xf numFmtId="0" fontId="14" fillId="0" borderId="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6" fillId="0" borderId="0"/>
    <xf numFmtId="0" fontId="14" fillId="0" borderId="0"/>
    <xf numFmtId="43" fontId="6" fillId="0" borderId="0" applyFont="0" applyFill="0" applyBorder="0" applyAlignment="0" applyProtection="0"/>
    <xf numFmtId="5" fontId="14" fillId="0" borderId="0" applyFont="0" applyFill="0" applyBorder="0" applyAlignment="0" applyProtection="0"/>
    <xf numFmtId="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6" fillId="0" borderId="0"/>
    <xf numFmtId="0" fontId="6" fillId="0" borderId="0"/>
    <xf numFmtId="0" fontId="55" fillId="0" borderId="0"/>
    <xf numFmtId="0" fontId="6" fillId="0" borderId="0"/>
    <xf numFmtId="43" fontId="6" fillId="0" borderId="0" applyFont="0" applyFill="0" applyBorder="0" applyAlignment="0" applyProtection="0"/>
    <xf numFmtId="0" fontId="6" fillId="0" borderId="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63" fillId="0" borderId="141" applyNumberFormat="0" applyFont="0" applyFill="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58" fillId="0" borderId="0" applyNumberFormat="0" applyFill="0" applyBorder="0" applyAlignment="0" applyProtection="0">
      <alignment vertical="top"/>
      <protection locked="0"/>
    </xf>
    <xf numFmtId="0" fontId="6"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83" fillId="0" borderId="0" applyAlignment="0"/>
    <xf numFmtId="43" fontId="183" fillId="0" borderId="0" applyFont="0" applyFill="0" applyBorder="0" applyAlignment="0" applyProtection="0"/>
    <xf numFmtId="43" fontId="4" fillId="0" borderId="0" applyFont="0" applyFill="0" applyBorder="0" applyAlignment="0" applyProtection="0"/>
    <xf numFmtId="43" fontId="183" fillId="0" borderId="0" applyFont="0" applyFill="0" applyBorder="0" applyAlignment="0" applyProtection="0"/>
    <xf numFmtId="3" fontId="183" fillId="0" borderId="0" applyFont="0" applyFill="0" applyBorder="0" applyAlignment="0" applyProtection="0"/>
    <xf numFmtId="44" fontId="183" fillId="0" borderId="0" applyFont="0" applyFill="0" applyBorder="0" applyAlignment="0" applyProtection="0"/>
    <xf numFmtId="5" fontId="183" fillId="0" borderId="0" applyFont="0" applyFill="0" applyBorder="0" applyAlignment="0" applyProtection="0"/>
    <xf numFmtId="0" fontId="184" fillId="0" borderId="0" applyNumberFormat="0" applyFill="0" applyBorder="0" applyAlignment="0" applyProtection="0">
      <alignment vertical="top"/>
      <protection locked="0"/>
    </xf>
    <xf numFmtId="0" fontId="183" fillId="0" borderId="0"/>
    <xf numFmtId="0" fontId="183" fillId="0" borderId="0"/>
    <xf numFmtId="0" fontId="4" fillId="0" borderId="0"/>
    <xf numFmtId="43" fontId="183" fillId="0" borderId="0" applyAlignment="0"/>
    <xf numFmtId="43" fontId="183" fillId="0" borderId="0" applyAlignment="0"/>
    <xf numFmtId="43" fontId="4"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3"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4" fillId="0" borderId="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6" fillId="0" borderId="178" applyNumberFormat="0" applyFill="0" applyAlignment="0" applyProtection="0"/>
    <xf numFmtId="0" fontId="153" fillId="63" borderId="172" applyNumberFormat="0" applyAlignment="0" applyProtection="0"/>
    <xf numFmtId="0" fontId="156" fillId="0" borderId="178" applyNumberFormat="0" applyFill="0" applyAlignment="0" applyProtection="0"/>
    <xf numFmtId="43" fontId="4" fillId="0" borderId="0" applyFont="0" applyFill="0" applyBorder="0" applyAlignment="0" applyProtection="0"/>
    <xf numFmtId="0" fontId="4" fillId="0" borderId="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63" fillId="0" borderId="141" applyNumberFormat="0" applyFon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63" fillId="0" borderId="141" applyNumberFormat="0" applyFon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43" fontId="4" fillId="0" borderId="0" applyFont="0" applyFill="0" applyBorder="0" applyAlignment="0" applyProtection="0"/>
    <xf numFmtId="0" fontId="4" fillId="0" borderId="0"/>
    <xf numFmtId="0" fontId="4" fillId="0" borderId="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6" fillId="0" borderId="175"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4" fillId="0" borderId="0" applyAlignment="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14" fillId="0" borderId="0"/>
    <xf numFmtId="0" fontId="2" fillId="0" borderId="0"/>
    <xf numFmtId="43" fontId="14" fillId="0" borderId="0" applyAlignment="0"/>
    <xf numFmtId="43" fontId="14" fillId="0" borderId="0" applyAlignment="0"/>
    <xf numFmtId="43"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cellStyleXfs>
  <cellXfs count="2564">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6" fillId="0" borderId="0" xfId="12" applyFont="1" applyBorder="1" applyAlignment="1" applyProtection="1">
      <alignment horizontal="left" vertical="center"/>
    </xf>
    <xf numFmtId="0" fontId="18" fillId="0" borderId="0" xfId="12" quotePrefix="1" applyNumberFormat="1" applyFont="1" applyBorder="1" applyAlignment="1" applyProtection="1">
      <alignment horizontal="left" vertical="center"/>
    </xf>
    <xf numFmtId="0" fontId="15" fillId="0" borderId="12" xfId="12" applyFont="1" applyBorder="1" applyAlignment="1" applyProtection="1">
      <alignmen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5" fillId="0" borderId="17"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1" fontId="14" fillId="0" borderId="0" xfId="0" applyNumberFormat="1" applyFont="1" applyFill="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5" xfId="12" applyNumberFormat="1" applyFont="1" applyBorder="1" applyAlignment="1" applyProtection="1">
      <alignment horizontal="right" vertical="center"/>
    </xf>
    <xf numFmtId="0" fontId="15" fillId="0" borderId="125" xfId="12" applyFont="1" applyBorder="1" applyAlignment="1" applyProtection="1">
      <alignment vertical="center"/>
    </xf>
    <xf numFmtId="0" fontId="18" fillId="0" borderId="128" xfId="12" applyFont="1" applyBorder="1" applyAlignment="1" applyProtection="1">
      <alignment vertical="center"/>
    </xf>
    <xf numFmtId="0" fontId="18" fillId="0" borderId="126" xfId="12" applyFont="1" applyBorder="1" applyAlignment="1" applyProtection="1">
      <alignment vertical="center"/>
    </xf>
    <xf numFmtId="1" fontId="14" fillId="0" borderId="0" xfId="0" applyNumberFormat="1" applyFont="1" applyAlignment="1">
      <alignment horizontal="center" vertical="center"/>
    </xf>
    <xf numFmtId="0" fontId="15" fillId="0" borderId="135"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8"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100"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1" xfId="0" applyFont="1" applyFill="1" applyBorder="1" applyAlignment="1">
      <alignment horizontal="center" vertical="center"/>
    </xf>
    <xf numFmtId="0" fontId="80" fillId="9" borderId="102" xfId="0" applyFont="1" applyFill="1" applyBorder="1" applyAlignment="1">
      <alignment horizontal="center" vertical="center"/>
    </xf>
    <xf numFmtId="0" fontId="58" fillId="17" borderId="121" xfId="0" applyFont="1" applyFill="1" applyBorder="1" applyAlignment="1" applyProtection="1">
      <alignment horizontal="left" vertical="center"/>
    </xf>
    <xf numFmtId="164" fontId="58" fillId="17" borderId="121" xfId="0" applyNumberFormat="1" applyFont="1" applyFill="1" applyBorder="1" applyAlignment="1" applyProtection="1">
      <alignment horizontal="center" vertical="center"/>
    </xf>
    <xf numFmtId="164" fontId="68" fillId="17" borderId="121" xfId="0" applyNumberFormat="1" applyFont="1" applyFill="1" applyBorder="1" applyAlignment="1" applyProtection="1">
      <alignment vertical="center"/>
    </xf>
    <xf numFmtId="0" fontId="81" fillId="10" borderId="122" xfId="0" applyFont="1" applyFill="1" applyBorder="1" applyAlignment="1">
      <alignment horizontal="left" vertical="center"/>
    </xf>
    <xf numFmtId="38" fontId="53" fillId="10" borderId="103" xfId="0" applyNumberFormat="1" applyFont="1" applyFill="1" applyBorder="1" applyAlignment="1">
      <alignment horizontal="right"/>
    </xf>
    <xf numFmtId="38" fontId="53" fillId="10" borderId="110" xfId="0" applyNumberFormat="1" applyFont="1" applyFill="1" applyBorder="1" applyAlignment="1">
      <alignment horizontal="right"/>
    </xf>
    <xf numFmtId="0" fontId="82" fillId="11" borderId="103" xfId="0" applyFont="1" applyFill="1" applyBorder="1" applyAlignment="1">
      <alignment vertical="center"/>
    </xf>
    <xf numFmtId="164" fontId="58" fillId="13" borderId="117" xfId="0" applyNumberFormat="1" applyFont="1" applyFill="1" applyBorder="1" applyAlignment="1" applyProtection="1">
      <alignment horizontal="center" vertical="center"/>
    </xf>
    <xf numFmtId="164" fontId="68" fillId="13" borderId="110" xfId="0" applyNumberFormat="1" applyFont="1" applyFill="1" applyBorder="1" applyAlignment="1" applyProtection="1">
      <alignment vertical="center"/>
    </xf>
    <xf numFmtId="0" fontId="61" fillId="13" borderId="103" xfId="0" applyFont="1" applyFill="1" applyBorder="1" applyAlignment="1" applyProtection="1">
      <alignment vertical="center"/>
    </xf>
    <xf numFmtId="38" fontId="53" fillId="11" borderId="120" xfId="0" applyNumberFormat="1" applyFont="1" applyFill="1" applyBorder="1" applyAlignment="1" applyProtection="1">
      <alignment horizontal="right"/>
      <protection locked="0"/>
    </xf>
    <xf numFmtId="38" fontId="53" fillId="11" borderId="103" xfId="0" applyNumberFormat="1" applyFont="1" applyFill="1" applyBorder="1" applyAlignment="1" applyProtection="1">
      <alignment horizontal="right"/>
      <protection locked="0"/>
    </xf>
    <xf numFmtId="38" fontId="53" fillId="11" borderId="110" xfId="0" applyNumberFormat="1" applyFont="1" applyFill="1" applyBorder="1" applyAlignment="1" applyProtection="1">
      <alignment horizontal="right"/>
      <protection locked="0"/>
    </xf>
    <xf numFmtId="0" fontId="58" fillId="17" borderId="110" xfId="0" applyFont="1" applyFill="1" applyBorder="1" applyAlignment="1" applyProtection="1">
      <alignment horizontal="center" vertical="center"/>
    </xf>
    <xf numFmtId="164" fontId="58" fillId="17" borderId="110" xfId="0" applyNumberFormat="1" applyFont="1" applyFill="1" applyBorder="1" applyAlignment="1" applyProtection="1">
      <alignment horizontal="center" vertical="center"/>
    </xf>
    <xf numFmtId="164" fontId="68" fillId="17" borderId="110" xfId="0" applyNumberFormat="1" applyFont="1" applyFill="1" applyBorder="1" applyAlignment="1" applyProtection="1">
      <alignment vertical="center"/>
    </xf>
    <xf numFmtId="0" fontId="81" fillId="10" borderId="103"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66" fillId="13" borderId="117" xfId="0" applyFont="1" applyFill="1" applyBorder="1" applyAlignment="1" applyProtection="1">
      <alignment horizontal="left" vertical="center"/>
    </xf>
    <xf numFmtId="164" fontId="58" fillId="13" borderId="110"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82" fillId="11" borderId="103" xfId="0" applyFont="1" applyFill="1" applyBorder="1" applyAlignment="1">
      <alignment horizontal="left" vertical="center"/>
    </xf>
    <xf numFmtId="0" fontId="58" fillId="13" borderId="118" xfId="0" applyFont="1" applyFill="1" applyBorder="1" applyAlignment="1" applyProtection="1">
      <alignment horizontal="center" vertical="center"/>
    </xf>
    <xf numFmtId="164" fontId="58" fillId="13" borderId="119" xfId="0" applyNumberFormat="1" applyFont="1" applyFill="1" applyBorder="1" applyAlignment="1" applyProtection="1">
      <alignment horizontal="center" vertical="center"/>
    </xf>
    <xf numFmtId="164" fontId="68" fillId="13" borderId="119" xfId="0" applyNumberFormat="1" applyFont="1" applyFill="1" applyBorder="1" applyAlignment="1" applyProtection="1">
      <alignment vertical="center"/>
    </xf>
    <xf numFmtId="38" fontId="53" fillId="11" borderId="110" xfId="0" applyNumberFormat="1" applyFont="1" applyFill="1" applyBorder="1" applyAlignment="1">
      <alignment horizontal="right"/>
    </xf>
    <xf numFmtId="0" fontId="81" fillId="10" borderId="104" xfId="0" applyFont="1" applyFill="1" applyBorder="1" applyAlignment="1">
      <alignment horizontal="left" vertical="center"/>
    </xf>
    <xf numFmtId="38" fontId="53" fillId="10" borderId="104" xfId="0" applyNumberFormat="1" applyFont="1" applyFill="1" applyBorder="1" applyAlignment="1">
      <alignment horizontal="right"/>
    </xf>
    <xf numFmtId="38" fontId="53" fillId="10" borderId="0" xfId="0" applyNumberFormat="1" applyFont="1" applyFill="1" applyBorder="1" applyAlignment="1" applyProtection="1">
      <alignment horizontal="right"/>
      <protection locked="0"/>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38" fontId="61" fillId="0" borderId="2" xfId="0" applyNumberFormat="1" applyFont="1" applyBorder="1" applyAlignment="1" applyProtection="1">
      <alignment vertical="center"/>
      <protection locked="0"/>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0" fontId="61" fillId="0" borderId="0" xfId="5" applyNumberFormat="1"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5" fontId="66" fillId="0" borderId="0" xfId="0" applyNumberFormat="1" applyFont="1" applyFill="1" applyBorder="1" applyAlignment="1" applyProtection="1">
      <alignment horizontal="right"/>
    </xf>
    <xf numFmtId="173" fontId="66" fillId="0" borderId="0" xfId="0" applyNumberFormat="1" applyFont="1" applyBorder="1" applyProtection="1"/>
    <xf numFmtId="0" fontId="66" fillId="0" borderId="0" xfId="5" applyNumberFormat="1" applyFont="1" applyBorder="1" applyAlignment="1" applyProtection="1">
      <alignment horizontal="right"/>
    </xf>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2" fontId="66" fillId="0" borderId="0" xfId="0" applyNumberFormat="1"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5" quotePrefix="1" applyNumberFormat="1" applyFont="1" applyBorder="1" applyAlignment="1" applyProtection="1">
      <alignment horizontal="right"/>
    </xf>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40" fontId="66" fillId="0" borderId="0" xfId="0" applyNumberFormat="1" applyFont="1" applyFill="1" applyBorder="1" applyAlignment="1" applyProtection="1">
      <alignment horizontal="right"/>
    </xf>
    <xf numFmtId="1" fontId="66" fillId="0" borderId="0" xfId="0" applyNumberFormat="1" applyFont="1" applyBorder="1" applyProtection="1"/>
    <xf numFmtId="39" fontId="66" fillId="0" borderId="0" xfId="0" applyNumberFormat="1" applyFont="1" applyBorder="1" applyProtection="1"/>
    <xf numFmtId="1" fontId="61" fillId="0" borderId="0" xfId="5" applyNumberFormat="1" applyFont="1" applyBorder="1" applyAlignment="1" applyProtection="1">
      <alignment horizontal="right"/>
    </xf>
    <xf numFmtId="40" fontId="66" fillId="0" borderId="0" xfId="0" applyNumberFormat="1" applyFont="1" applyBorder="1" applyAlignment="1" applyProtection="1">
      <alignment horizontal="right" vertical="center"/>
    </xf>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2" fontId="66" fillId="0" borderId="0" xfId="0" applyNumberFormat="1" applyFont="1" applyBorder="1" applyAlignment="1" applyProtection="1">
      <alignment horizontal="right" vertical="center"/>
    </xf>
    <xf numFmtId="40" fontId="66" fillId="0" borderId="0" xfId="0" applyNumberFormat="1" applyFont="1" applyFill="1" applyBorder="1" applyAlignment="1" applyProtection="1">
      <alignment horizontal="right" vertical="center"/>
    </xf>
    <xf numFmtId="49" fontId="66" fillId="0" borderId="0" xfId="0" applyNumberFormat="1" applyFont="1" applyBorder="1" applyProtection="1"/>
    <xf numFmtId="0" fontId="66" fillId="0" borderId="0" xfId="0" applyFont="1" applyBorder="1" applyAlignment="1" applyProtection="1">
      <alignment horizontal="center"/>
    </xf>
    <xf numFmtId="172" fontId="66" fillId="0" borderId="0" xfId="0" applyNumberFormat="1" applyFont="1" applyBorder="1" applyAlignment="1" applyProtection="1">
      <alignment horizontal="right"/>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2" fontId="69" fillId="0" borderId="0" xfId="0" applyNumberFormat="1"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0" fontId="70" fillId="0" borderId="0" xfId="5" applyNumberFormat="1" applyFont="1" applyFill="1" applyBorder="1" applyAlignment="1" applyProtection="1">
      <alignment horizontal="right"/>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3" borderId="26" xfId="0" applyNumberFormat="1" applyFont="1" applyFill="1" applyBorder="1" applyAlignment="1" applyProtection="1">
      <alignment horizontal="right"/>
    </xf>
    <xf numFmtId="38" fontId="59" fillId="3" borderId="18" xfId="0" applyNumberFormat="1" applyFont="1" applyFill="1" applyBorder="1" applyAlignment="1" applyProtection="1">
      <alignment horizontal="right"/>
    </xf>
    <xf numFmtId="0" fontId="66" fillId="0" borderId="2" xfId="0" applyFont="1" applyBorder="1" applyAlignment="1" applyProtection="1">
      <alignment horizontal="center" vertical="center"/>
    </xf>
    <xf numFmtId="38" fontId="59" fillId="0" borderId="0" xfId="0" applyNumberFormat="1" applyFont="1" applyBorder="1" applyAlignment="1" applyProtection="1">
      <alignment horizontal="right"/>
      <protection locked="0"/>
    </xf>
    <xf numFmtId="0" fontId="66" fillId="0" borderId="14" xfId="0" applyFont="1" applyBorder="1" applyAlignment="1" applyProtection="1">
      <alignment horizontal="left" vertical="center" indent="1"/>
    </xf>
    <xf numFmtId="38" fontId="59" fillId="6" borderId="3" xfId="0" applyNumberFormat="1" applyFont="1" applyFill="1" applyBorder="1" applyAlignment="1" applyProtection="1">
      <alignment horizontal="right"/>
    </xf>
    <xf numFmtId="38" fontId="59" fillId="6" borderId="26" xfId="0" applyNumberFormat="1" applyFont="1" applyFill="1" applyBorder="1" applyAlignment="1" applyProtection="1">
      <alignment horizontal="right"/>
    </xf>
    <xf numFmtId="38" fontId="59" fillId="0" borderId="4"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6" borderId="4" xfId="0" applyNumberFormat="1" applyFont="1" applyFill="1" applyBorder="1" applyAlignment="1" applyProtection="1">
      <alignment horizontal="right"/>
    </xf>
    <xf numFmtId="38" fontId="59" fillId="0" borderId="4" xfId="0" applyNumberFormat="1" applyFont="1" applyBorder="1" applyAlignment="1" applyProtection="1">
      <alignment horizontal="right"/>
      <protection locked="0"/>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38" fontId="59" fillId="6" borderId="18" xfId="0" applyNumberFormat="1" applyFont="1" applyFill="1" applyBorder="1" applyAlignment="1" applyProtection="1">
      <alignment horizontal="right"/>
    </xf>
    <xf numFmtId="0" fontId="61" fillId="0" borderId="0" xfId="0" applyFont="1" applyFill="1" applyAlignment="1" applyProtection="1">
      <alignment vertical="center"/>
    </xf>
    <xf numFmtId="38" fontId="59" fillId="6" borderId="0" xfId="0" applyNumberFormat="1" applyFont="1" applyFill="1" applyBorder="1" applyAlignment="1" applyProtection="1">
      <alignment horizontal="right"/>
    </xf>
    <xf numFmtId="38" fontId="59" fillId="0" borderId="2" xfId="0" applyNumberFormat="1" applyFont="1" applyFill="1" applyBorder="1" applyAlignment="1" applyProtection="1">
      <alignment horizontal="right"/>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38" fontId="59" fillId="0" borderId="4" xfId="0" applyNumberFormat="1" applyFont="1" applyBorder="1" applyAlignment="1" applyProtection="1">
      <alignment horizontal="right"/>
    </xf>
    <xf numFmtId="0" fontId="66" fillId="0" borderId="2" xfId="0" applyFont="1" applyFill="1" applyBorder="1" applyAlignment="1" applyProtection="1">
      <alignment horizontal="left" vertical="center" indent="1"/>
    </xf>
    <xf numFmtId="38" fontId="61" fillId="6" borderId="26" xfId="0" applyNumberFormat="1" applyFont="1" applyFill="1" applyBorder="1" applyAlignment="1">
      <alignment horizontal="right"/>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38" fontId="59" fillId="6" borderId="3" xfId="0" applyNumberFormat="1" applyFont="1" applyFill="1" applyBorder="1" applyAlignment="1">
      <alignment horizontal="right"/>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8" fontId="59" fillId="3" borderId="21" xfId="0" applyNumberFormat="1" applyFont="1" applyFill="1" applyBorder="1" applyAlignment="1" applyProtection="1">
      <alignment horizontal="right"/>
    </xf>
    <xf numFmtId="38" fontId="59" fillId="3" borderId="0" xfId="0" applyNumberFormat="1" applyFont="1" applyFill="1" applyBorder="1" applyAlignment="1" applyProtection="1">
      <alignment horizontal="right"/>
    </xf>
    <xf numFmtId="38" fontId="59" fillId="3" borderId="3" xfId="0" applyNumberFormat="1" applyFont="1" applyFill="1" applyBorder="1" applyAlignment="1" applyProtection="1">
      <alignment horizontal="right"/>
    </xf>
    <xf numFmtId="38" fontId="59" fillId="3" borderId="13" xfId="0" applyNumberFormat="1" applyFont="1" applyFill="1" applyBorder="1" applyAlignment="1" applyProtection="1">
      <alignment horizontal="right"/>
    </xf>
    <xf numFmtId="38" fontId="59" fillId="3" borderId="2" xfId="0" applyNumberFormat="1" applyFont="1" applyFill="1" applyBorder="1" applyAlignment="1" applyProtection="1">
      <alignment horizontal="right"/>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38" fontId="59" fillId="0" borderId="19" xfId="0" applyNumberFormat="1" applyFont="1" applyBorder="1" applyAlignment="1" applyProtection="1">
      <alignment horizontal="right"/>
      <protection locked="0"/>
    </xf>
    <xf numFmtId="38" fontId="59" fillId="0" borderId="11" xfId="0" applyNumberFormat="1" applyFont="1" applyBorder="1" applyAlignment="1" applyProtection="1">
      <alignment horizontal="right"/>
      <protection locked="0"/>
    </xf>
    <xf numFmtId="0" fontId="58" fillId="0" borderId="0" xfId="0" applyFont="1" applyAlignment="1" applyProtection="1">
      <alignment vertical="center"/>
    </xf>
    <xf numFmtId="0" fontId="69" fillId="0" borderId="0" xfId="0" applyFont="1" applyAlignment="1" applyProtection="1">
      <alignment vertical="center"/>
    </xf>
    <xf numFmtId="38" fontId="59" fillId="3" borderId="11" xfId="0" applyNumberFormat="1" applyFont="1" applyFill="1" applyBorder="1" applyAlignment="1" applyProtection="1">
      <alignment horizontal="right"/>
    </xf>
    <xf numFmtId="38" fontId="59" fillId="3" borderId="4" xfId="0" applyNumberFormat="1" applyFont="1" applyFill="1" applyBorder="1" applyAlignment="1" applyProtection="1">
      <alignment horizontal="right"/>
    </xf>
    <xf numFmtId="38" fontId="59" fillId="3" borderId="19" xfId="0" applyNumberFormat="1" applyFont="1" applyFill="1" applyBorder="1" applyAlignment="1" applyProtection="1">
      <alignment horizontal="right"/>
    </xf>
    <xf numFmtId="38" fontId="59" fillId="3" borderId="14" xfId="0" applyNumberFormat="1" applyFont="1" applyFill="1" applyBorder="1" applyAlignment="1" applyProtection="1">
      <alignment horizontal="right"/>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38" fontId="59" fillId="6" borderId="2" xfId="0" applyNumberFormat="1" applyFont="1" applyFill="1" applyBorder="1" applyAlignment="1" applyProtection="1">
      <alignment horizontal="right"/>
    </xf>
    <xf numFmtId="0" fontId="66" fillId="0" borderId="2" xfId="0" applyFont="1" applyFill="1" applyBorder="1" applyAlignment="1" applyProtection="1">
      <alignment horizontal="center" vertical="top"/>
    </xf>
    <xf numFmtId="38" fontId="59" fillId="6" borderId="28" xfId="0" applyNumberFormat="1" applyFont="1" applyFill="1" applyBorder="1" applyAlignment="1" applyProtection="1">
      <alignment horizontal="right"/>
    </xf>
    <xf numFmtId="0" fontId="59" fillId="0" borderId="0" xfId="0" applyFont="1" applyFill="1" applyBorder="1" applyAlignment="1" applyProtection="1">
      <alignment vertical="center"/>
    </xf>
    <xf numFmtId="38" fontId="59" fillId="0" borderId="33" xfId="0" applyNumberFormat="1" applyFont="1" applyFill="1" applyBorder="1" applyAlignment="1" applyProtection="1">
      <alignment horizontal="right"/>
      <protection locked="0"/>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38" fontId="59" fillId="3" borderId="17" xfId="0" applyNumberFormat="1" applyFont="1" applyFill="1" applyBorder="1" applyAlignment="1" applyProtection="1">
      <alignment horizontal="right"/>
    </xf>
    <xf numFmtId="37" fontId="59" fillId="3" borderId="17" xfId="0" applyNumberFormat="1" applyFont="1" applyFill="1" applyBorder="1" applyAlignment="1" applyProtection="1">
      <alignment horizontal="right"/>
    </xf>
    <xf numFmtId="37" fontId="59" fillId="3" borderId="26" xfId="0" applyNumberFormat="1" applyFont="1" applyFill="1" applyBorder="1" applyAlignment="1" applyProtection="1">
      <alignment horizontal="right"/>
    </xf>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38" fontId="59" fillId="0" borderId="19" xfId="0" applyNumberFormat="1" applyFont="1" applyFill="1" applyBorder="1" applyAlignment="1" applyProtection="1">
      <alignment horizontal="right"/>
      <protection locked="0"/>
    </xf>
    <xf numFmtId="38" fontId="59" fillId="3" borderId="0" xfId="0" applyNumberFormat="1" applyFont="1" applyFill="1" applyAlignment="1" applyProtection="1">
      <alignment horizontal="right"/>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38" fontId="59" fillId="3" borderId="38" xfId="0" applyNumberFormat="1" applyFont="1" applyFill="1" applyBorder="1" applyAlignment="1" applyProtection="1">
      <alignment horizontal="right"/>
    </xf>
    <xf numFmtId="38" fontId="59" fillId="3" borderId="28" xfId="0" applyNumberFormat="1" applyFont="1" applyFill="1" applyBorder="1" applyAlignment="1" applyProtection="1">
      <alignment horizontal="right"/>
    </xf>
    <xf numFmtId="1" fontId="66" fillId="0" borderId="4" xfId="0" applyNumberFormat="1" applyFont="1" applyBorder="1" applyAlignment="1" applyProtection="1">
      <alignment horizontal="center" vertical="center"/>
    </xf>
    <xf numFmtId="1" fontId="66" fillId="0" borderId="127" xfId="0" applyNumberFormat="1" applyFont="1" applyBorder="1" applyAlignment="1" applyProtection="1">
      <alignment horizontal="center" vertical="center"/>
    </xf>
    <xf numFmtId="38" fontId="59" fillId="3" borderId="127" xfId="0" applyNumberFormat="1" applyFont="1" applyFill="1" applyBorder="1" applyAlignment="1" applyProtection="1">
      <alignment horizontal="right"/>
    </xf>
    <xf numFmtId="38" fontId="59" fillId="3" borderId="29" xfId="0" applyNumberFormat="1" applyFont="1" applyFill="1" applyBorder="1" applyAlignment="1" applyProtection="1">
      <alignment horizontal="right"/>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38" fontId="59" fillId="0" borderId="33"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vertical="center"/>
      <protection locked="0"/>
    </xf>
    <xf numFmtId="0" fontId="66" fillId="0" borderId="2" xfId="0" applyFont="1" applyBorder="1" applyAlignment="1" applyProtection="1">
      <alignment horizontal="center" vertical="top" wrapText="1"/>
    </xf>
    <xf numFmtId="38" fontId="59" fillId="3" borderId="39" xfId="0" applyNumberFormat="1" applyFont="1" applyFill="1" applyBorder="1" applyAlignment="1" applyProtection="1">
      <alignment horizontal="right"/>
    </xf>
    <xf numFmtId="38" fontId="59" fillId="0" borderId="2" xfId="0" applyNumberFormat="1" applyFont="1" applyFill="1" applyBorder="1" applyAlignment="1" applyProtection="1">
      <alignment horizontal="right" vertical="center"/>
      <protection locked="0"/>
    </xf>
    <xf numFmtId="38" fontId="59" fillId="6" borderId="2" xfId="0" applyNumberFormat="1" applyFont="1" applyFill="1" applyBorder="1" applyAlignment="1" applyProtection="1">
      <alignment horizontal="right" vertical="center"/>
    </xf>
    <xf numFmtId="0" fontId="66" fillId="0" borderId="26" xfId="0" applyFont="1" applyBorder="1" applyAlignment="1" applyProtection="1">
      <alignment horizontal="center" vertical="center"/>
    </xf>
    <xf numFmtId="0" fontId="66" fillId="0" borderId="130" xfId="0" applyFont="1" applyFill="1" applyBorder="1" applyAlignment="1" applyProtection="1">
      <alignment horizontal="center" vertical="center"/>
    </xf>
    <xf numFmtId="0" fontId="66" fillId="0" borderId="100"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38" fontId="59" fillId="3" borderId="31" xfId="0" applyNumberFormat="1" applyFont="1" applyFill="1" applyBorder="1" applyAlignment="1" applyProtection="1">
      <alignment horizontal="right" vertical="center"/>
    </xf>
    <xf numFmtId="38" fontId="59" fillId="3" borderId="28" xfId="0" applyNumberFormat="1" applyFont="1" applyFill="1" applyBorder="1" applyAlignment="1" applyProtection="1">
      <alignment horizontal="right" vertical="center"/>
    </xf>
    <xf numFmtId="38" fontId="59" fillId="3" borderId="0" xfId="0" applyNumberFormat="1" applyFont="1" applyFill="1" applyAlignment="1" applyProtection="1">
      <alignment horizontal="right" vertical="center"/>
    </xf>
    <xf numFmtId="38" fontId="59" fillId="3" borderId="26" xfId="0" applyNumberFormat="1" applyFont="1" applyFill="1" applyBorder="1" applyAlignment="1" applyProtection="1">
      <alignment horizontal="right" vertical="center"/>
    </xf>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3" fontId="59" fillId="3" borderId="127" xfId="0" applyNumberFormat="1" applyFont="1" applyFill="1" applyBorder="1" applyAlignment="1">
      <alignment horizontal="center"/>
    </xf>
    <xf numFmtId="3" fontId="59" fillId="3" borderId="26" xfId="0" applyNumberFormat="1" applyFont="1" applyFill="1" applyBorder="1" applyAlignment="1">
      <alignment horizontal="center"/>
    </xf>
    <xf numFmtId="3" fontId="59" fillId="3" borderId="127" xfId="0" applyNumberFormat="1" applyFont="1" applyFill="1" applyBorder="1" applyAlignment="1">
      <alignment horizontal="right"/>
    </xf>
    <xf numFmtId="0" fontId="66" fillId="0" borderId="0" xfId="0" applyFont="1" applyBorder="1" applyAlignment="1"/>
    <xf numFmtId="49" fontId="66" fillId="0" borderId="2" xfId="0" applyNumberFormat="1" applyFont="1" applyBorder="1" applyAlignment="1">
      <alignment horizontal="center" vertical="center"/>
    </xf>
    <xf numFmtId="38" fontId="59" fillId="2" borderId="2" xfId="0" applyNumberFormat="1" applyFont="1" applyFill="1" applyBorder="1" applyAlignment="1">
      <alignment horizontal="right"/>
    </xf>
    <xf numFmtId="38" fontId="59" fillId="3" borderId="26" xfId="0" applyNumberFormat="1" applyFont="1" applyFill="1" applyBorder="1" applyAlignment="1">
      <alignment horizontal="right"/>
    </xf>
    <xf numFmtId="49" fontId="68" fillId="2" borderId="27" xfId="0" applyNumberFormat="1" applyFont="1" applyFill="1" applyBorder="1" applyAlignment="1">
      <alignment horizontal="center" vertical="center"/>
    </xf>
    <xf numFmtId="38" fontId="59" fillId="3" borderId="28" xfId="0" applyNumberFormat="1" applyFont="1" applyFill="1" applyBorder="1" applyAlignment="1">
      <alignment horizontal="right"/>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38" fontId="59" fillId="3" borderId="4" xfId="0" applyNumberFormat="1" applyFont="1" applyFill="1" applyBorder="1" applyAlignment="1">
      <alignment horizontal="right"/>
    </xf>
    <xf numFmtId="164" fontId="68" fillId="3" borderId="125"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38" fontId="59" fillId="3" borderId="29" xfId="0" applyNumberFormat="1" applyFont="1" applyFill="1" applyBorder="1" applyAlignment="1">
      <alignment horizontal="right"/>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38" fontId="59" fillId="3" borderId="31" xfId="0" applyNumberFormat="1" applyFont="1" applyFill="1" applyBorder="1" applyAlignment="1">
      <alignment horizontal="right"/>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38" fontId="59" fillId="5" borderId="4" xfId="0" applyNumberFormat="1" applyFont="1" applyFill="1" applyBorder="1" applyAlignment="1" applyProtection="1">
      <alignment horizontal="right"/>
      <protection locked="0"/>
    </xf>
    <xf numFmtId="0" fontId="66" fillId="0" borderId="29" xfId="0" applyFont="1" applyFill="1" applyBorder="1" applyAlignment="1">
      <alignment horizontal="center" vertical="center"/>
    </xf>
    <xf numFmtId="38" fontId="59" fillId="6" borderId="28" xfId="0" applyNumberFormat="1" applyFont="1" applyFill="1" applyBorder="1" applyAlignment="1">
      <alignment horizontal="right"/>
    </xf>
    <xf numFmtId="0" fontId="66" fillId="0" borderId="4" xfId="0" applyFont="1" applyFill="1" applyBorder="1" applyAlignment="1">
      <alignment horizontal="center" vertical="center"/>
    </xf>
    <xf numFmtId="38" fontId="59" fillId="6" borderId="26" xfId="0" applyNumberFormat="1" applyFont="1" applyFill="1" applyBorder="1" applyAlignment="1">
      <alignment horizontal="right"/>
    </xf>
    <xf numFmtId="0" fontId="66" fillId="0" borderId="2" xfId="0" applyFont="1" applyFill="1" applyBorder="1" applyAlignment="1">
      <alignment horizontal="center" vertical="center"/>
    </xf>
    <xf numFmtId="0" fontId="66" fillId="0" borderId="127" xfId="0" applyFont="1" applyFill="1" applyBorder="1" applyAlignment="1">
      <alignment horizontal="center" vertical="center"/>
    </xf>
    <xf numFmtId="38" fontId="59" fillId="6" borderId="4" xfId="0" applyNumberFormat="1" applyFont="1" applyFill="1" applyBorder="1" applyAlignment="1">
      <alignment horizontal="right"/>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38" fontId="59" fillId="0" borderId="21" xfId="0" applyNumberFormat="1" applyFont="1" applyFill="1" applyBorder="1" applyAlignment="1">
      <alignment horizontal="right"/>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38" fontId="59" fillId="3" borderId="2" xfId="0" applyNumberFormat="1" applyFont="1" applyFill="1" applyBorder="1" applyAlignment="1">
      <alignment horizontal="right"/>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8" fontId="59" fillId="6" borderId="29" xfId="0" applyNumberFormat="1" applyFont="1" applyFill="1" applyBorder="1" applyAlignment="1">
      <alignment horizontal="right"/>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5"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6" xfId="0" applyNumberFormat="1" applyFont="1" applyFill="1" applyBorder="1" applyAlignment="1">
      <alignment horizontal="center" vertical="center"/>
    </xf>
    <xf numFmtId="49" fontId="66" fillId="0" borderId="127"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38" fontId="59" fillId="3" borderId="127" xfId="0" applyNumberFormat="1" applyFont="1" applyFill="1" applyBorder="1" applyAlignment="1">
      <alignment horizontal="right"/>
    </xf>
    <xf numFmtId="38" fontId="59" fillId="3" borderId="3" xfId="0" applyNumberFormat="1" applyFont="1" applyFill="1" applyBorder="1" applyAlignment="1">
      <alignment horizontal="right"/>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5"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38" fontId="59" fillId="0" borderId="20" xfId="0" applyNumberFormat="1" applyFont="1" applyFill="1" applyBorder="1" applyAlignment="1">
      <alignment horizontal="right"/>
    </xf>
    <xf numFmtId="38" fontId="59" fillId="0" borderId="0" xfId="0" applyNumberFormat="1" applyFont="1" applyFill="1" applyBorder="1" applyAlignment="1">
      <alignment horizontal="right"/>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0" fontId="61" fillId="6" borderId="0" xfId="0" applyFont="1" applyFill="1" applyAlignment="1">
      <alignment vertical="center"/>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38" fontId="59" fillId="6" borderId="0" xfId="8" applyNumberFormat="1" applyFont="1" applyFill="1" applyBorder="1" applyAlignment="1" applyProtection="1">
      <alignment horizontal="right"/>
    </xf>
    <xf numFmtId="38" fontId="59" fillId="6" borderId="26" xfId="8" applyNumberFormat="1" applyFont="1" applyFill="1" applyBorder="1" applyAlignment="1" applyProtection="1">
      <alignment horizontal="right"/>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38" fontId="68" fillId="6" borderId="3" xfId="0" applyNumberFormat="1" applyFont="1" applyFill="1" applyBorder="1" applyAlignment="1">
      <alignment horizontal="center" vertical="center" wrapText="1"/>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8" fillId="0" borderId="2" xfId="0" applyNumberFormat="1" applyFont="1" applyFill="1" applyBorder="1" applyAlignment="1" applyProtection="1">
      <alignment horizontal="center" vertical="center" wrapText="1"/>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0" borderId="2" xfId="0" applyNumberFormat="1" applyFont="1" applyBorder="1" applyAlignment="1" applyProtection="1">
      <alignment horizontal="right" vertical="center"/>
      <protection locked="0"/>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3" fontId="59" fillId="0" borderId="2" xfId="9" applyNumberFormat="1" applyFont="1" applyFill="1" applyBorder="1" applyAlignment="1" applyProtection="1">
      <alignment horizontal="right" vertical="center"/>
      <protection locked="0"/>
    </xf>
    <xf numFmtId="0" fontId="61" fillId="0" borderId="0" xfId="9" applyFont="1" applyFill="1" applyAlignment="1"/>
    <xf numFmtId="0" fontId="66" fillId="0" borderId="0" xfId="9" applyFont="1" applyFill="1" applyAlignment="1"/>
    <xf numFmtId="38" fontId="59" fillId="0" borderId="2" xfId="9" applyNumberFormat="1" applyFont="1" applyFill="1" applyBorder="1" applyAlignment="1" applyProtection="1">
      <alignment horizontal="right" vertical="center"/>
      <protection locked="0"/>
    </xf>
    <xf numFmtId="0" fontId="85" fillId="0" borderId="0" xfId="9" applyFont="1" applyFill="1" applyAlignment="1">
      <alignment vertical="top"/>
    </xf>
    <xf numFmtId="0" fontId="59" fillId="0" borderId="2" xfId="0" applyFont="1" applyFill="1" applyBorder="1" applyAlignment="1" applyProtection="1">
      <alignment horizontal="right"/>
      <protection locked="0"/>
    </xf>
    <xf numFmtId="0" fontId="59" fillId="0" borderId="2" xfId="9" applyFont="1" applyFill="1" applyBorder="1" applyAlignment="1" applyProtection="1">
      <alignment horizontal="right" vertical="top"/>
      <protection locked="0"/>
    </xf>
    <xf numFmtId="38" fontId="59" fillId="0" borderId="2" xfId="9" applyNumberFormat="1" applyFont="1" applyFill="1" applyBorder="1" applyAlignment="1" applyProtection="1">
      <alignment horizontal="right" vertical="top"/>
      <protection locked="0"/>
    </xf>
    <xf numFmtId="38" fontId="59" fillId="0" borderId="2" xfId="9" quotePrefix="1" applyNumberFormat="1" applyFont="1" applyFill="1" applyBorder="1" applyAlignment="1" applyProtection="1">
      <alignment horizontal="right"/>
      <protection locked="0"/>
    </xf>
    <xf numFmtId="0" fontId="66" fillId="0" borderId="0" xfId="9" applyFont="1" applyFill="1" applyBorder="1" applyAlignment="1"/>
    <xf numFmtId="38" fontId="59" fillId="6" borderId="2" xfId="9" applyNumberFormat="1" applyFont="1" applyFill="1" applyBorder="1" applyAlignment="1" applyProtection="1">
      <alignment horizontal="right"/>
    </xf>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vertical="center"/>
    </xf>
    <xf numFmtId="38" fontId="59" fillId="6" borderId="22" xfId="0" applyNumberFormat="1"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0" borderId="22" xfId="0" applyNumberFormat="1" applyFont="1" applyFill="1" applyBorder="1" applyAlignment="1" applyProtection="1">
      <alignment vertical="center"/>
      <protection locked="0"/>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vertical="center"/>
    </xf>
    <xf numFmtId="49" fontId="66" fillId="0" borderId="6" xfId="0" applyNumberFormat="1" applyFont="1" applyBorder="1" applyAlignment="1" applyProtection="1">
      <alignment horizontal="center" vertical="center"/>
    </xf>
    <xf numFmtId="38" fontId="59" fillId="0" borderId="7" xfId="0" applyNumberFormat="1" applyFont="1" applyBorder="1" applyAlignment="1" applyProtection="1">
      <alignment vertical="center"/>
      <protection locked="0"/>
    </xf>
    <xf numFmtId="49" fontId="66" fillId="6" borderId="59" xfId="0" applyNumberFormat="1" applyFont="1" applyFill="1" applyBorder="1" applyAlignment="1" applyProtection="1">
      <alignment horizontal="center" vertical="center"/>
    </xf>
    <xf numFmtId="0" fontId="59" fillId="6" borderId="42" xfId="0" applyFont="1" applyFill="1" applyBorder="1" applyAlignment="1" applyProtection="1">
      <alignment horizontal="right" vertical="center"/>
    </xf>
    <xf numFmtId="0" fontId="59" fillId="6" borderId="43" xfId="0" applyFont="1" applyFill="1" applyBorder="1" applyAlignment="1" applyProtection="1">
      <alignment horizontal="right" vertical="center"/>
    </xf>
    <xf numFmtId="0" fontId="59" fillId="6" borderId="40" xfId="0" applyFont="1" applyFill="1" applyBorder="1" applyAlignment="1" applyProtection="1">
      <alignment horizontal="right"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45" xfId="0" applyNumberFormat="1" applyFont="1" applyFill="1" applyBorder="1" applyAlignment="1" applyProtection="1">
      <alignment vertical="center"/>
    </xf>
    <xf numFmtId="38" fontId="59" fillId="3" borderId="44" xfId="0" applyNumberFormat="1" applyFont="1" applyFill="1" applyBorder="1" applyAlignment="1" applyProtection="1">
      <alignment vertical="center"/>
    </xf>
    <xf numFmtId="38" fontId="59" fillId="3" borderId="8" xfId="0" applyNumberFormat="1" applyFont="1" applyFill="1" applyBorder="1" applyAlignment="1" applyProtection="1">
      <alignment horizontal="right" vertical="center"/>
    </xf>
    <xf numFmtId="38" fontId="59" fillId="3" borderId="44"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38" fontId="59" fillId="3" borderId="8" xfId="0" applyNumberFormat="1" applyFont="1" applyFill="1" applyBorder="1" applyAlignment="1" applyProtection="1">
      <alignment vertical="center"/>
    </xf>
    <xf numFmtId="38" fontId="59" fillId="0" borderId="8" xfId="0" applyNumberFormat="1" applyFont="1" applyFill="1" applyBorder="1" applyAlignment="1" applyProtection="1">
      <alignment horizontal="right" vertical="center"/>
      <protection locked="0"/>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38" fontId="59" fillId="0" borderId="8" xfId="0" applyNumberFormat="1" applyFont="1" applyFill="1" applyBorder="1" applyAlignment="1" applyProtection="1">
      <alignment vertical="center"/>
      <protection locked="0"/>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5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38" fontId="59" fillId="0" borderId="8" xfId="0" applyNumberFormat="1" applyFont="1" applyBorder="1" applyAlignment="1" applyProtection="1">
      <alignment horizontal="right" vertical="center"/>
      <protection locked="0"/>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38" fontId="59" fillId="0" borderId="22" xfId="0" applyNumberFormat="1" applyFont="1" applyBorder="1" applyAlignment="1" applyProtection="1">
      <alignment horizontal="right" vertical="center"/>
      <protection locked="0"/>
    </xf>
    <xf numFmtId="0" fontId="66" fillId="0" borderId="46" xfId="0" applyFont="1" applyBorder="1" applyAlignment="1" applyProtection="1">
      <alignment horizontal="left" vertical="center" wrapText="1" indent="1"/>
    </xf>
    <xf numFmtId="38" fontId="59" fillId="0" borderId="22" xfId="0" applyNumberFormat="1" applyFont="1" applyBorder="1" applyAlignment="1" applyProtection="1">
      <alignment horizontal="right"/>
      <protection locked="0"/>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38" fontId="66" fillId="0" borderId="0" xfId="10" applyNumberFormat="1" applyFont="1" applyFill="1" applyAlignment="1">
      <alignment horizontal="right"/>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40" fontId="66" fillId="0" borderId="9" xfId="10" applyNumberFormat="1" applyFont="1" applyFill="1" applyBorder="1" applyAlignment="1" applyProtection="1">
      <alignment horizontal="right"/>
      <protection locked="0"/>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4" fontId="68" fillId="0" borderId="0" xfId="10" applyNumberFormat="1" applyFont="1" applyFill="1" applyBorder="1" applyAlignment="1" applyProtection="1">
      <alignmen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38" fontId="66" fillId="0" borderId="0" xfId="11" applyNumberFormat="1" applyFont="1" applyFill="1" applyAlignment="1">
      <alignment horizontal="right"/>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38" fontId="59" fillId="0" borderId="13" xfId="0" applyNumberFormat="1" applyFont="1" applyBorder="1" applyAlignment="1" applyProtection="1">
      <alignment vertical="center"/>
      <protection locked="0"/>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19" borderId="13" xfId="0" applyNumberFormat="1" applyFont="1" applyFill="1" applyBorder="1" applyAlignment="1" applyProtection="1">
      <protection locked="0"/>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0" fontId="66" fillId="0" borderId="0" xfId="3" applyNumberFormat="1" applyFont="1" applyBorder="1" applyAlignment="1">
      <alignment vertical="center"/>
    </xf>
    <xf numFmtId="0" fontId="61" fillId="0" borderId="0" xfId="3" applyNumberFormat="1" applyFont="1" applyBorder="1" applyAlignment="1">
      <alignment vertical="center"/>
    </xf>
    <xf numFmtId="0" fontId="61" fillId="0" borderId="0" xfId="3" applyNumberFormat="1" applyFont="1" applyAlignment="1">
      <alignment vertical="center"/>
    </xf>
    <xf numFmtId="0" fontId="66" fillId="0" borderId="0" xfId="3" applyNumberFormat="1" applyFont="1" applyAlignment="1">
      <alignment vertical="center"/>
    </xf>
    <xf numFmtId="0" fontId="68" fillId="0" borderId="0" xfId="3" applyNumberFormat="1" applyFont="1" applyAlignment="1">
      <alignment horizontal="center" vertical="center"/>
    </xf>
    <xf numFmtId="0" fontId="68" fillId="0" borderId="0" xfId="3" applyNumberFormat="1" applyFont="1" applyBorder="1" applyAlignment="1">
      <alignment horizontal="left" vertical="center"/>
    </xf>
    <xf numFmtId="0" fontId="66" fillId="0" borderId="0" xfId="3" applyNumberFormat="1" applyFont="1" applyAlignment="1">
      <alignment horizontal="center" vertical="center"/>
    </xf>
    <xf numFmtId="0" fontId="66" fillId="0" borderId="17" xfId="3" applyNumberFormat="1" applyFont="1" applyBorder="1" applyAlignment="1">
      <alignment horizontal="center" vertical="center"/>
    </xf>
    <xf numFmtId="0" fontId="66" fillId="0" borderId="0" xfId="3" applyNumberFormat="1" applyFont="1" applyBorder="1" applyAlignment="1">
      <alignment horizontal="right" vertical="center" indent="1"/>
    </xf>
    <xf numFmtId="0" fontId="61" fillId="0" borderId="17" xfId="3" applyNumberFormat="1" applyFont="1" applyBorder="1" applyAlignment="1">
      <alignment vertical="center"/>
    </xf>
    <xf numFmtId="0" fontId="61" fillId="0" borderId="19" xfId="3" applyNumberFormat="1" applyFont="1" applyBorder="1" applyAlignment="1">
      <alignment vertical="center"/>
    </xf>
    <xf numFmtId="0" fontId="61" fillId="0" borderId="20" xfId="3" applyNumberFormat="1" applyFont="1" applyBorder="1" applyAlignment="1">
      <alignment vertical="center"/>
    </xf>
    <xf numFmtId="0" fontId="61" fillId="0" borderId="12" xfId="3" applyNumberFormat="1" applyFont="1" applyBorder="1" applyAlignment="1">
      <alignment vertical="center"/>
    </xf>
    <xf numFmtId="0" fontId="61" fillId="0" borderId="16" xfId="3" applyNumberFormat="1" applyFont="1" applyBorder="1" applyAlignment="1">
      <alignment vertical="center"/>
    </xf>
    <xf numFmtId="0" fontId="61" fillId="0" borderId="3" xfId="3" applyNumberFormat="1" applyFont="1" applyBorder="1" applyAlignment="1">
      <alignment vertical="center"/>
    </xf>
    <xf numFmtId="0" fontId="61" fillId="0" borderId="16" xfId="3" applyNumberFormat="1" applyFont="1" applyFill="1" applyBorder="1" applyAlignment="1">
      <alignment horizontal="centerContinuous" vertical="center"/>
    </xf>
    <xf numFmtId="0" fontId="61" fillId="0" borderId="10" xfId="3" applyNumberFormat="1" applyFont="1" applyFill="1" applyBorder="1" applyAlignment="1">
      <alignment horizontal="centerContinuous" vertical="center"/>
    </xf>
    <xf numFmtId="0" fontId="59" fillId="0" borderId="17" xfId="3" applyNumberFormat="1" applyFont="1" applyFill="1" applyBorder="1" applyAlignment="1">
      <alignment vertical="center"/>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8" fillId="0" borderId="10"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59" fillId="0" borderId="0" xfId="3" applyNumberFormat="1" applyFont="1" applyAlignment="1">
      <alignment vertical="center"/>
    </xf>
    <xf numFmtId="0" fontId="68" fillId="0" borderId="4" xfId="3" applyNumberFormat="1" applyFont="1" applyBorder="1" applyAlignment="1">
      <alignment horizontal="center" vertical="center" wrapText="1"/>
    </xf>
    <xf numFmtId="0" fontId="68" fillId="0" borderId="4" xfId="3" applyNumberFormat="1" applyFont="1" applyBorder="1" applyAlignment="1">
      <alignment horizontal="center" vertical="center"/>
    </xf>
    <xf numFmtId="164" fontId="68" fillId="0" borderId="13" xfId="3" applyNumberFormat="1" applyFont="1" applyBorder="1" applyAlignment="1">
      <alignment horizontal="right" vertical="center"/>
    </xf>
    <xf numFmtId="0" fontId="66" fillId="0" borderId="21" xfId="3" applyNumberFormat="1" applyFont="1" applyBorder="1" applyAlignment="1">
      <alignment horizontal="left" vertical="center"/>
    </xf>
    <xf numFmtId="0" fontId="61" fillId="0" borderId="14" xfId="3" applyNumberFormat="1" applyFont="1" applyBorder="1" applyAlignment="1">
      <alignment horizontal="left" vertical="center"/>
    </xf>
    <xf numFmtId="0" fontId="66" fillId="0" borderId="2" xfId="3" applyNumberFormat="1" applyFont="1" applyBorder="1" applyAlignment="1">
      <alignment horizontal="left" vertical="center" indent="1"/>
    </xf>
    <xf numFmtId="0" fontId="59" fillId="15" borderId="2" xfId="3" applyNumberFormat="1" applyFont="1" applyFill="1" applyBorder="1" applyAlignment="1">
      <alignment vertical="center"/>
    </xf>
    <xf numFmtId="38" fontId="59" fillId="0" borderId="2" xfId="3" applyNumberFormat="1" applyFont="1" applyBorder="1" applyAlignment="1" applyProtection="1">
      <alignment vertical="center"/>
      <protection locked="0"/>
    </xf>
    <xf numFmtId="0" fontId="66" fillId="0" borderId="2" xfId="3" applyNumberFormat="1" applyFont="1" applyBorder="1" applyAlignment="1">
      <alignment horizontal="left" vertical="top" indent="1"/>
    </xf>
    <xf numFmtId="164" fontId="68" fillId="0" borderId="13" xfId="3" applyNumberFormat="1" applyFont="1" applyBorder="1" applyAlignment="1">
      <alignment vertical="top"/>
    </xf>
    <xf numFmtId="38" fontId="59" fillId="0" borderId="2" xfId="3" applyNumberFormat="1" applyFont="1" applyFill="1" applyBorder="1" applyAlignment="1" applyProtection="1">
      <alignment vertical="center"/>
      <protection locked="0"/>
    </xf>
    <xf numFmtId="0" fontId="68" fillId="0" borderId="21" xfId="3" applyNumberFormat="1" applyFont="1" applyBorder="1" applyAlignment="1">
      <alignment horizontal="left" vertical="center"/>
    </xf>
    <xf numFmtId="0" fontId="66" fillId="0" borderId="14" xfId="3" applyNumberFormat="1" applyFont="1" applyBorder="1" applyAlignment="1">
      <alignment horizontal="center" vertical="center"/>
    </xf>
    <xf numFmtId="0" fontId="59" fillId="15" borderId="4" xfId="3" applyNumberFormat="1" applyFont="1" applyFill="1" applyBorder="1" applyAlignment="1">
      <alignment vertical="center"/>
    </xf>
    <xf numFmtId="0" fontId="61" fillId="0" borderId="0" xfId="3" applyNumberFormat="1" applyFont="1" applyAlignment="1">
      <alignment horizontal="right" vertical="center"/>
    </xf>
    <xf numFmtId="0" fontId="69" fillId="0" borderId="0" xfId="3" applyNumberFormat="1" applyFont="1" applyAlignment="1">
      <alignment vertical="center"/>
    </xf>
    <xf numFmtId="0" fontId="77" fillId="0" borderId="0" xfId="3" applyNumberFormat="1" applyFont="1" applyAlignment="1">
      <alignment vertical="center"/>
    </xf>
    <xf numFmtId="171" fontId="61" fillId="0" borderId="0" xfId="3" applyNumberFormat="1" applyFont="1" applyBorder="1" applyAlignment="1" applyProtection="1">
      <alignment horizontal="center"/>
    </xf>
    <xf numFmtId="0" fontId="77" fillId="0" borderId="133" xfId="3" applyNumberFormat="1" applyFont="1" applyBorder="1" applyAlignment="1">
      <alignment horizontal="center" vertical="center"/>
    </xf>
    <xf numFmtId="0" fontId="61" fillId="0" borderId="133" xfId="3" applyNumberFormat="1" applyFont="1" applyBorder="1" applyAlignment="1">
      <alignment vertical="center"/>
    </xf>
    <xf numFmtId="0" fontId="77" fillId="0" borderId="0" xfId="3" applyNumberFormat="1" applyFont="1" applyBorder="1" applyAlignment="1">
      <alignment vertical="center" wrapText="1"/>
    </xf>
    <xf numFmtId="0" fontId="61" fillId="0" borderId="0" xfId="3" applyNumberFormat="1" applyFont="1" applyBorder="1" applyAlignment="1">
      <alignment wrapText="1"/>
    </xf>
    <xf numFmtId="0" fontId="77" fillId="0" borderId="133" xfId="3" applyNumberFormat="1" applyFont="1" applyBorder="1" applyAlignment="1">
      <alignment horizontal="center"/>
    </xf>
    <xf numFmtId="0" fontId="77" fillId="0" borderId="0" xfId="3" applyNumberFormat="1" applyFont="1" applyBorder="1" applyAlignment="1"/>
    <xf numFmtId="0" fontId="68" fillId="0" borderId="0" xfId="3" applyNumberFormat="1" applyFont="1" applyAlignment="1">
      <alignment horizontal="right"/>
    </xf>
    <xf numFmtId="0" fontId="59" fillId="0" borderId="0" xfId="3" applyNumberFormat="1" applyFont="1" applyBorder="1" applyAlignment="1">
      <alignment horizontal="center" wrapText="1"/>
    </xf>
    <xf numFmtId="0" fontId="77" fillId="0" borderId="0" xfId="3" applyFont="1" applyBorder="1" applyAlignment="1">
      <alignment horizontal="center" vertical="center" wrapText="1"/>
    </xf>
    <xf numFmtId="0" fontId="83" fillId="0" borderId="0" xfId="3" applyNumberFormat="1" applyFont="1" applyAlignment="1">
      <alignment vertical="center"/>
    </xf>
    <xf numFmtId="0" fontId="69" fillId="0" borderId="22" xfId="3" applyNumberFormat="1" applyFont="1" applyBorder="1" applyAlignment="1" applyProtection="1">
      <alignment horizontal="center" vertical="center"/>
      <protection locked="0"/>
    </xf>
    <xf numFmtId="0" fontId="66" fillId="0" borderId="0" xfId="3" applyNumberFormat="1" applyFont="1" applyAlignment="1">
      <alignment horizontal="left" vertical="center" indent="2"/>
    </xf>
    <xf numFmtId="0" fontId="61" fillId="0" borderId="0" xfId="3" applyFont="1" applyAlignment="1">
      <alignment horizontal="left" wrapText="1" indent="2"/>
    </xf>
    <xf numFmtId="0" fontId="59" fillId="0" borderId="0" xfId="3" applyNumberFormat="1" applyFont="1" applyBorder="1" applyAlignment="1">
      <alignment vertical="center"/>
    </xf>
    <xf numFmtId="0" fontId="87" fillId="0" borderId="0" xfId="3" applyNumberFormat="1" applyFont="1" applyBorder="1" applyAlignment="1">
      <alignment horizontal="centerContinuous" vertical="center"/>
    </xf>
    <xf numFmtId="0" fontId="60" fillId="0" borderId="0" xfId="2" applyNumberFormat="1" applyFont="1" applyBorder="1" applyAlignment="1" applyProtection="1">
      <alignment horizontal="centerContinuous" vertical="center"/>
    </xf>
    <xf numFmtId="0" fontId="61" fillId="0" borderId="0" xfId="3" applyFont="1" applyAlignment="1">
      <alignment vertical="top" wrapText="1"/>
    </xf>
    <xf numFmtId="164" fontId="66" fillId="0" borderId="0" xfId="0" applyNumberFormat="1" applyFont="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52" xfId="0" applyFont="1" applyBorder="1"/>
    <xf numFmtId="0" fontId="59" fillId="0" borderId="13" xfId="0" applyFont="1" applyBorder="1"/>
    <xf numFmtId="0" fontId="59" fillId="0" borderId="125" xfId="0" applyFont="1" applyBorder="1" applyAlignment="1">
      <alignment horizontal="left" vertical="top"/>
    </xf>
    <xf numFmtId="164" fontId="117" fillId="0" borderId="128" xfId="0" applyNumberFormat="1" applyFont="1" applyBorder="1" applyAlignment="1">
      <alignment horizontal="right" vertical="top"/>
    </xf>
    <xf numFmtId="0" fontId="59" fillId="0" borderId="128" xfId="0" applyNumberFormat="1" applyFont="1" applyBorder="1" applyAlignment="1">
      <alignment horizontal="left" vertical="center" wrapText="1" indent="1"/>
    </xf>
    <xf numFmtId="0" fontId="89" fillId="0" borderId="127" xfId="0" applyFont="1" applyBorder="1" applyAlignment="1">
      <alignment horizontal="left" vertical="center" wrapText="1"/>
    </xf>
    <xf numFmtId="0" fontId="59" fillId="0" borderId="128" xfId="0" applyFont="1" applyBorder="1" applyAlignment="1">
      <alignment horizontal="left" vertical="top"/>
    </xf>
    <xf numFmtId="0" fontId="59" fillId="0" borderId="0" xfId="0" applyFont="1" applyBorder="1" applyAlignment="1">
      <alignment vertical="top"/>
    </xf>
    <xf numFmtId="0" fontId="119" fillId="0" borderId="128" xfId="0" applyNumberFormat="1" applyFont="1" applyBorder="1" applyAlignment="1">
      <alignment horizontal="left" vertical="center"/>
    </xf>
    <xf numFmtId="0" fontId="117" fillId="0" borderId="128" xfId="0" applyFont="1" applyBorder="1" applyAlignment="1">
      <alignment vertical="top"/>
    </xf>
    <xf numFmtId="0" fontId="117" fillId="0" borderId="128" xfId="0" applyFont="1" applyBorder="1" applyAlignment="1">
      <alignment horizontal="left" vertical="top"/>
    </xf>
    <xf numFmtId="0" fontId="59" fillId="0" borderId="125" xfId="0" applyFont="1" applyBorder="1" applyAlignment="1"/>
    <xf numFmtId="164" fontId="117" fillId="0" borderId="128" xfId="0" applyNumberFormat="1" applyFont="1" applyBorder="1" applyAlignment="1"/>
    <xf numFmtId="0" fontId="59" fillId="0" borderId="128" xfId="0" applyFont="1" applyBorder="1" applyAlignment="1"/>
    <xf numFmtId="0" fontId="66" fillId="0" borderId="126"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54"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5" xfId="0" applyFont="1" applyFill="1" applyBorder="1" applyAlignment="1"/>
    <xf numFmtId="0" fontId="58" fillId="0" borderId="128" xfId="0" applyFont="1" applyFill="1" applyBorder="1" applyAlignment="1">
      <alignment horizontal="left" vertical="top"/>
    </xf>
    <xf numFmtId="0" fontId="58" fillId="0" borderId="126"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6"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43" xfId="3" quotePrefix="1" applyNumberFormat="1" applyFont="1" applyBorder="1" applyAlignment="1" applyProtection="1">
      <alignment horizontal="left"/>
    </xf>
    <xf numFmtId="0" fontId="66" fillId="0" borderId="144" xfId="3" applyNumberFormat="1" applyFont="1" applyBorder="1" applyAlignment="1" applyProtection="1">
      <alignment horizontal="center"/>
    </xf>
    <xf numFmtId="0" fontId="66" fillId="0" borderId="144" xfId="3" applyNumberFormat="1" applyFont="1" applyBorder="1" applyProtection="1"/>
    <xf numFmtId="0" fontId="59" fillId="0" borderId="143" xfId="3" applyNumberFormat="1" applyFont="1" applyBorder="1" applyAlignment="1" applyProtection="1"/>
    <xf numFmtId="0" fontId="66" fillId="0" borderId="145" xfId="3" applyNumberFormat="1" applyFont="1" applyBorder="1" applyAlignment="1" applyProtection="1">
      <alignment horizontal="centerContinuous"/>
    </xf>
    <xf numFmtId="0" fontId="59" fillId="0" borderId="143" xfId="3" applyNumberFormat="1" applyFont="1" applyBorder="1" applyAlignment="1" applyProtection="1">
      <alignment horizontal="left"/>
    </xf>
    <xf numFmtId="0" fontId="66" fillId="0" borderId="145" xfId="3" applyNumberFormat="1" applyFont="1" applyBorder="1" applyProtection="1"/>
    <xf numFmtId="0" fontId="66" fillId="0" borderId="144"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43"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7"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44"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8"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6" xfId="3" applyFont="1" applyBorder="1" applyProtection="1"/>
    <xf numFmtId="0" fontId="59" fillId="0" borderId="147" xfId="3" applyFont="1" applyBorder="1" applyProtection="1">
      <protection locked="0"/>
    </xf>
    <xf numFmtId="0" fontId="59" fillId="0" borderId="146"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8" xfId="3" applyNumberFormat="1" applyFont="1" applyBorder="1" applyAlignment="1" applyProtection="1">
      <protection locked="0"/>
    </xf>
    <xf numFmtId="5" fontId="59" fillId="0" borderId="76"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8" xfId="3" applyNumberFormat="1" applyFont="1" applyBorder="1" applyAlignment="1" applyProtection="1">
      <alignment horizontal="center"/>
      <protection locked="0"/>
    </xf>
    <xf numFmtId="5" fontId="59" fillId="0" borderId="76"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8" xfId="3" applyFont="1" applyBorder="1" applyAlignment="1" applyProtection="1">
      <alignment vertical="top"/>
    </xf>
    <xf numFmtId="0" fontId="61" fillId="0" borderId="78"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5" xfId="3" applyNumberFormat="1" applyFont="1" applyBorder="1" applyAlignment="1" applyProtection="1">
      <alignment horizontal="center"/>
    </xf>
    <xf numFmtId="0" fontId="68" fillId="0" borderId="144" xfId="3" applyFont="1" applyBorder="1" applyAlignment="1" applyProtection="1">
      <alignment horizontal="centerContinuous"/>
    </xf>
    <xf numFmtId="0" fontId="68" fillId="0" borderId="145"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45"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20" borderId="72" xfId="3" applyFont="1" applyFill="1" applyBorder="1" applyAlignment="1" applyProtection="1">
      <alignment horizontal="center"/>
    </xf>
    <xf numFmtId="0" fontId="68" fillId="21" borderId="72" xfId="3" applyFont="1" applyFill="1" applyBorder="1" applyAlignment="1" applyProtection="1">
      <alignment horizontal="center"/>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20" borderId="70" xfId="3" applyFont="1" applyFill="1" applyBorder="1" applyAlignment="1" applyProtection="1">
      <alignment horizontal="center"/>
    </xf>
    <xf numFmtId="0" fontId="68" fillId="5" borderId="70" xfId="3" applyFont="1" applyFill="1" applyBorder="1" applyAlignment="1" applyProtection="1">
      <alignment horizontal="center"/>
    </xf>
    <xf numFmtId="0" fontId="68" fillId="21" borderId="70" xfId="3" applyFont="1" applyFill="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3" fontId="66" fillId="0" borderId="22" xfId="3" applyNumberFormat="1" applyFont="1" applyBorder="1" applyAlignment="1" applyProtection="1">
      <alignment horizontal="left" vertical="center" wrapText="1"/>
      <protection locked="0"/>
    </xf>
    <xf numFmtId="169" fontId="66" fillId="0" borderId="8" xfId="3" applyNumberFormat="1" applyFont="1" applyBorder="1" applyAlignment="1" applyProtection="1">
      <alignment horizontal="center"/>
      <protection locked="0"/>
    </xf>
    <xf numFmtId="1" fontId="66" fillId="0" borderId="8" xfId="3" applyNumberFormat="1" applyFont="1" applyBorder="1" applyAlignment="1" applyProtection="1">
      <alignment horizontal="center"/>
      <protection locked="0"/>
    </xf>
    <xf numFmtId="3" fontId="66" fillId="0" borderId="8" xfId="3" applyNumberFormat="1" applyFont="1" applyBorder="1" applyAlignment="1" applyProtection="1">
      <alignment horizontal="center"/>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0" fontId="61" fillId="0" borderId="0" xfId="3" applyFont="1" applyAlignment="1" applyProtection="1">
      <alignment textRotation="180" wrapText="1"/>
    </xf>
    <xf numFmtId="3" fontId="66" fillId="0" borderId="0" xfId="3" applyNumberFormat="1" applyFont="1" applyBorder="1" applyAlignment="1" applyProtection="1">
      <alignment horizontal="left" vertical="center" wrapText="1"/>
      <protection locked="0"/>
    </xf>
    <xf numFmtId="169" fontId="66" fillId="0" borderId="0" xfId="3" applyNumberFormat="1" applyFont="1" applyBorder="1" applyAlignment="1" applyProtection="1">
      <alignment horizontal="center"/>
      <protection locked="0"/>
    </xf>
    <xf numFmtId="1" fontId="66" fillId="0" borderId="0" xfId="3" applyNumberFormat="1" applyFont="1" applyBorder="1" applyAlignment="1" applyProtection="1">
      <alignment horizontal="center"/>
      <protection locked="0"/>
    </xf>
    <xf numFmtId="3" fontId="66" fillId="0" borderId="0" xfId="3" applyNumberFormat="1" applyFont="1" applyBorder="1" applyAlignment="1" applyProtection="1">
      <alignment horizontal="center"/>
      <protection locked="0"/>
    </xf>
    <xf numFmtId="169" fontId="66" fillId="0" borderId="0" xfId="3" applyNumberFormat="1" applyFont="1" applyBorder="1" applyProtection="1"/>
    <xf numFmtId="1" fontId="66" fillId="0" borderId="0" xfId="3" applyNumberFormat="1" applyFont="1" applyBorder="1" applyProtection="1"/>
    <xf numFmtId="0" fontId="58" fillId="20" borderId="0" xfId="3" applyFont="1" applyFill="1" applyProtection="1"/>
    <xf numFmtId="169" fontId="61" fillId="20" borderId="0" xfId="3" applyNumberFormat="1" applyFont="1" applyFill="1" applyProtection="1"/>
    <xf numFmtId="1" fontId="61" fillId="20" borderId="0" xfId="3" applyNumberFormat="1" applyFont="1" applyFill="1" applyProtection="1"/>
    <xf numFmtId="0" fontId="61" fillId="20" borderId="0" xfId="3" applyFont="1" applyFill="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44" xfId="3" applyFont="1" applyBorder="1" applyProtection="1"/>
    <xf numFmtId="0" fontId="61" fillId="0" borderId="144" xfId="3" applyFont="1" applyBorder="1" applyProtection="1"/>
    <xf numFmtId="0" fontId="61" fillId="0" borderId="144"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0" fontId="69" fillId="0" borderId="0" xfId="3" applyFont="1" applyBorder="1" applyAlignment="1" applyProtection="1">
      <alignment horizontal="right"/>
    </xf>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4" xfId="3" quotePrefix="1" applyFont="1" applyBorder="1" applyAlignment="1" applyProtection="1">
      <alignment horizontal="left"/>
    </xf>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4" xfId="3" applyFont="1" applyBorder="1" applyProtection="1"/>
    <xf numFmtId="0" fontId="61" fillId="0" borderId="0" xfId="3" applyFont="1" applyBorder="1" applyAlignment="1" applyProtection="1">
      <alignment horizontal="left"/>
    </xf>
    <xf numFmtId="0" fontId="68" fillId="0" borderId="144"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44"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9" xfId="3" applyNumberFormat="1" applyFont="1" applyBorder="1" applyAlignment="1" applyProtection="1">
      <alignment horizontal="center"/>
    </xf>
    <xf numFmtId="169" fontId="66" fillId="0" borderId="77" xfId="3" applyNumberFormat="1" applyFont="1" applyBorder="1" applyAlignment="1" applyProtection="1">
      <alignment horizontal="center"/>
      <protection locked="0"/>
    </xf>
    <xf numFmtId="169" fontId="126" fillId="0" borderId="0" xfId="3" applyNumberFormat="1" applyFont="1" applyProtection="1"/>
    <xf numFmtId="6" fontId="122" fillId="0" borderId="76" xfId="3" applyNumberFormat="1" applyFont="1" applyBorder="1" applyProtection="1"/>
    <xf numFmtId="6" fontId="122" fillId="0" borderId="0" xfId="3" applyNumberFormat="1" applyFont="1" applyBorder="1" applyProtection="1"/>
    <xf numFmtId="10" fontId="68" fillId="0" borderId="77"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8" xfId="3" applyNumberFormat="1" applyFont="1" applyBorder="1" applyProtection="1"/>
    <xf numFmtId="0" fontId="79" fillId="0" borderId="78" xfId="3" applyFont="1" applyBorder="1" applyAlignment="1" applyProtection="1">
      <alignment horizontal="center"/>
    </xf>
    <xf numFmtId="0" fontId="79" fillId="0" borderId="78"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0" fontId="69" fillId="0" borderId="0" xfId="3" applyFont="1" applyAlignment="1" applyProtection="1">
      <alignment horizontal="right"/>
    </xf>
    <xf numFmtId="178" fontId="69" fillId="0" borderId="74"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4"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51" xfId="3" applyFont="1" applyBorder="1" applyAlignment="1" applyProtection="1">
      <alignment horizontal="left"/>
    </xf>
    <xf numFmtId="0" fontId="61" fillId="0" borderId="151" xfId="3" applyFont="1" applyBorder="1" applyProtection="1"/>
    <xf numFmtId="0" fontId="61" fillId="0" borderId="151"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8" fillId="0" borderId="0" xfId="3" applyNumberFormat="1" applyFont="1" applyProtection="1">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8" xfId="3" applyNumberFormat="1" applyFont="1" applyBorder="1" applyAlignment="1" applyProtection="1">
      <protection locked="0"/>
    </xf>
    <xf numFmtId="0" fontId="61" fillId="0" borderId="78"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8" fillId="0" borderId="20" xfId="0" applyFont="1" applyFill="1" applyBorder="1" applyAlignment="1" applyProtection="1">
      <alignment horizontal="left" vertical="center" indent="2"/>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8"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9" xfId="0" applyFont="1" applyFill="1" applyBorder="1" applyAlignment="1" applyProtection="1">
      <alignment horizontal="left" vertical="center" indent="1"/>
    </xf>
    <xf numFmtId="0" fontId="66" fillId="0" borderId="100"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7" xfId="0" applyNumberFormat="1" applyFont="1" applyBorder="1" applyAlignment="1">
      <alignment horizontal="left" vertical="center" wrapText="1" indent="1"/>
    </xf>
    <xf numFmtId="3" fontId="66" fillId="0" borderId="125"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7"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9" fillId="0" borderId="127" xfId="0" applyNumberFormat="1" applyFont="1" applyFill="1" applyBorder="1" applyAlignment="1" applyProtection="1">
      <alignment horizontal="right" vertical="center"/>
      <protection locked="0"/>
    </xf>
    <xf numFmtId="38" fontId="58" fillId="6" borderId="155" xfId="0" applyNumberFormat="1" applyFont="1" applyFill="1" applyBorder="1" applyAlignment="1">
      <alignment horizontal="center" vertical="center" wrapText="1"/>
    </xf>
    <xf numFmtId="38" fontId="58" fillId="6" borderId="155" xfId="0" applyNumberFormat="1" applyFont="1" applyFill="1" applyBorder="1" applyAlignment="1">
      <alignment horizontal="center" vertical="top" wrapText="1"/>
    </xf>
    <xf numFmtId="38" fontId="68" fillId="6" borderId="155" xfId="0" applyNumberFormat="1" applyFont="1" applyFill="1" applyBorder="1" applyAlignment="1">
      <alignment horizontal="center" vertical="center" wrapText="1"/>
    </xf>
    <xf numFmtId="38" fontId="68" fillId="6" borderId="10"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0" fontId="11" fillId="0" borderId="0" xfId="17"/>
    <xf numFmtId="0" fontId="103" fillId="0" borderId="140" xfId="17" applyFont="1" applyBorder="1" applyAlignment="1">
      <alignment horizontal="left" vertical="top"/>
    </xf>
    <xf numFmtId="0" fontId="130" fillId="0" borderId="141" xfId="17" applyFont="1" applyBorder="1" applyAlignment="1">
      <alignment horizontal="center" vertical="top"/>
    </xf>
    <xf numFmtId="0" fontId="130" fillId="0" borderId="142" xfId="17" applyFont="1" applyBorder="1" applyAlignment="1">
      <alignment horizontal="center" vertical="top"/>
    </xf>
    <xf numFmtId="0" fontId="131" fillId="0" borderId="96" xfId="17" applyFont="1" applyBorder="1" applyAlignment="1">
      <alignment vertical="top"/>
    </xf>
    <xf numFmtId="0" fontId="131" fillId="0" borderId="0" xfId="17" applyFont="1" applyBorder="1" applyAlignment="1">
      <alignment vertical="top"/>
    </xf>
    <xf numFmtId="0" fontId="131" fillId="0" borderId="97" xfId="17" applyFont="1" applyBorder="1" applyAlignment="1">
      <alignment vertical="top"/>
    </xf>
    <xf numFmtId="38" fontId="11" fillId="22" borderId="157" xfId="17" applyNumberFormat="1" applyFill="1" applyBorder="1" applyAlignment="1">
      <alignment horizontal="right" vertical="top"/>
    </xf>
    <xf numFmtId="38" fontId="11" fillId="22" borderId="158" xfId="17" applyNumberFormat="1" applyFill="1" applyBorder="1" applyAlignment="1">
      <alignment horizontal="right" vertical="top"/>
    </xf>
    <xf numFmtId="0" fontId="11" fillId="0" borderId="0" xfId="17" applyAlignment="1">
      <alignment horizontal="left" vertical="top" wrapText="1"/>
    </xf>
    <xf numFmtId="0" fontId="11" fillId="0" borderId="0" xfId="17" applyAlignment="1">
      <alignment vertical="top"/>
    </xf>
    <xf numFmtId="38" fontId="11" fillId="0" borderId="0" xfId="17" applyNumberFormat="1" applyAlignment="1">
      <alignment horizontal="right" vertical="top"/>
    </xf>
    <xf numFmtId="0" fontId="11" fillId="0" borderId="0" xfId="17" applyAlignment="1">
      <alignment horizontal="center" vertical="top" wrapText="1"/>
    </xf>
    <xf numFmtId="0" fontId="129" fillId="23" borderId="156" xfId="17" applyFont="1" applyFill="1" applyBorder="1" applyAlignment="1">
      <alignment horizontal="center" vertical="center" wrapText="1"/>
    </xf>
    <xf numFmtId="38" fontId="129" fillId="23" borderId="156" xfId="17" applyNumberFormat="1" applyFont="1" applyFill="1" applyBorder="1" applyAlignment="1">
      <alignment horizontal="center" vertical="center" wrapText="1"/>
    </xf>
    <xf numFmtId="3" fontId="59" fillId="23" borderId="131" xfId="0" applyNumberFormat="1" applyFont="1" applyFill="1" applyBorder="1" applyAlignment="1">
      <alignment horizontal="center"/>
    </xf>
    <xf numFmtId="3" fontId="59" fillId="23" borderId="131" xfId="0" applyNumberFormat="1" applyFont="1" applyFill="1" applyBorder="1" applyAlignment="1">
      <alignment horizontal="right"/>
    </xf>
    <xf numFmtId="3" fontId="59" fillId="23" borderId="132" xfId="0" applyNumberFormat="1" applyFont="1" applyFill="1" applyBorder="1" applyAlignment="1">
      <alignment horizontal="center"/>
    </xf>
    <xf numFmtId="38" fontId="59" fillId="23" borderId="19" xfId="0" applyNumberFormat="1" applyFont="1" applyFill="1" applyBorder="1" applyAlignment="1">
      <alignment horizontal="right"/>
    </xf>
    <xf numFmtId="38" fontId="59" fillId="23" borderId="20" xfId="0" applyNumberFormat="1" applyFont="1" applyFill="1" applyBorder="1" applyAlignment="1">
      <alignment horizontal="right"/>
    </xf>
    <xf numFmtId="38" fontId="59" fillId="23" borderId="11" xfId="0" applyNumberFormat="1" applyFont="1" applyFill="1" applyBorder="1" applyAlignment="1">
      <alignment horizontal="right"/>
    </xf>
    <xf numFmtId="3" fontId="69" fillId="23" borderId="125" xfId="0" applyNumberFormat="1" applyFont="1" applyFill="1" applyBorder="1" applyAlignment="1">
      <alignment horizontal="center" vertical="center" wrapText="1"/>
    </xf>
    <xf numFmtId="49" fontId="66" fillId="23" borderId="11" xfId="0" applyNumberFormat="1" applyFont="1" applyFill="1" applyBorder="1" applyAlignment="1">
      <alignment horizontal="center" vertical="center"/>
    </xf>
    <xf numFmtId="38" fontId="59" fillId="23" borderId="13" xfId="0" applyNumberFormat="1" applyFont="1" applyFill="1" applyBorder="1" applyAlignment="1">
      <alignment horizontal="right"/>
    </xf>
    <xf numFmtId="38" fontId="59" fillId="23" borderId="21" xfId="0" applyNumberFormat="1" applyFont="1" applyFill="1" applyBorder="1" applyAlignment="1">
      <alignment horizontal="right"/>
    </xf>
    <xf numFmtId="38" fontId="59" fillId="23" borderId="14" xfId="0" applyNumberFormat="1" applyFont="1" applyFill="1" applyBorder="1" applyAlignment="1">
      <alignment horizontal="right"/>
    </xf>
    <xf numFmtId="38" fontId="58" fillId="23" borderId="13" xfId="0" applyNumberFormat="1" applyFont="1" applyFill="1" applyBorder="1" applyAlignment="1" applyProtection="1">
      <alignment horizontal="right"/>
    </xf>
    <xf numFmtId="38" fontId="58" fillId="23" borderId="21" xfId="0" applyNumberFormat="1" applyFont="1" applyFill="1" applyBorder="1" applyAlignment="1" applyProtection="1">
      <alignment horizontal="right"/>
    </xf>
    <xf numFmtId="38" fontId="58" fillId="23" borderId="21" xfId="1" applyNumberFormat="1" applyFont="1" applyFill="1" applyBorder="1" applyAlignment="1" applyProtection="1">
      <alignment horizontal="right"/>
    </xf>
    <xf numFmtId="38" fontId="58" fillId="23" borderId="14" xfId="0" applyNumberFormat="1" applyFont="1" applyFill="1" applyBorder="1" applyAlignment="1" applyProtection="1">
      <alignment horizontal="right"/>
    </xf>
    <xf numFmtId="38" fontId="59" fillId="23" borderId="19" xfId="0" applyNumberFormat="1" applyFont="1" applyFill="1" applyBorder="1" applyAlignment="1" applyProtection="1">
      <alignment horizontal="right"/>
    </xf>
    <xf numFmtId="38" fontId="59" fillId="23" borderId="20" xfId="0" applyNumberFormat="1" applyFont="1" applyFill="1" applyBorder="1" applyAlignment="1" applyProtection="1">
      <alignment horizontal="right"/>
    </xf>
    <xf numFmtId="38" fontId="59" fillId="23" borderId="21" xfId="0" applyNumberFormat="1" applyFont="1" applyFill="1" applyBorder="1" applyAlignment="1" applyProtection="1">
      <alignment horizontal="right"/>
    </xf>
    <xf numFmtId="38" fontId="59" fillId="23" borderId="14" xfId="0" applyNumberFormat="1" applyFont="1" applyFill="1" applyBorder="1" applyAlignment="1" applyProtection="1">
      <alignment horizontal="right"/>
    </xf>
    <xf numFmtId="0" fontId="61" fillId="23" borderId="31" xfId="0" applyFont="1" applyFill="1" applyBorder="1" applyAlignment="1">
      <alignment horizontal="center" vertical="center"/>
    </xf>
    <xf numFmtId="38" fontId="59" fillId="23" borderId="13" xfId="0" applyNumberFormat="1" applyFont="1" applyFill="1" applyBorder="1" applyAlignment="1" applyProtection="1">
      <alignment horizontal="right"/>
    </xf>
    <xf numFmtId="38" fontId="59" fillId="23" borderId="11" xfId="0" applyNumberFormat="1" applyFont="1" applyFill="1" applyBorder="1" applyAlignment="1" applyProtection="1">
      <alignment horizontal="right"/>
    </xf>
    <xf numFmtId="38" fontId="59" fillId="23" borderId="49" xfId="0" applyNumberFormat="1" applyFont="1" applyFill="1" applyBorder="1" applyAlignment="1" applyProtection="1">
      <alignment horizontal="right"/>
    </xf>
    <xf numFmtId="38" fontId="59" fillId="23" borderId="34" xfId="0" applyNumberFormat="1" applyFont="1" applyFill="1" applyBorder="1" applyAlignment="1" applyProtection="1">
      <alignment horizontal="right"/>
    </xf>
    <xf numFmtId="38" fontId="59" fillId="23" borderId="31" xfId="0" applyNumberFormat="1" applyFont="1" applyFill="1" applyBorder="1" applyAlignment="1" applyProtection="1">
      <alignment horizontal="right"/>
    </xf>
    <xf numFmtId="3" fontId="58" fillId="23" borderId="13" xfId="0" applyNumberFormat="1" applyFont="1" applyFill="1" applyBorder="1" applyAlignment="1" applyProtection="1">
      <alignment horizontal="right" vertical="center"/>
    </xf>
    <xf numFmtId="3" fontId="58" fillId="23" borderId="21" xfId="0" applyNumberFormat="1" applyFont="1" applyFill="1" applyBorder="1" applyAlignment="1" applyProtection="1">
      <alignment horizontal="right" vertical="center"/>
    </xf>
    <xf numFmtId="3" fontId="58" fillId="23"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3" borderId="13" xfId="0" applyNumberFormat="1" applyFont="1" applyFill="1" applyBorder="1" applyAlignment="1" applyProtection="1">
      <alignment horizontal="center" vertical="center"/>
    </xf>
    <xf numFmtId="49" fontId="68" fillId="23" borderId="21" xfId="0" applyNumberFormat="1" applyFont="1" applyFill="1" applyBorder="1" applyAlignment="1" applyProtection="1">
      <alignment horizontal="center" vertical="center"/>
    </xf>
    <xf numFmtId="3" fontId="59" fillId="23" borderId="21" xfId="0" applyNumberFormat="1" applyFont="1" applyFill="1" applyBorder="1" applyAlignment="1" applyProtection="1">
      <alignment horizontal="center"/>
    </xf>
    <xf numFmtId="3" fontId="61" fillId="23" borderId="21" xfId="0" applyNumberFormat="1" applyFont="1" applyFill="1" applyBorder="1" applyAlignment="1" applyProtection="1">
      <alignment horizontal="center"/>
    </xf>
    <xf numFmtId="38" fontId="61" fillId="23" borderId="21" xfId="0" applyNumberFormat="1" applyFont="1" applyFill="1" applyBorder="1" applyAlignment="1" applyProtection="1">
      <alignment horizontal="center"/>
    </xf>
    <xf numFmtId="3" fontId="61" fillId="23" borderId="14" xfId="0" applyNumberFormat="1" applyFont="1" applyFill="1" applyBorder="1" applyAlignment="1" applyProtection="1">
      <alignment horizontal="center"/>
    </xf>
    <xf numFmtId="0" fontId="58" fillId="23" borderId="49" xfId="0" applyFont="1" applyFill="1" applyBorder="1" applyAlignment="1" applyProtection="1">
      <alignment horizontal="center" vertical="center" wrapText="1"/>
    </xf>
    <xf numFmtId="0" fontId="59" fillId="23" borderId="34" xfId="0" applyFont="1" applyFill="1" applyBorder="1" applyAlignment="1">
      <alignment horizontal="center" vertical="center" wrapText="1"/>
    </xf>
    <xf numFmtId="164" fontId="58" fillId="23" borderId="49" xfId="0" applyNumberFormat="1" applyFont="1" applyFill="1" applyBorder="1" applyAlignment="1" applyProtection="1">
      <alignment horizontal="center" vertical="center" wrapText="1"/>
    </xf>
    <xf numFmtId="0" fontId="61" fillId="23" borderId="31" xfId="0" applyFont="1" applyFill="1" applyBorder="1" applyAlignment="1">
      <alignment horizontal="center" vertical="center" wrapText="1"/>
    </xf>
    <xf numFmtId="164" fontId="58" fillId="23"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7"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5" xfId="0" applyNumberFormat="1" applyFont="1" applyFill="1" applyBorder="1" applyAlignment="1">
      <alignment horizontal="left" vertical="center" wrapText="1"/>
    </xf>
    <xf numFmtId="49" fontId="68" fillId="17" borderId="127"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5"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7" xfId="0" applyFont="1" applyFill="1" applyBorder="1" applyAlignment="1">
      <alignment horizontal="left" vertical="center" wrapText="1"/>
    </xf>
    <xf numFmtId="3" fontId="68" fillId="17" borderId="127" xfId="0" applyNumberFormat="1" applyFont="1" applyFill="1" applyBorder="1" applyAlignment="1">
      <alignment horizontal="left" vertical="center" wrapText="1"/>
    </xf>
    <xf numFmtId="38" fontId="59" fillId="24" borderId="19" xfId="0" applyNumberFormat="1" applyFont="1" applyFill="1" applyBorder="1" applyAlignment="1">
      <alignment horizontal="right"/>
    </xf>
    <xf numFmtId="38" fontId="59" fillId="24" borderId="20" xfId="0" applyNumberFormat="1" applyFont="1" applyFill="1" applyBorder="1" applyAlignment="1">
      <alignment horizontal="right"/>
    </xf>
    <xf numFmtId="38" fontId="59" fillId="24" borderId="11" xfId="0" applyNumberFormat="1" applyFont="1" applyFill="1" applyBorder="1" applyAlignment="1">
      <alignment horizontal="right"/>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3" borderId="13" xfId="0" applyFont="1" applyFill="1" applyBorder="1" applyAlignment="1">
      <alignment horizontal="left" vertical="center"/>
    </xf>
    <xf numFmtId="0" fontId="69" fillId="23" borderId="21" xfId="0" applyFont="1" applyFill="1" applyBorder="1" applyAlignment="1">
      <alignment horizontal="left" vertical="center"/>
    </xf>
    <xf numFmtId="0" fontId="69" fillId="23"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9" xfId="0" applyFont="1" applyBorder="1" applyAlignment="1">
      <alignment horizontal="centerContinuous" vertical="center"/>
    </xf>
    <xf numFmtId="0" fontId="59" fillId="0" borderId="160" xfId="0" applyFont="1" applyBorder="1" applyAlignment="1">
      <alignment horizontal="centerContinuous" vertical="center"/>
    </xf>
    <xf numFmtId="0" fontId="61" fillId="0" borderId="160" xfId="0" applyFont="1" applyBorder="1" applyAlignment="1">
      <alignment horizontal="centerContinuous" vertical="center"/>
    </xf>
    <xf numFmtId="0" fontId="68" fillId="0" borderId="105" xfId="0" applyFont="1" applyBorder="1" applyAlignment="1">
      <alignment horizontal="center"/>
    </xf>
    <xf numFmtId="0" fontId="61" fillId="23" borderId="16" xfId="3" applyFont="1" applyFill="1" applyBorder="1" applyAlignment="1">
      <alignment horizontal="left" vertical="center"/>
    </xf>
    <xf numFmtId="0" fontId="61" fillId="23" borderId="10" xfId="3" applyFont="1" applyFill="1" applyBorder="1" applyAlignment="1">
      <alignment horizontal="left" vertical="center"/>
    </xf>
    <xf numFmtId="0" fontId="61" fillId="23" borderId="19" xfId="3" applyNumberFormat="1" applyFont="1" applyFill="1" applyBorder="1" applyAlignment="1">
      <alignment vertical="center"/>
    </xf>
    <xf numFmtId="0" fontId="61" fillId="23" borderId="20" xfId="3" applyNumberFormat="1" applyFont="1" applyFill="1" applyBorder="1" applyAlignment="1">
      <alignment vertical="center"/>
    </xf>
    <xf numFmtId="0" fontId="61" fillId="23" borderId="11" xfId="3" applyNumberFormat="1" applyFont="1" applyFill="1" applyBorder="1" applyAlignment="1">
      <alignment vertical="center"/>
    </xf>
    <xf numFmtId="0" fontId="10" fillId="0" borderId="0" xfId="17" quotePrefix="1" applyNumberFormat="1" applyFont="1"/>
    <xf numFmtId="0" fontId="131" fillId="20" borderId="157" xfId="17" applyFont="1" applyFill="1" applyBorder="1" applyAlignment="1" applyProtection="1">
      <alignment horizontal="left" vertical="top" wrapText="1"/>
    </xf>
    <xf numFmtId="49" fontId="131" fillId="20" borderId="157" xfId="17" applyNumberFormat="1" applyFont="1" applyFill="1" applyBorder="1" applyAlignment="1" applyProtection="1">
      <alignment horizontal="center" vertical="top"/>
    </xf>
    <xf numFmtId="0" fontId="131" fillId="20" borderId="157" xfId="17" applyFont="1" applyFill="1" applyBorder="1" applyAlignment="1" applyProtection="1">
      <alignment vertical="top"/>
    </xf>
    <xf numFmtId="38" fontId="131" fillId="20" borderId="157" xfId="17" applyNumberFormat="1" applyFont="1" applyFill="1" applyBorder="1" applyAlignment="1" applyProtection="1">
      <alignment horizontal="right" vertical="top"/>
    </xf>
    <xf numFmtId="38" fontId="131" fillId="20" borderId="157" xfId="17" applyNumberFormat="1" applyFont="1" applyFill="1" applyBorder="1" applyAlignment="1" applyProtection="1">
      <alignment vertical="top"/>
    </xf>
    <xf numFmtId="0" fontId="11" fillId="0" borderId="157" xfId="17" applyBorder="1" applyAlignment="1" applyProtection="1">
      <alignment horizontal="left" vertical="top" wrapText="1"/>
      <protection locked="0"/>
    </xf>
    <xf numFmtId="0" fontId="11" fillId="0" borderId="157" xfId="17" applyBorder="1" applyAlignment="1" applyProtection="1">
      <alignment vertical="top"/>
      <protection locked="0"/>
    </xf>
    <xf numFmtId="0" fontId="10" fillId="0" borderId="157" xfId="17" applyFont="1" applyBorder="1" applyAlignment="1" applyProtection="1">
      <alignment horizontal="left" vertical="top" wrapText="1"/>
      <protection locked="0"/>
    </xf>
    <xf numFmtId="0" fontId="10" fillId="0" borderId="157" xfId="17" applyFont="1" applyBorder="1" applyAlignment="1" applyProtection="1">
      <alignment vertical="top"/>
      <protection locked="0"/>
    </xf>
    <xf numFmtId="0" fontId="11" fillId="0" borderId="0" xfId="17" applyAlignment="1">
      <alignment horizontal="center" vertical="center" wrapText="1"/>
    </xf>
    <xf numFmtId="0" fontId="9" fillId="0" borderId="0" xfId="17" applyFont="1" applyAlignment="1">
      <alignment horizontal="left" vertical="center" wrapText="1"/>
    </xf>
    <xf numFmtId="0" fontId="9" fillId="0" borderId="0" xfId="17" applyFont="1" applyAlignment="1">
      <alignment vertical="center"/>
    </xf>
    <xf numFmtId="0" fontId="11" fillId="0" borderId="0" xfId="17" applyAlignment="1">
      <alignment vertical="center"/>
    </xf>
    <xf numFmtId="0" fontId="131" fillId="0" borderId="98" xfId="17" applyFont="1" applyBorder="1" applyAlignment="1">
      <alignment horizontal="left" vertical="top"/>
    </xf>
    <xf numFmtId="0" fontId="131" fillId="0" borderId="78" xfId="17" applyFont="1" applyBorder="1" applyAlignment="1">
      <alignment horizontal="left" vertical="top"/>
    </xf>
    <xf numFmtId="0" fontId="131" fillId="0" borderId="99" xfId="17" applyFont="1" applyBorder="1" applyAlignment="1">
      <alignment horizontal="left" vertical="top"/>
    </xf>
    <xf numFmtId="0" fontId="37" fillId="0" borderId="0" xfId="2" applyNumberFormat="1" applyAlignment="1" applyProtection="1">
      <alignment vertical="center"/>
    </xf>
    <xf numFmtId="0" fontId="68" fillId="0" borderId="5" xfId="3" applyFont="1" applyFill="1" applyBorder="1" applyAlignment="1" applyProtection="1"/>
    <xf numFmtId="49" fontId="11" fillId="0" borderId="157" xfId="17" applyNumberFormat="1" applyBorder="1" applyAlignment="1" applyProtection="1">
      <alignment horizontal="center" vertical="center"/>
      <protection locked="0"/>
    </xf>
    <xf numFmtId="49" fontId="9" fillId="0" borderId="157" xfId="17" applyNumberFormat="1" applyFont="1" applyBorder="1" applyAlignment="1" applyProtection="1">
      <alignment horizontal="center" vertical="center"/>
      <protection locked="0"/>
    </xf>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38" fontId="59" fillId="16" borderId="27" xfId="0" applyNumberFormat="1" applyFont="1" applyFill="1" applyBorder="1" applyAlignment="1">
      <alignment horizontal="right"/>
    </xf>
    <xf numFmtId="38" fontId="59" fillId="16" borderId="2" xfId="0" applyNumberFormat="1" applyFont="1" applyFill="1" applyBorder="1" applyAlignment="1">
      <alignment horizontal="right"/>
    </xf>
    <xf numFmtId="38" fontId="59" fillId="16" borderId="4" xfId="0" applyNumberFormat="1" applyFont="1" applyFill="1" applyBorder="1" applyAlignment="1">
      <alignment horizontal="right"/>
    </xf>
    <xf numFmtId="49" fontId="68" fillId="16" borderId="36" xfId="0" applyNumberFormat="1" applyFont="1" applyFill="1" applyBorder="1" applyAlignment="1">
      <alignment horizontal="center" vertical="center"/>
    </xf>
    <xf numFmtId="38" fontId="59" fillId="16" borderId="30" xfId="0" applyNumberFormat="1" applyFont="1" applyFill="1" applyBorder="1" applyAlignment="1">
      <alignment horizontal="right"/>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38" fontId="59" fillId="16" borderId="32" xfId="0" applyNumberFormat="1" applyFont="1" applyFill="1" applyBorder="1" applyAlignment="1">
      <alignment horizontal="right"/>
    </xf>
    <xf numFmtId="0" fontId="68" fillId="16" borderId="27" xfId="0" applyFont="1" applyFill="1" applyBorder="1" applyAlignment="1">
      <alignment horizontal="center" vertical="center"/>
    </xf>
    <xf numFmtId="38" fontId="59" fillId="16" borderId="33" xfId="0" applyNumberFormat="1" applyFont="1" applyFill="1" applyBorder="1" applyAlignment="1">
      <alignment horizontal="right"/>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8" fontId="59" fillId="16" borderId="26" xfId="0" applyNumberFormat="1" applyFont="1" applyFill="1" applyBorder="1" applyAlignment="1">
      <alignment horizontal="right"/>
    </xf>
    <xf numFmtId="38" fontId="59" fillId="16" borderId="28" xfId="0" applyNumberFormat="1" applyFont="1" applyFill="1" applyBorder="1" applyAlignment="1">
      <alignment horizontal="right"/>
    </xf>
    <xf numFmtId="38" fontId="59" fillId="16" borderId="29" xfId="0" applyNumberFormat="1" applyFont="1" applyFill="1" applyBorder="1" applyAlignment="1">
      <alignment horizontal="right"/>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8" fontId="59" fillId="16" borderId="27" xfId="0" applyNumberFormat="1" applyFont="1" applyFill="1" applyBorder="1" applyAlignment="1" applyProtection="1">
      <alignment horizontal="right"/>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38" fontId="59" fillId="16" borderId="3" xfId="0" applyNumberFormat="1" applyFont="1" applyFill="1" applyBorder="1" applyAlignment="1">
      <alignment horizontal="right"/>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38" fontId="59" fillId="16" borderId="33" xfId="0" applyNumberFormat="1" applyFont="1" applyFill="1" applyBorder="1" applyAlignment="1" applyProtection="1">
      <alignment horizontal="right"/>
    </xf>
    <xf numFmtId="38" fontId="59" fillId="16" borderId="32" xfId="0" applyNumberFormat="1" applyFont="1" applyFill="1" applyBorder="1" applyAlignment="1" applyProtection="1">
      <alignment horizontal="right"/>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38" fontId="59" fillId="16" borderId="36" xfId="0" applyNumberFormat="1" applyFont="1" applyFill="1" applyBorder="1" applyAlignment="1" applyProtection="1">
      <alignment horizontal="right"/>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37" fontId="59" fillId="16" borderId="36" xfId="0" applyNumberFormat="1" applyFont="1" applyFill="1" applyBorder="1" applyAlignment="1" applyProtection="1">
      <alignment horizontal="right"/>
    </xf>
    <xf numFmtId="37" fontId="59" fillId="16" borderId="27" xfId="0" applyNumberFormat="1" applyFont="1" applyFill="1" applyBorder="1" applyAlignment="1" applyProtection="1">
      <alignment horizontal="right"/>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38" fontId="59" fillId="16" borderId="37" xfId="0" applyNumberFormat="1" applyFont="1" applyFill="1" applyBorder="1" applyAlignment="1" applyProtection="1">
      <alignment horizontal="right"/>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38" fontId="59" fillId="16" borderId="12" xfId="0" applyNumberFormat="1" applyFont="1" applyFill="1" applyBorder="1" applyAlignment="1" applyProtection="1">
      <alignment horizontal="right"/>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38" fontId="59" fillId="16" borderId="3" xfId="0" applyNumberFormat="1" applyFont="1" applyFill="1" applyBorder="1" applyAlignment="1" applyProtection="1">
      <alignment horizontal="right"/>
    </xf>
    <xf numFmtId="38" fontId="59" fillId="16" borderId="55" xfId="0" applyNumberFormat="1" applyFont="1" applyFill="1" applyBorder="1" applyAlignment="1" applyProtection="1">
      <alignment horizontal="right"/>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8" fontId="61" fillId="16" borderId="2" xfId="0" applyNumberFormat="1" applyFont="1" applyFill="1" applyBorder="1" applyAlignment="1" applyProtection="1">
      <alignment horizontal="right" vertical="center"/>
    </xf>
    <xf numFmtId="38"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38" fontId="59" fillId="16" borderId="30" xfId="0" applyNumberFormat="1" applyFont="1" applyFill="1" applyBorder="1" applyAlignment="1" applyProtection="1">
      <alignment horizontal="right"/>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38" fontId="59" fillId="16" borderId="26" xfId="0" applyNumberFormat="1" applyFont="1" applyFill="1" applyBorder="1" applyAlignment="1" applyProtection="1">
      <alignment horizontal="right"/>
    </xf>
    <xf numFmtId="0" fontId="68" fillId="16" borderId="30" xfId="0" applyFont="1" applyFill="1" applyBorder="1" applyAlignment="1" applyProtection="1">
      <alignment horizontal="center" vertical="center"/>
    </xf>
    <xf numFmtId="38" fontId="59" fillId="16" borderId="4" xfId="0" applyNumberFormat="1" applyFont="1" applyFill="1" applyBorder="1" applyAlignment="1" applyProtection="1">
      <alignment horizontal="right"/>
    </xf>
    <xf numFmtId="38" fontId="59" fillId="16" borderId="2" xfId="0" applyNumberFormat="1" applyFont="1" applyFill="1" applyBorder="1" applyAlignment="1" applyProtection="1">
      <alignment horizontal="right"/>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38" fontId="59" fillId="16" borderId="28" xfId="0" applyNumberFormat="1" applyFont="1" applyFill="1" applyBorder="1" applyAlignment="1" applyProtection="1">
      <alignment horizontal="right"/>
    </xf>
    <xf numFmtId="38" fontId="59" fillId="16" borderId="18" xfId="0" applyNumberFormat="1" applyFont="1" applyFill="1" applyBorder="1" applyAlignment="1" applyProtection="1">
      <alignment horizontal="right"/>
    </xf>
    <xf numFmtId="38" fontId="59" fillId="16" borderId="0" xfId="0" applyNumberFormat="1" applyFont="1" applyFill="1" applyAlignment="1" applyProtection="1">
      <alignment horizontal="right"/>
    </xf>
    <xf numFmtId="38" fontId="59" fillId="16" borderId="127" xfId="0" applyNumberFormat="1" applyFont="1" applyFill="1" applyBorder="1" applyAlignment="1" applyProtection="1">
      <alignment horizontal="right" vertical="center"/>
      <protection locked="0"/>
    </xf>
    <xf numFmtId="38" fontId="59" fillId="16" borderId="2" xfId="0" applyNumberFormat="1" applyFont="1" applyFill="1" applyBorder="1" applyAlignment="1" applyProtection="1">
      <alignment horizontal="right" vertical="center"/>
      <protection locked="0"/>
    </xf>
    <xf numFmtId="38" fontId="59" fillId="16" borderId="27" xfId="0" applyNumberFormat="1" applyFont="1" applyFill="1" applyBorder="1" applyAlignment="1" applyProtection="1">
      <alignment horizontal="right" vertical="center"/>
      <protection locked="0"/>
    </xf>
    <xf numFmtId="38" fontId="59" fillId="16" borderId="127"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horizontal="right" vertical="center"/>
    </xf>
    <xf numFmtId="0" fontId="68" fillId="16" borderId="27" xfId="0" applyFont="1" applyFill="1" applyBorder="1" applyAlignment="1">
      <alignment horizontal="left" vertical="center" wrapText="1" indent="1"/>
    </xf>
    <xf numFmtId="38" fontId="59" fillId="16" borderId="27" xfId="0" applyNumberFormat="1" applyFont="1" applyFill="1" applyBorder="1" applyAlignment="1" applyProtection="1">
      <alignment horizontal="right" vertical="center"/>
    </xf>
    <xf numFmtId="38" fontId="59" fillId="16" borderId="2" xfId="9" applyNumberFormat="1" applyFont="1" applyFill="1" applyBorder="1" applyAlignment="1" applyProtection="1">
      <alignment horizontal="right"/>
    </xf>
    <xf numFmtId="49" fontId="66" fillId="16" borderId="41"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38" fontId="59" fillId="16" borderId="60" xfId="0" applyNumberFormat="1" applyFont="1" applyFill="1" applyBorder="1" applyAlignment="1" applyProtection="1"/>
    <xf numFmtId="38" fontId="59" fillId="16" borderId="41" xfId="0" applyNumberFormat="1" applyFont="1" applyFill="1" applyBorder="1" applyAlignment="1" applyProtection="1">
      <alignment horizontal="right"/>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3" fontId="68" fillId="16" borderId="57" xfId="10" applyNumberFormat="1" applyFont="1" applyFill="1" applyBorder="1" applyAlignment="1" applyProtection="1">
      <alignmen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38" fontId="68" fillId="16" borderId="47" xfId="10" applyNumberFormat="1" applyFont="1" applyFill="1" applyBorder="1" applyAlignment="1">
      <alignment horizontal="right"/>
    </xf>
    <xf numFmtId="0" fontId="66" fillId="16" borderId="0" xfId="10" quotePrefix="1" applyFont="1" applyFill="1" applyAlignment="1">
      <alignment horizontal="left" vertical="center"/>
    </xf>
    <xf numFmtId="38" fontId="66" fillId="16" borderId="58" xfId="10" applyNumberFormat="1" applyFont="1" applyFill="1" applyBorder="1" applyAlignment="1" applyProtection="1">
      <alignment horizontal="right"/>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40" fontId="68" fillId="16" borderId="47" xfId="10" applyNumberFormat="1" applyFont="1" applyFill="1" applyBorder="1" applyAlignment="1" applyProtection="1">
      <alignment horizontal="right"/>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38" fontId="68" fillId="16" borderId="9" xfId="11" applyNumberFormat="1" applyFont="1" applyFill="1" applyBorder="1" applyAlignment="1" applyProtection="1">
      <alignment horizontal="right"/>
    </xf>
    <xf numFmtId="38" fontId="66" fillId="16" borderId="6" xfId="11" applyNumberFormat="1" applyFont="1" applyFill="1" applyBorder="1" applyAlignment="1" applyProtection="1">
      <alignment horizontal="right"/>
    </xf>
    <xf numFmtId="0" fontId="66" fillId="16" borderId="0" xfId="11" applyFont="1" applyFill="1" applyAlignment="1">
      <alignment vertical="center"/>
    </xf>
    <xf numFmtId="40" fontId="66" fillId="16" borderId="9" xfId="11" applyNumberFormat="1" applyFont="1" applyFill="1" applyBorder="1" applyAlignment="1" applyProtection="1">
      <alignment horizontal="right"/>
    </xf>
    <xf numFmtId="40" fontId="68" fillId="16" borderId="57" xfId="11" applyNumberFormat="1" applyFont="1" applyFill="1" applyBorder="1" applyAlignment="1" applyProtection="1">
      <alignment horizontal="right"/>
    </xf>
    <xf numFmtId="38" fontId="11" fillId="16" borderId="157" xfId="17" applyNumberFormat="1" applyFill="1" applyBorder="1" applyAlignment="1" applyProtection="1">
      <alignment vertical="top"/>
    </xf>
    <xf numFmtId="38" fontId="11" fillId="16" borderId="158" xfId="17" applyNumberFormat="1" applyFill="1" applyBorder="1" applyAlignment="1" applyProtection="1">
      <alignment horizontal="right" vertical="top"/>
    </xf>
    <xf numFmtId="38" fontId="11" fillId="16" borderId="158" xfId="17" applyNumberFormat="1" applyFill="1" applyBorder="1" applyAlignment="1" applyProtection="1">
      <alignment vertical="top"/>
    </xf>
    <xf numFmtId="0" fontId="11" fillId="16" borderId="158" xfId="17" applyFill="1" applyBorder="1" applyAlignment="1" applyProtection="1">
      <alignment horizontal="left" vertical="top" wrapText="1"/>
    </xf>
    <xf numFmtId="49" fontId="11" fillId="16" borderId="158" xfId="17" applyNumberFormat="1" applyFill="1" applyBorder="1" applyAlignment="1" applyProtection="1">
      <alignment vertical="top"/>
    </xf>
    <xf numFmtId="0" fontId="11" fillId="16" borderId="158" xfId="17" applyFill="1" applyBorder="1" applyAlignment="1" applyProtection="1">
      <alignment vertical="top"/>
    </xf>
    <xf numFmtId="0" fontId="59" fillId="16" borderId="126" xfId="0" applyFont="1" applyFill="1" applyBorder="1"/>
    <xf numFmtId="37" fontId="59" fillId="16" borderId="126" xfId="0" applyNumberFormat="1" applyFont="1" applyFill="1" applyBorder="1"/>
    <xf numFmtId="37" fontId="59" fillId="16" borderId="128" xfId="0" applyNumberFormat="1" applyFont="1" applyFill="1" applyBorder="1"/>
    <xf numFmtId="0" fontId="59" fillId="16" borderId="14" xfId="0" applyFont="1" applyFill="1" applyBorder="1"/>
    <xf numFmtId="0" fontId="59" fillId="16" borderId="21" xfId="0" applyFont="1" applyFill="1" applyBorder="1"/>
    <xf numFmtId="37" fontId="59" fillId="16" borderId="14" xfId="0" applyNumberFormat="1" applyFont="1" applyFill="1" applyBorder="1"/>
    <xf numFmtId="37" fontId="59" fillId="16" borderId="21" xfId="0" applyNumberFormat="1" applyFont="1" applyFill="1" applyBorder="1"/>
    <xf numFmtId="38" fontId="59" fillId="16" borderId="14" xfId="0" applyNumberFormat="1" applyFont="1" applyFill="1" applyBorder="1"/>
    <xf numFmtId="0" fontId="66" fillId="16" borderId="0" xfId="0" applyFont="1" applyFill="1" applyBorder="1" applyAlignment="1">
      <alignment horizontal="right"/>
    </xf>
    <xf numFmtId="38" fontId="59" fillId="16" borderId="18" xfId="0" applyNumberFormat="1" applyFont="1" applyFill="1" applyBorder="1"/>
    <xf numFmtId="0" fontId="59" fillId="16" borderId="13" xfId="0" applyFont="1" applyFill="1" applyBorder="1" applyAlignment="1">
      <alignment horizontal="right"/>
    </xf>
    <xf numFmtId="10" fontId="58" fillId="16" borderId="14" xfId="0" applyNumberFormat="1" applyFont="1" applyFill="1" applyBorder="1" applyAlignment="1">
      <alignment horizontal="left" indent="2"/>
    </xf>
    <xf numFmtId="38" fontId="59" fillId="16" borderId="2" xfId="3" applyNumberFormat="1" applyFont="1" applyFill="1" applyBorder="1" applyAlignment="1">
      <alignment vertical="center"/>
    </xf>
    <xf numFmtId="38" fontId="59" fillId="16" borderId="2" xfId="3" applyNumberFormat="1" applyFont="1" applyFill="1" applyBorder="1" applyAlignment="1" applyProtection="1">
      <alignment vertical="center"/>
    </xf>
    <xf numFmtId="38" fontId="59" fillId="16" borderId="27" xfId="3" applyNumberFormat="1" applyFont="1" applyFill="1" applyBorder="1" applyAlignment="1">
      <alignment vertical="center"/>
    </xf>
    <xf numFmtId="9" fontId="59" fillId="16" borderId="4" xfId="3" applyNumberFormat="1" applyFont="1" applyFill="1" applyBorder="1" applyAlignment="1">
      <alignment horizontal="center" vertical="center"/>
    </xf>
    <xf numFmtId="38" fontId="59" fillId="16" borderId="22" xfId="3" applyNumberFormat="1" applyFont="1" applyFill="1" applyBorder="1" applyAlignment="1">
      <alignment horizontal="right" vertical="center"/>
    </xf>
    <xf numFmtId="38" fontId="59" fillId="16" borderId="41" xfId="3" applyNumberFormat="1" applyFont="1" applyFill="1" applyBorder="1" applyAlignment="1">
      <alignment horizontal="right" vertical="center"/>
    </xf>
    <xf numFmtId="38" fontId="59" fillId="16" borderId="75" xfId="3" applyNumberFormat="1" applyFont="1" applyFill="1" applyBorder="1" applyAlignment="1">
      <alignment horizontal="right" vertical="center"/>
    </xf>
    <xf numFmtId="38" fontId="58" fillId="16" borderId="75" xfId="3" applyNumberFormat="1" applyFont="1" applyFill="1" applyBorder="1" applyAlignment="1">
      <alignment horizontal="right" vertical="center"/>
    </xf>
    <xf numFmtId="38" fontId="59" fillId="16" borderId="60" xfId="3" applyNumberFormat="1" applyFont="1" applyFill="1" applyBorder="1" applyAlignment="1">
      <alignment horizontal="right" vertical="center"/>
    </xf>
    <xf numFmtId="38" fontId="58" fillId="16" borderId="60" xfId="3" applyNumberFormat="1" applyFont="1" applyFill="1" applyBorder="1" applyAlignment="1">
      <alignment horizontal="right" vertical="center"/>
    </xf>
    <xf numFmtId="38" fontId="59" fillId="16" borderId="127" xfId="0" applyNumberFormat="1" applyFont="1" applyFill="1" applyBorder="1" applyAlignment="1" applyProtection="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38" fontId="59" fillId="15" borderId="26" xfId="0" applyNumberFormat="1" applyFont="1" applyFill="1" applyBorder="1" applyAlignment="1">
      <alignment horizontal="right"/>
    </xf>
    <xf numFmtId="38" fontId="59" fillId="15" borderId="3" xfId="0" applyNumberFormat="1" applyFont="1" applyFill="1" applyBorder="1" applyAlignment="1">
      <alignment horizontal="right"/>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8" fontId="59" fillId="26" borderId="26" xfId="0" applyNumberFormat="1" applyFont="1" applyFill="1" applyBorder="1" applyAlignment="1">
      <alignment horizontal="right"/>
    </xf>
    <xf numFmtId="3" fontId="66" fillId="0" borderId="12" xfId="0" applyNumberFormat="1" applyFont="1" applyBorder="1" applyAlignment="1">
      <alignment horizontal="left" vertical="top" wrapText="1" indent="1"/>
    </xf>
    <xf numFmtId="38" fontId="59" fillId="16" borderId="19" xfId="0" applyNumberFormat="1" applyFont="1" applyFill="1" applyBorder="1" applyAlignment="1" applyProtection="1">
      <alignment horizontal="right"/>
    </xf>
    <xf numFmtId="49" fontId="37" fillId="0" borderId="0" xfId="2" applyNumberFormat="1" applyBorder="1" applyAlignment="1" applyProtection="1">
      <alignment horizontal="center"/>
    </xf>
    <xf numFmtId="49" fontId="8" fillId="0" borderId="157" xfId="17" applyNumberFormat="1" applyFont="1" applyBorder="1" applyAlignment="1" applyProtection="1">
      <alignment horizontal="center" vertical="center"/>
      <protection locked="0"/>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61" xfId="3" applyFont="1" applyBorder="1" applyProtection="1"/>
    <xf numFmtId="49" fontId="66" fillId="0" borderId="14" xfId="0" applyNumberFormat="1" applyFont="1" applyFill="1" applyBorder="1" applyAlignment="1" applyProtection="1">
      <alignment horizontal="center" vertical="center"/>
    </xf>
    <xf numFmtId="38" fontId="59" fillId="15" borderId="3" xfId="0" applyNumberFormat="1" applyFont="1" applyFill="1" applyBorder="1" applyAlignment="1" applyProtection="1">
      <alignment horizontal="right"/>
    </xf>
    <xf numFmtId="38" fontId="59" fillId="15" borderId="26" xfId="0" applyNumberFormat="1" applyFont="1" applyFill="1" applyBorder="1" applyAlignment="1" applyProtection="1">
      <alignment horizontal="right"/>
    </xf>
    <xf numFmtId="38" fontId="11" fillId="0" borderId="157" xfId="17" applyNumberFormat="1" applyBorder="1" applyAlignment="1" applyProtection="1">
      <alignment horizontal="right" vertical="top"/>
      <protection locked="0"/>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3" borderId="0" xfId="18" applyFont="1" applyFill="1" applyAlignment="1">
      <alignment horizontal="centerContinuous" vertical="center"/>
    </xf>
    <xf numFmtId="0" fontId="104" fillId="23" borderId="0" xfId="18" applyFont="1" applyFill="1" applyAlignment="1">
      <alignment horizontal="centerContinuous"/>
    </xf>
    <xf numFmtId="0" fontId="92" fillId="0" borderId="137"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8" fillId="0" borderId="0" xfId="18" applyFont="1" applyAlignment="1">
      <alignment wrapText="1"/>
    </xf>
    <xf numFmtId="0" fontId="136" fillId="0" borderId="162" xfId="18" applyFont="1" applyFill="1" applyBorder="1" applyAlignment="1" applyProtection="1">
      <alignment horizontal="center" vertical="center"/>
      <protection locked="0"/>
    </xf>
    <xf numFmtId="0" fontId="107" fillId="0" borderId="0" xfId="18" applyNumberFormat="1" applyFont="1"/>
    <xf numFmtId="0" fontId="82" fillId="0" borderId="107" xfId="18" applyFont="1" applyBorder="1" applyAlignment="1">
      <alignment horizontal="left" vertical="center" wrapText="1"/>
    </xf>
    <xf numFmtId="0" fontId="82" fillId="0" borderId="164" xfId="18" applyFont="1" applyBorder="1" applyAlignment="1">
      <alignment horizontal="left" vertical="center" wrapText="1"/>
    </xf>
    <xf numFmtId="49" fontId="130" fillId="0" borderId="106" xfId="18" applyNumberFormat="1" applyFont="1" applyBorder="1" applyAlignment="1" applyProtection="1">
      <alignment horizontal="center" vertical="center"/>
      <protection locked="0"/>
    </xf>
    <xf numFmtId="0" fontId="130" fillId="0" borderId="106" xfId="18" applyFont="1" applyFill="1" applyBorder="1" applyAlignment="1" applyProtection="1">
      <alignment horizontal="center" vertical="center" wrapText="1"/>
      <protection locked="0"/>
    </xf>
    <xf numFmtId="0" fontId="104" fillId="0" borderId="106" xfId="18" applyFont="1" applyFill="1" applyBorder="1"/>
    <xf numFmtId="0" fontId="108" fillId="0" borderId="159" xfId="18" applyFont="1" applyBorder="1" applyAlignment="1">
      <alignment horizontal="left" vertical="center" wrapText="1"/>
    </xf>
    <xf numFmtId="0" fontId="108" fillId="0" borderId="160" xfId="18" applyFont="1" applyBorder="1" applyAlignment="1">
      <alignment horizontal="left" vertical="center" wrapText="1"/>
    </xf>
    <xf numFmtId="49" fontId="108" fillId="17" borderId="106" xfId="18" applyNumberFormat="1" applyFont="1" applyFill="1" applyBorder="1" applyAlignment="1">
      <alignment horizontal="center" vertical="center"/>
    </xf>
    <xf numFmtId="0" fontId="82" fillId="0" borderId="107" xfId="18" applyFont="1" applyFill="1" applyBorder="1" applyAlignment="1">
      <alignment horizontal="left" vertical="center" wrapText="1"/>
    </xf>
    <xf numFmtId="0" fontId="82" fillId="0" borderId="132" xfId="18" applyFont="1" applyFill="1" applyBorder="1" applyAlignment="1">
      <alignment horizontal="left" vertical="center" wrapText="1"/>
    </xf>
    <xf numFmtId="49" fontId="137" fillId="0" borderId="105" xfId="18" applyNumberFormat="1" applyFont="1" applyBorder="1" applyAlignment="1" applyProtection="1">
      <alignment horizontal="center" vertical="center"/>
      <protection locked="0"/>
    </xf>
    <xf numFmtId="49" fontId="137" fillId="0" borderId="109" xfId="18" applyNumberFormat="1" applyFont="1" applyFill="1" applyBorder="1" applyAlignment="1" applyProtection="1">
      <alignment horizontal="center" vertical="center"/>
      <protection locked="0"/>
    </xf>
    <xf numFmtId="0" fontId="104" fillId="0" borderId="105" xfId="18" applyFont="1" applyBorder="1" applyProtection="1">
      <protection locked="0"/>
    </xf>
    <xf numFmtId="49" fontId="137" fillId="0" borderId="107" xfId="18" applyNumberFormat="1" applyFont="1" applyFill="1" applyBorder="1" applyAlignment="1" applyProtection="1">
      <alignment horizontal="center" vertical="center"/>
      <protection locked="0"/>
    </xf>
    <xf numFmtId="0" fontId="104" fillId="0" borderId="0" xfId="18" applyFont="1" applyProtection="1"/>
    <xf numFmtId="0" fontId="8" fillId="0" borderId="0" xfId="18" applyFont="1"/>
    <xf numFmtId="0" fontId="52" fillId="0" borderId="140" xfId="18" applyFont="1" applyBorder="1" applyAlignment="1">
      <alignment vertical="top"/>
    </xf>
    <xf numFmtId="0" fontId="52" fillId="0" borderId="141" xfId="18" applyFont="1" applyBorder="1" applyAlignment="1">
      <alignment vertical="top"/>
    </xf>
    <xf numFmtId="0" fontId="53" fillId="15" borderId="76" xfId="18" applyFont="1" applyFill="1" applyBorder="1" applyAlignment="1">
      <alignment vertical="top"/>
    </xf>
    <xf numFmtId="0" fontId="52" fillId="0" borderId="140" xfId="18" applyFont="1" applyBorder="1" applyAlignment="1">
      <alignment vertical="top" wrapText="1"/>
    </xf>
    <xf numFmtId="0" fontId="52" fillId="0" borderId="141"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8"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49" fontId="68" fillId="0" borderId="2" xfId="0" applyNumberFormat="1" applyFont="1" applyFill="1" applyBorder="1" applyAlignment="1" applyProtection="1">
      <alignment horizontal="center" vertical="top" wrapText="1"/>
    </xf>
    <xf numFmtId="49" fontId="68" fillId="0" borderId="2" xfId="9" applyNumberFormat="1" applyFont="1" applyFill="1" applyBorder="1" applyAlignment="1">
      <alignment horizontal="center" vertical="top" wrapText="1"/>
    </xf>
    <xf numFmtId="49" fontId="68" fillId="5" borderId="2" xfId="9" applyNumberFormat="1" applyFont="1" applyFill="1" applyBorder="1" applyAlignment="1" applyProtection="1">
      <alignment horizontal="center" vertical="top" wrapText="1"/>
    </xf>
    <xf numFmtId="0" fontId="104" fillId="23" borderId="0" xfId="18" applyFont="1" applyFill="1" applyAlignment="1">
      <alignment horizontal="centerContinuous" vertical="center"/>
    </xf>
    <xf numFmtId="0" fontId="108" fillId="23" borderId="138" xfId="18" applyFont="1" applyFill="1" applyBorder="1" applyAlignment="1">
      <alignment horizontal="center" vertical="center" wrapText="1"/>
    </xf>
    <xf numFmtId="0" fontId="108" fillId="23" borderId="163" xfId="18" applyFont="1" applyFill="1" applyBorder="1" applyAlignment="1">
      <alignment horizontal="center" vertical="center" wrapText="1"/>
    </xf>
    <xf numFmtId="0" fontId="108" fillId="17" borderId="139" xfId="18" applyFont="1" applyFill="1" applyBorder="1" applyAlignment="1">
      <alignment horizontal="center" vertical="center" wrapText="1"/>
    </xf>
    <xf numFmtId="49" fontId="108" fillId="17" borderId="107" xfId="18" applyNumberFormat="1" applyFont="1" applyFill="1" applyBorder="1" applyAlignment="1">
      <alignment horizontal="center" vertical="center" wrapText="1"/>
    </xf>
    <xf numFmtId="0" fontId="53" fillId="17" borderId="108" xfId="18" applyFont="1" applyFill="1" applyBorder="1" applyAlignment="1">
      <alignment horizontal="center"/>
    </xf>
    <xf numFmtId="0" fontId="106" fillId="0" borderId="139" xfId="18" applyFont="1" applyFill="1" applyBorder="1" applyAlignment="1" applyProtection="1">
      <alignment horizontal="right"/>
    </xf>
    <xf numFmtId="0" fontId="69" fillId="23" borderId="12" xfId="3" applyNumberFormat="1" applyFont="1" applyFill="1" applyBorder="1" applyAlignment="1">
      <alignment horizontal="left"/>
    </xf>
    <xf numFmtId="0" fontId="58" fillId="0" borderId="12" xfId="3" applyNumberFormat="1" applyFont="1" applyFill="1" applyBorder="1" applyAlignment="1">
      <alignment horizontal="centerContinuous" vertical="center"/>
    </xf>
    <xf numFmtId="0" fontId="58" fillId="0" borderId="3" xfId="3" applyNumberFormat="1" applyFont="1" applyFill="1" applyBorder="1" applyAlignment="1">
      <alignment horizontal="centerContinuous" vertical="center"/>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8"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38" fontId="66" fillId="0" borderId="147" xfId="11" applyNumberFormat="1" applyFont="1" applyFill="1" applyBorder="1" applyAlignment="1" applyProtection="1">
      <alignment horizontal="right"/>
      <protection locked="0"/>
    </xf>
    <xf numFmtId="38" fontId="66" fillId="16" borderId="9" xfId="11" applyNumberFormat="1" applyFont="1" applyFill="1" applyBorder="1" applyAlignment="1" applyProtection="1">
      <alignment horizontal="right"/>
    </xf>
    <xf numFmtId="3" fontId="66" fillId="16" borderId="9" xfId="10" applyNumberFormat="1" applyFont="1" applyFill="1" applyBorder="1" applyAlignment="1" applyProtection="1">
      <alignment vertical="center"/>
    </xf>
    <xf numFmtId="3" fontId="66" fillId="16" borderId="6" xfId="10" applyNumberFormat="1" applyFont="1" applyFill="1" applyBorder="1" applyAlignment="1" applyProtection="1">
      <alignment vertical="center"/>
    </xf>
    <xf numFmtId="38" fontId="66" fillId="16" borderId="9" xfId="10" applyNumberFormat="1" applyFont="1" applyFill="1" applyBorder="1" applyAlignment="1" applyProtection="1">
      <alignment horizontal="right" vertical="center"/>
    </xf>
    <xf numFmtId="38" fontId="66" fillId="16" borderId="0" xfId="10" applyNumberFormat="1" applyFont="1" applyFill="1" applyAlignment="1">
      <alignment vertical="top"/>
    </xf>
    <xf numFmtId="38" fontId="66" fillId="16" borderId="6" xfId="10" applyNumberFormat="1" applyFont="1" applyFill="1" applyBorder="1" applyAlignment="1" applyProtection="1">
      <alignment horizontal="right" vertical="center"/>
    </xf>
    <xf numFmtId="38" fontId="66" fillId="16" borderId="6" xfId="10" applyNumberFormat="1" applyFont="1" applyFill="1" applyBorder="1" applyAlignment="1" applyProtection="1">
      <alignment horizontal="right"/>
    </xf>
    <xf numFmtId="38" fontId="66" fillId="16" borderId="0" xfId="10" applyNumberFormat="1" applyFont="1" applyFill="1" applyAlignment="1">
      <alignment horizontal="right"/>
    </xf>
    <xf numFmtId="38" fontId="66" fillId="16" borderId="9" xfId="10" applyNumberFormat="1" applyFont="1" applyFill="1" applyBorder="1" applyAlignment="1" applyProtection="1">
      <alignment horizontal="right"/>
    </xf>
    <xf numFmtId="38" fontId="66" fillId="16" borderId="6" xfId="10" applyNumberFormat="1" applyFont="1" applyFill="1" applyBorder="1" applyAlignment="1">
      <alignment horizontal="right"/>
    </xf>
    <xf numFmtId="38" fontId="66" fillId="16" borderId="147" xfId="10" applyNumberFormat="1" applyFont="1" applyFill="1" applyBorder="1" applyAlignment="1" applyProtection="1">
      <alignment horizontal="right"/>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68" fillId="0" borderId="0" xfId="11" applyFont="1" applyAlignment="1">
      <alignment horizontal="right" vertical="center"/>
    </xf>
    <xf numFmtId="0" fontId="68" fillId="0" borderId="0" xfId="0" applyFont="1" applyBorder="1" applyAlignment="1" applyProtection="1">
      <alignment horizontal="lef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8" fillId="0" borderId="157" xfId="17" applyFont="1" applyBorder="1" applyAlignment="1" applyProtection="1">
      <alignment horizontal="left" vertical="top" wrapText="1"/>
      <protection locked="0"/>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38" fontId="7" fillId="16" borderId="157" xfId="17" applyNumberFormat="1" applyFont="1" applyFill="1" applyBorder="1" applyAlignment="1" applyProtection="1">
      <alignment horizontal="right" vertical="top"/>
    </xf>
    <xf numFmtId="38" fontId="7" fillId="16" borderId="158" xfId="17" applyNumberFormat="1" applyFont="1" applyFill="1" applyBorder="1" applyAlignment="1" applyProtection="1">
      <alignment horizontal="right" vertical="top"/>
    </xf>
    <xf numFmtId="49" fontId="7" fillId="0" borderId="157" xfId="17" applyNumberFormat="1" applyFont="1" applyBorder="1" applyAlignment="1" applyProtection="1">
      <alignment horizontal="center" vertical="top"/>
      <protection locked="0"/>
    </xf>
    <xf numFmtId="49" fontId="7" fillId="0" borderId="157" xfId="17" applyNumberFormat="1" applyFont="1" applyBorder="1" applyAlignment="1" applyProtection="1">
      <alignment horizontal="center" vertical="center"/>
      <protection locked="0"/>
    </xf>
    <xf numFmtId="0" fontId="61" fillId="0" borderId="77" xfId="3" applyNumberFormat="1" applyFont="1" applyBorder="1" applyAlignment="1" applyProtection="1">
      <alignment horizontal="center"/>
      <protection locked="0"/>
    </xf>
    <xf numFmtId="38" fontId="59" fillId="0" borderId="14"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7"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7" xfId="0" applyNumberFormat="1" applyFont="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29" xfId="0" applyNumberFormat="1" applyFont="1" applyFill="1" applyBorder="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7" xfId="0" applyNumberFormat="1" applyFont="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36" xfId="0" applyNumberFormat="1" applyFont="1" applyFill="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55" xfId="0" applyNumberFormat="1" applyFont="1" applyBorder="1" applyAlignment="1" applyProtection="1">
      <alignment horizontal="right" vertical="center"/>
      <protection locked="0"/>
    </xf>
    <xf numFmtId="38" fontId="59" fillId="0" borderId="32" xfId="0" applyNumberFormat="1" applyFont="1" applyBorder="1" applyAlignment="1" applyProtection="1">
      <alignment horizontal="right" vertical="center"/>
      <protection locked="0"/>
    </xf>
    <xf numFmtId="38" fontId="59" fillId="0" borderId="27" xfId="0" applyNumberFormat="1" applyFont="1" applyFill="1" applyBorder="1" applyAlignment="1" applyProtection="1">
      <alignment horizontal="right" vertical="center"/>
      <protection locked="0"/>
    </xf>
    <xf numFmtId="38" fontId="59" fillId="0" borderId="32" xfId="0" applyNumberFormat="1" applyFont="1" applyFill="1" applyBorder="1" applyAlignment="1" applyProtection="1">
      <alignment horizontal="right" vertical="center"/>
      <protection locked="0"/>
    </xf>
    <xf numFmtId="38" fontId="59" fillId="0" borderId="2" xfId="0" applyNumberFormat="1" applyFont="1" applyFill="1" applyBorder="1" applyAlignment="1" applyProtection="1">
      <alignment horizontal="right" vertical="center"/>
      <protection locked="0"/>
    </xf>
    <xf numFmtId="38" fontId="59" fillId="0" borderId="124" xfId="0" applyNumberFormat="1" applyFont="1" applyFill="1" applyBorder="1" applyAlignment="1" applyProtection="1">
      <alignment horizontal="right"/>
      <protection locked="0"/>
    </xf>
    <xf numFmtId="38" fontId="59" fillId="0" borderId="123"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7"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7"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29" xfId="0" applyNumberFormat="1" applyFont="1" applyFill="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111" xfId="0" applyNumberFormat="1" applyFont="1" applyFill="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 xfId="8"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7"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7" xfId="0" applyNumberFormat="1" applyFont="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29" xfId="0" applyNumberFormat="1" applyFont="1" applyFill="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2" xfId="6" applyNumberFormat="1" applyFont="1" applyBorder="1" applyProtection="1">
      <protection locked="0"/>
    </xf>
    <xf numFmtId="38" fontId="59" fillId="0" borderId="2" xfId="0" applyNumberFormat="1" applyFont="1" applyFill="1" applyBorder="1" applyAlignment="1" applyProtection="1">
      <alignment horizontal="right"/>
      <protection locked="0"/>
    </xf>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3" fontId="59" fillId="0" borderId="2" xfId="9" applyNumberFormat="1" applyFont="1" applyFill="1" applyBorder="1" applyAlignment="1" applyProtection="1">
      <alignment horizontal="right" vertical="center"/>
      <protection locked="0"/>
    </xf>
    <xf numFmtId="38" fontId="59" fillId="0" borderId="2" xfId="9" applyNumberFormat="1" applyFont="1" applyFill="1" applyBorder="1" applyAlignment="1" applyProtection="1">
      <alignment horizontal="right" vertical="center"/>
      <protection locked="0"/>
    </xf>
    <xf numFmtId="0" fontId="59" fillId="0" borderId="2" xfId="0" applyFont="1" applyFill="1" applyBorder="1" applyAlignment="1" applyProtection="1">
      <alignment horizontal="right"/>
      <protection locked="0"/>
    </xf>
    <xf numFmtId="49" fontId="1" fillId="0" borderId="157" xfId="17" applyNumberFormat="1" applyFont="1" applyBorder="1" applyAlignment="1" applyProtection="1">
      <alignment horizontal="center" vertical="top"/>
      <protection locked="0"/>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18"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8"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7" fillId="0" borderId="19" xfId="2" applyNumberForma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indent="1"/>
      <protection locked="0"/>
    </xf>
    <xf numFmtId="0" fontId="48" fillId="0" borderId="20" xfId="2" applyFont="1" applyBorder="1" applyAlignment="1" applyProtection="1">
      <alignment horizontal="left" vertical="center" indent="1"/>
      <protection locked="0"/>
    </xf>
    <xf numFmtId="0" fontId="25" fillId="0" borderId="20" xfId="0" applyFont="1" applyBorder="1" applyAlignment="1" applyProtection="1">
      <alignment horizontal="left" vertical="center" indent="1"/>
      <protection locked="0"/>
    </xf>
    <xf numFmtId="0" fontId="25" fillId="0" borderId="11"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0" fontId="139" fillId="0" borderId="0" xfId="12" applyFont="1" applyBorder="1" applyAlignment="1" applyProtection="1">
      <alignment horizontal="center" vertical="center" wrapText="1"/>
    </xf>
    <xf numFmtId="0" fontId="139" fillId="0" borderId="18" xfId="12" applyFont="1" applyBorder="1" applyAlignment="1" applyProtection="1">
      <alignment horizontal="center" vertical="center" wrapText="1"/>
    </xf>
    <xf numFmtId="0" fontId="139" fillId="0" borderId="128" xfId="12" applyFont="1" applyBorder="1" applyAlignment="1" applyProtection="1">
      <alignment horizontal="center" vertical="center" wrapText="1"/>
    </xf>
    <xf numFmtId="0" fontId="139" fillId="0" borderId="126" xfId="12" applyFont="1" applyBorder="1" applyAlignment="1" applyProtection="1">
      <alignment horizontal="center" vertical="center" wrapText="1"/>
    </xf>
    <xf numFmtId="0" fontId="18" fillId="0" borderId="20" xfId="12" applyFont="1" applyBorder="1" applyAlignment="1" applyProtection="1">
      <alignment vertical="center"/>
    </xf>
    <xf numFmtId="180" fontId="17" fillId="0" borderId="19" xfId="12" applyNumberFormat="1"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7" fillId="0" borderId="17" xfId="12" applyNumberFormat="1" applyFont="1" applyBorder="1" applyAlignment="1" applyProtection="1">
      <alignment horizontal="left" vertical="center" indent="1"/>
      <protection locked="0"/>
    </xf>
    <xf numFmtId="0" fontId="17" fillId="0" borderId="0" xfId="0" applyNumberFormat="1"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0" fontId="0" fillId="0" borderId="0" xfId="0" applyBorder="1" applyAlignment="1">
      <alignment horizontal="center" vertical="center"/>
    </xf>
    <xf numFmtId="49" fontId="17" fillId="0" borderId="0" xfId="12" applyNumberFormat="1" applyFont="1" applyBorder="1" applyAlignment="1" applyProtection="1">
      <alignment horizontal="center" vertical="center"/>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17" fillId="0" borderId="18" xfId="0"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17" fillId="0" borderId="19" xfId="12" applyNumberFormat="1" applyFont="1" applyBorder="1" applyAlignment="1" applyProtection="1">
      <alignment horizontal="left" vertical="center" indent="1"/>
      <protection locked="0"/>
    </xf>
    <xf numFmtId="174" fontId="17" fillId="0" borderId="17" xfId="12" applyNumberFormat="1" applyFont="1" applyBorder="1" applyAlignment="1" applyProtection="1">
      <alignment horizontal="left" vertical="center" indent="1"/>
      <protection locked="0"/>
    </xf>
    <xf numFmtId="174" fontId="17" fillId="0" borderId="0" xfId="0" applyNumberFormat="1" applyFont="1" applyBorder="1" applyAlignment="1" applyProtection="1">
      <alignment horizontal="left" vertical="center" indent="1"/>
      <protection locked="0"/>
    </xf>
    <xf numFmtId="174" fontId="17" fillId="0" borderId="18" xfId="0" applyNumberFormat="1" applyFont="1" applyBorder="1" applyAlignment="1" applyProtection="1">
      <alignment horizontal="left" vertical="center" indent="1"/>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7" fillId="0" borderId="19" xfId="12" applyNumberFormat="1" applyFont="1" applyBorder="1" applyAlignment="1" applyProtection="1">
      <alignment horizontal="left" vertical="center"/>
      <protection locked="0"/>
    </xf>
    <xf numFmtId="0" fontId="18" fillId="0" borderId="20" xfId="0" applyFont="1" applyBorder="1" applyAlignment="1" applyProtection="1">
      <alignment vertical="center"/>
      <protection locked="0"/>
    </xf>
    <xf numFmtId="0" fontId="18" fillId="0" borderId="11" xfId="0" applyFont="1" applyBorder="1" applyAlignment="1" applyProtection="1">
      <alignment vertical="center"/>
      <protection locked="0"/>
    </xf>
    <xf numFmtId="0" fontId="17" fillId="0" borderId="136" xfId="12" applyFont="1" applyBorder="1" applyAlignment="1" applyProtection="1">
      <alignment horizontal="left" vertical="center" indent="1"/>
      <protection locked="0"/>
    </xf>
    <xf numFmtId="0" fontId="17" fillId="0" borderId="126"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8"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7" fillId="0" borderId="19" xfId="2" applyBorder="1" applyAlignment="1" applyProtection="1">
      <protection locked="0"/>
    </xf>
    <xf numFmtId="0" fontId="23" fillId="0" borderId="20" xfId="0" applyFont="1" applyBorder="1" applyProtection="1">
      <protection locked="0"/>
    </xf>
    <xf numFmtId="0" fontId="23" fillId="0" borderId="11" xfId="0" applyFont="1" applyBorder="1" applyProtection="1">
      <protection locked="0"/>
    </xf>
    <xf numFmtId="0" fontId="17" fillId="0" borderId="0" xfId="0" applyFont="1" applyBorder="1" applyAlignment="1" applyProtection="1">
      <alignment horizontal="left" vertical="center" indent="1"/>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protection locked="0"/>
    </xf>
    <xf numFmtId="14" fontId="17" fillId="0" borderId="125" xfId="12" applyNumberFormat="1" applyFont="1" applyBorder="1" applyAlignment="1" applyProtection="1">
      <alignment horizontal="left" vertical="center" indent="1"/>
      <protection locked="0"/>
    </xf>
    <xf numFmtId="0" fontId="17" fillId="0" borderId="128" xfId="12" applyNumberFormat="1" applyFont="1" applyBorder="1" applyAlignment="1" applyProtection="1">
      <alignment horizontal="left" vertical="center" indent="1"/>
      <protection locked="0"/>
    </xf>
    <xf numFmtId="0" fontId="17" fillId="0" borderId="126" xfId="12" applyNumberFormat="1" applyFont="1" applyBorder="1" applyAlignment="1" applyProtection="1">
      <alignment horizontal="left" vertical="center" indent="1"/>
      <protection locked="0"/>
    </xf>
    <xf numFmtId="180" fontId="17" fillId="0" borderId="125" xfId="12" applyNumberFormat="1" applyFont="1" applyBorder="1" applyAlignment="1" applyProtection="1">
      <alignment horizontal="left" vertical="center" indent="1"/>
      <protection locked="0"/>
    </xf>
    <xf numFmtId="180" fontId="17" fillId="0" borderId="128" xfId="12" applyNumberFormat="1" applyFont="1" applyBorder="1" applyAlignment="1" applyProtection="1">
      <alignment horizontal="left" vertical="center" indent="1"/>
      <protection locked="0"/>
    </xf>
    <xf numFmtId="180" fontId="17" fillId="0" borderId="126" xfId="12" applyNumberFormat="1" applyFont="1" applyBorder="1" applyAlignment="1" applyProtection="1">
      <alignment horizontal="left" vertical="center" indent="1"/>
      <protection locked="0"/>
    </xf>
    <xf numFmtId="0" fontId="58" fillId="0" borderId="0" xfId="0" applyFont="1" applyBorder="1" applyAlignment="1">
      <alignment horizontal="center" vertical="center"/>
    </xf>
    <xf numFmtId="0" fontId="58" fillId="0" borderId="0" xfId="0" applyFont="1" applyBorder="1" applyAlignment="1">
      <alignment horizontal="center"/>
    </xf>
    <xf numFmtId="0" fontId="62" fillId="0" borderId="0" xfId="2" applyFont="1"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5" xfId="3" applyFont="1" applyBorder="1" applyAlignment="1" applyProtection="1">
      <alignment horizontal="left" vertical="top"/>
      <protection locked="0"/>
    </xf>
    <xf numFmtId="0" fontId="59" fillId="0" borderId="128" xfId="3" applyFont="1" applyBorder="1" applyAlignment="1" applyProtection="1">
      <alignment horizontal="left" vertical="top"/>
      <protection locked="0"/>
    </xf>
    <xf numFmtId="0" fontId="59" fillId="0" borderId="126" xfId="3" applyFont="1" applyBorder="1" applyAlignment="1" applyProtection="1">
      <alignment horizontal="left" vertical="top"/>
      <protection locked="0"/>
    </xf>
    <xf numFmtId="0" fontId="58" fillId="0" borderId="134"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4"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5" xfId="0" applyFont="1" applyBorder="1" applyAlignment="1" applyProtection="1">
      <alignment horizontal="left" vertical="top" wrapText="1"/>
      <protection locked="0"/>
    </xf>
    <xf numFmtId="0" fontId="59" fillId="0" borderId="128" xfId="0" applyFont="1" applyBorder="1" applyAlignment="1" applyProtection="1">
      <alignment horizontal="left" vertical="top" wrapText="1"/>
      <protection locked="0"/>
    </xf>
    <xf numFmtId="0" fontId="59" fillId="0" borderId="126" xfId="0" applyFont="1" applyBorder="1" applyAlignment="1" applyProtection="1">
      <alignment horizontal="left" vertical="top" wrapText="1"/>
      <protection locked="0"/>
    </xf>
    <xf numFmtId="0" fontId="64" fillId="0" borderId="0" xfId="0" applyFont="1" applyBorder="1" applyAlignment="1" applyProtection="1">
      <alignment horizontal="center" vertical="center"/>
    </xf>
    <xf numFmtId="38" fontId="58" fillId="0" borderId="79" xfId="0" applyNumberFormat="1" applyFont="1" applyBorder="1" applyAlignment="1" applyProtection="1">
      <alignment horizontal="left" vertical="top"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0" xfId="0" applyFont="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58" fillId="0" borderId="86"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6" xfId="0" applyFont="1" applyFill="1" applyBorder="1" applyAlignment="1" applyProtection="1">
      <alignment horizontal="center" vertical="center" wrapText="1"/>
    </xf>
    <xf numFmtId="3" fontId="68" fillId="23" borderId="13" xfId="0" applyNumberFormat="1" applyFont="1" applyFill="1" applyBorder="1" applyAlignment="1" applyProtection="1">
      <alignment horizontal="left" vertical="center"/>
    </xf>
    <xf numFmtId="3" fontId="68" fillId="23" borderId="14" xfId="0" applyNumberFormat="1" applyFont="1" applyFill="1" applyBorder="1" applyAlignment="1" applyProtection="1">
      <alignment horizontal="left" vertical="center"/>
    </xf>
    <xf numFmtId="164" fontId="68" fillId="23" borderId="49" xfId="0" applyNumberFormat="1" applyFont="1" applyFill="1" applyBorder="1" applyAlignment="1" applyProtection="1">
      <alignment horizontal="left" vertical="center"/>
    </xf>
    <xf numFmtId="164" fontId="68" fillId="23" borderId="31" xfId="0" applyNumberFormat="1" applyFont="1" applyFill="1" applyBorder="1" applyAlignment="1" applyProtection="1">
      <alignment horizontal="left" vertical="center"/>
    </xf>
    <xf numFmtId="0" fontId="68" fillId="23" borderId="34" xfId="0" applyFont="1" applyFill="1" applyBorder="1" applyAlignment="1" applyProtection="1">
      <alignment horizontal="left" vertical="center"/>
    </xf>
    <xf numFmtId="0" fontId="68" fillId="23" borderId="31" xfId="0" applyFont="1" applyFill="1" applyBorder="1" applyAlignment="1" applyProtection="1">
      <alignment horizontal="left" vertical="center"/>
    </xf>
    <xf numFmtId="164" fontId="68" fillId="23" borderId="13" xfId="0" applyNumberFormat="1" applyFont="1" applyFill="1" applyBorder="1" applyAlignment="1" applyProtection="1">
      <alignment horizontal="left" vertical="center"/>
    </xf>
    <xf numFmtId="164" fontId="68" fillId="23"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xf>
    <xf numFmtId="0" fontId="68"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6"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5" borderId="13" xfId="0" applyNumberFormat="1" applyFont="1" applyFill="1" applyBorder="1" applyAlignment="1" applyProtection="1">
      <alignment horizontal="left" vertical="center" wrapText="1" indent="1"/>
    </xf>
    <xf numFmtId="164" fontId="68" fillId="25"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3" borderId="13" xfId="0" applyNumberFormat="1" applyFont="1" applyFill="1" applyBorder="1" applyAlignment="1" applyProtection="1">
      <alignment horizontal="left" vertical="center"/>
    </xf>
    <xf numFmtId="49" fontId="68" fillId="23" borderId="14" xfId="0" applyNumberFormat="1" applyFont="1" applyFill="1" applyBorder="1" applyAlignment="1" applyProtection="1">
      <alignment horizontal="left" vertical="center"/>
    </xf>
    <xf numFmtId="0" fontId="68" fillId="23" borderId="13" xfId="0" applyFont="1" applyFill="1" applyBorder="1" applyAlignment="1" applyProtection="1">
      <alignment vertical="center"/>
    </xf>
    <xf numFmtId="0" fontId="68" fillId="23"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0" borderId="18" xfId="0" applyNumberFormat="1" applyFont="1" applyBorder="1" applyAlignment="1" applyProtection="1">
      <alignment horizontal="center" vertical="center" wrapText="1"/>
    </xf>
    <xf numFmtId="0" fontId="69" fillId="23" borderId="19" xfId="0" applyFont="1" applyFill="1" applyBorder="1" applyAlignment="1">
      <alignment horizontal="center" vertical="center"/>
    </xf>
    <xf numFmtId="0" fontId="61" fillId="23" borderId="11" xfId="0" applyFont="1" applyFill="1" applyBorder="1" applyAlignment="1">
      <alignment horizontal="center" vertical="center"/>
    </xf>
    <xf numFmtId="0" fontId="69" fillId="24" borderId="20" xfId="0" applyFont="1" applyFill="1" applyBorder="1" applyAlignment="1">
      <alignment horizontal="center" vertical="center"/>
    </xf>
    <xf numFmtId="0" fontId="69" fillId="24" borderId="11" xfId="0" applyFont="1" applyFill="1" applyBorder="1" applyAlignment="1">
      <alignment horizontal="center" vertical="center"/>
    </xf>
    <xf numFmtId="0" fontId="61" fillId="24" borderId="11" xfId="0" applyFont="1" applyFill="1" applyBorder="1" applyAlignment="1">
      <alignment horizontal="center" vertical="center"/>
    </xf>
    <xf numFmtId="0" fontId="69" fillId="23" borderId="107" xfId="0" applyFont="1" applyFill="1" applyBorder="1" applyAlignment="1">
      <alignment horizontal="center" vertical="center"/>
    </xf>
    <xf numFmtId="0" fontId="61" fillId="23" borderId="131" xfId="0" applyFont="1" applyFill="1" applyBorder="1" applyAlignment="1">
      <alignment horizontal="center" vertical="center"/>
    </xf>
    <xf numFmtId="0" fontId="69" fillId="23"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3" borderId="20" xfId="0" applyFont="1" applyFill="1" applyBorder="1" applyAlignment="1">
      <alignment horizontal="center" vertical="center" wrapText="1"/>
    </xf>
    <xf numFmtId="0" fontId="61" fillId="23" borderId="11" xfId="0" applyFont="1" applyFill="1" applyBorder="1" applyAlignment="1">
      <alignment horizontal="center" vertical="center" wrapText="1"/>
    </xf>
    <xf numFmtId="3" fontId="69" fillId="23" borderId="13" xfId="0" applyNumberFormat="1" applyFont="1" applyFill="1" applyBorder="1" applyAlignment="1">
      <alignment horizontal="center" vertical="center"/>
    </xf>
    <xf numFmtId="0" fontId="61" fillId="23" borderId="14" xfId="0" applyFont="1" applyFill="1" applyBorder="1" applyAlignment="1">
      <alignment horizontal="center" vertical="center"/>
    </xf>
    <xf numFmtId="0" fontId="69" fillId="23" borderId="21" xfId="0" applyFont="1" applyFill="1" applyBorder="1" applyAlignment="1">
      <alignment horizontal="center" vertical="center"/>
    </xf>
    <xf numFmtId="3" fontId="68" fillId="15" borderId="10" xfId="0" applyNumberFormat="1" applyFont="1" applyFill="1" applyBorder="1" applyAlignment="1" applyProtection="1">
      <alignment horizontal="center" vertical="center" wrapText="1"/>
    </xf>
    <xf numFmtId="3" fontId="68" fillId="15" borderId="126" xfId="0" applyNumberFormat="1" applyFont="1" applyFill="1" applyBorder="1" applyAlignment="1" applyProtection="1">
      <alignment horizontal="center" vertical="center" wrapText="1"/>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0" fontId="69" fillId="12" borderId="13" xfId="9" applyFont="1" applyFill="1" applyBorder="1" applyAlignment="1">
      <alignment horizontal="center" vertical="center"/>
    </xf>
    <xf numFmtId="0" fontId="61" fillId="12" borderId="14" xfId="0" applyFont="1" applyFill="1" applyBorder="1" applyAlignment="1">
      <alignment horizontal="center" vertical="center"/>
    </xf>
    <xf numFmtId="0" fontId="68" fillId="6" borderId="13" xfId="0" applyFont="1" applyFill="1" applyBorder="1" applyAlignment="1" applyProtection="1">
      <alignment horizontal="left" vertical="center" wrapText="1"/>
    </xf>
    <xf numFmtId="49" fontId="69" fillId="12" borderId="13" xfId="0" applyNumberFormat="1" applyFont="1" applyFill="1" applyBorder="1" applyAlignment="1" applyProtection="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7" xfId="0" applyFont="1" applyBorder="1" applyAlignment="1" applyProtection="1">
      <alignment horizontal="left" vertical="center" wrapText="1" indent="1"/>
    </xf>
    <xf numFmtId="0" fontId="66" fillId="0" borderId="148" xfId="0" applyFont="1" applyBorder="1" applyAlignment="1" applyProtection="1">
      <alignment horizontal="left" vertical="center" wrapText="1" inden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Border="1" applyAlignment="1" applyProtection="1">
      <alignment horizontal="left" vertical="center" wrapText="1"/>
    </xf>
    <xf numFmtId="0" fontId="68" fillId="0" borderId="6" xfId="0" applyFont="1" applyBorder="1" applyAlignment="1" applyProtection="1">
      <alignment horizontal="left" vertical="center" wrapText="1"/>
    </xf>
    <xf numFmtId="0" fontId="61" fillId="0" borderId="6" xfId="0" applyFont="1" applyBorder="1" applyAlignment="1">
      <alignment wrapText="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8" fillId="6" borderId="88" xfId="0" applyFont="1" applyFill="1" applyBorder="1" applyAlignment="1" applyProtection="1">
      <alignment horizontal="left" vertical="center" wrapText="1"/>
    </xf>
    <xf numFmtId="0" fontId="61" fillId="0" borderId="88" xfId="0" applyFont="1" applyBorder="1" applyAlignment="1">
      <alignment wrapTex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7" xfId="0" applyFont="1" applyFill="1" applyBorder="1" applyAlignment="1" applyProtection="1">
      <alignment horizontal="left" vertical="center" indent="1"/>
    </xf>
    <xf numFmtId="0" fontId="68" fillId="16" borderId="146" xfId="0" applyFont="1" applyFill="1" applyBorder="1" applyAlignment="1" applyProtection="1">
      <alignment horizontal="left" vertical="center" indent="1"/>
    </xf>
    <xf numFmtId="0" fontId="68" fillId="3" borderId="147" xfId="0" applyFont="1" applyFill="1" applyBorder="1" applyAlignment="1" applyProtection="1">
      <alignment horizontal="left" vertical="center"/>
    </xf>
    <xf numFmtId="0" fontId="68" fillId="3" borderId="148" xfId="0" applyFont="1" applyFill="1" applyBorder="1" applyAlignment="1" applyProtection="1">
      <alignment horizontal="left" vertical="center"/>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3" borderId="146" xfId="0" applyFont="1" applyFill="1" applyBorder="1" applyAlignment="1" applyProtection="1">
      <alignment horizontal="left" vertical="center" indent="1"/>
    </xf>
    <xf numFmtId="0" fontId="69" fillId="23" borderId="147" xfId="0" applyFont="1" applyFill="1" applyBorder="1" applyAlignment="1" applyProtection="1">
      <alignment horizontal="left" vertical="center" indent="1"/>
    </xf>
    <xf numFmtId="0" fontId="69" fillId="23" borderId="148" xfId="0" applyFont="1" applyFill="1" applyBorder="1" applyAlignment="1" applyProtection="1">
      <alignment horizontal="left" vertical="center" indent="1"/>
    </xf>
    <xf numFmtId="0" fontId="72" fillId="6" borderId="89" xfId="10" applyFont="1" applyFill="1" applyBorder="1" applyAlignment="1">
      <alignment horizontal="center" vertical="center"/>
    </xf>
    <xf numFmtId="0" fontId="102" fillId="0" borderId="90" xfId="0" applyFont="1" applyBorder="1" applyAlignment="1">
      <alignment horizontal="center" vertical="center"/>
    </xf>
    <xf numFmtId="0" fontId="102" fillId="0" borderId="91" xfId="0" applyFont="1" applyBorder="1" applyAlignment="1">
      <alignment horizontal="center" vertical="center"/>
    </xf>
    <xf numFmtId="0" fontId="69" fillId="23" borderId="92" xfId="10" applyFont="1" applyFill="1" applyBorder="1" applyAlignment="1">
      <alignment horizontal="center" vertical="center" wrapText="1"/>
    </xf>
    <xf numFmtId="0" fontId="69" fillId="23" borderId="25" xfId="0" applyFont="1" applyFill="1" applyBorder="1" applyAlignment="1">
      <alignment horizontal="center" vertical="center" wrapText="1"/>
    </xf>
    <xf numFmtId="0" fontId="69" fillId="23" borderId="93" xfId="0" applyFont="1" applyFill="1" applyBorder="1" applyAlignment="1">
      <alignment horizontal="center" vertical="center" wrapText="1"/>
    </xf>
    <xf numFmtId="0" fontId="134" fillId="23" borderId="94" xfId="10" applyFont="1" applyFill="1" applyBorder="1" applyAlignment="1">
      <alignment horizontal="center" vertical="center"/>
    </xf>
    <xf numFmtId="0" fontId="59" fillId="23" borderId="47" xfId="0" applyFont="1" applyFill="1" applyBorder="1" applyAlignment="1">
      <alignment horizontal="center" vertical="center"/>
    </xf>
    <xf numFmtId="0" fontId="59" fillId="23" borderId="95" xfId="0" applyFont="1" applyFill="1" applyBorder="1" applyAlignment="1">
      <alignment horizontal="center" vertical="center"/>
    </xf>
    <xf numFmtId="0" fontId="84" fillId="0" borderId="74" xfId="10" applyFont="1" applyBorder="1" applyAlignment="1">
      <alignment horizontal="center"/>
    </xf>
    <xf numFmtId="0" fontId="61" fillId="0" borderId="74" xfId="0" applyFont="1" applyBorder="1" applyAlignment="1">
      <alignment horizontal="center"/>
    </xf>
    <xf numFmtId="0" fontId="131" fillId="0" borderId="96" xfId="17" applyFont="1" applyBorder="1" applyAlignment="1">
      <alignment horizontal="left" vertical="top" wrapText="1"/>
    </xf>
    <xf numFmtId="0" fontId="131" fillId="0" borderId="0" xfId="17" applyFont="1" applyBorder="1" applyAlignment="1">
      <alignment horizontal="left" vertical="top" wrapText="1"/>
    </xf>
    <xf numFmtId="0" fontId="131" fillId="0" borderId="97" xfId="17" applyFont="1" applyBorder="1" applyAlignment="1">
      <alignment horizontal="left" vertical="top" wrapText="1"/>
    </xf>
    <xf numFmtId="0" fontId="130" fillId="23" borderId="140" xfId="17" applyFont="1" applyFill="1" applyBorder="1" applyAlignment="1">
      <alignment horizontal="center" vertical="center"/>
    </xf>
    <xf numFmtId="0" fontId="130" fillId="23" borderId="141" xfId="17" applyFont="1" applyFill="1" applyBorder="1" applyAlignment="1">
      <alignment horizontal="center" vertical="center"/>
    </xf>
    <xf numFmtId="0" fontId="130" fillId="23" borderId="142" xfId="17" applyFont="1" applyFill="1" applyBorder="1" applyAlignment="1">
      <alignment horizontal="center" vertical="center"/>
    </xf>
    <xf numFmtId="0" fontId="130" fillId="23" borderId="98" xfId="17" applyFont="1" applyFill="1" applyBorder="1" applyAlignment="1">
      <alignment horizontal="center" vertical="center"/>
    </xf>
    <xf numFmtId="0" fontId="130" fillId="23" borderId="78" xfId="17" applyFont="1" applyFill="1" applyBorder="1" applyAlignment="1">
      <alignment horizontal="center" vertical="center"/>
    </xf>
    <xf numFmtId="0" fontId="130" fillId="23" borderId="99" xfId="17" applyFont="1" applyFill="1" applyBorder="1" applyAlignment="1">
      <alignment horizontal="center" vertical="center"/>
    </xf>
    <xf numFmtId="0" fontId="131" fillId="0" borderId="96" xfId="17" applyFont="1" applyBorder="1" applyAlignment="1">
      <alignment vertical="top" wrapText="1"/>
    </xf>
    <xf numFmtId="0" fontId="131" fillId="0" borderId="0" xfId="17" applyFont="1" applyBorder="1" applyAlignment="1">
      <alignment vertical="top" wrapText="1"/>
    </xf>
    <xf numFmtId="0" fontId="131" fillId="0" borderId="97" xfId="17" applyFont="1" applyBorder="1" applyAlignment="1">
      <alignment vertical="top" wrapText="1"/>
    </xf>
    <xf numFmtId="0" fontId="131" fillId="0" borderId="96" xfId="17" applyFont="1" applyBorder="1" applyAlignment="1">
      <alignment vertical="top"/>
    </xf>
    <xf numFmtId="0" fontId="131" fillId="0" borderId="0" xfId="17" applyFont="1" applyBorder="1" applyAlignment="1">
      <alignment vertical="top"/>
    </xf>
    <xf numFmtId="0" fontId="131" fillId="0" borderId="97" xfId="17"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xf>
    <xf numFmtId="0" fontId="61" fillId="19" borderId="21" xfId="0" applyFont="1" applyFill="1" applyBorder="1" applyAlignment="1">
      <alignment horizontal="left" vertical="center" wrapText="1" indent="1"/>
    </xf>
    <xf numFmtId="0" fontId="61" fillId="19" borderId="14" xfId="0" applyFont="1" applyFill="1" applyBorder="1" applyAlignment="1">
      <alignment horizontal="left" vertical="center" wrapText="1" indent="1"/>
    </xf>
    <xf numFmtId="0" fontId="53" fillId="0" borderId="98" xfId="18" applyFont="1" applyBorder="1" applyAlignment="1" applyProtection="1">
      <alignment vertical="top" wrapText="1"/>
      <protection locked="0"/>
    </xf>
    <xf numFmtId="0" fontId="53" fillId="0" borderId="78" xfId="18" applyFont="1" applyBorder="1" applyAlignment="1" applyProtection="1">
      <alignment vertical="top" wrapText="1"/>
      <protection locked="0"/>
    </xf>
    <xf numFmtId="0" fontId="53"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3" fillId="0" borderId="141" xfId="18" applyFont="1" applyBorder="1" applyAlignment="1" applyProtection="1">
      <alignment horizontal="center" vertical="top" wrapText="1"/>
      <protection locked="0"/>
    </xf>
    <xf numFmtId="0" fontId="53" fillId="0" borderId="142" xfId="18" applyFont="1" applyBorder="1" applyAlignment="1" applyProtection="1">
      <alignment horizontal="center" vertical="top" wrapText="1"/>
      <protection locked="0"/>
    </xf>
    <xf numFmtId="0" fontId="53" fillId="0" borderId="96" xfId="18" applyFont="1" applyBorder="1" applyAlignment="1" applyProtection="1">
      <alignment vertical="top" wrapText="1"/>
      <protection locked="0"/>
    </xf>
    <xf numFmtId="0" fontId="53" fillId="0" borderId="0" xfId="18" applyFont="1" applyBorder="1" applyAlignment="1" applyProtection="1">
      <alignment vertical="top" wrapText="1"/>
      <protection locked="0"/>
    </xf>
    <xf numFmtId="0" fontId="53" fillId="0" borderId="97" xfId="18" applyFont="1" applyBorder="1" applyAlignment="1" applyProtection="1">
      <alignment vertical="top" wrapText="1"/>
      <protection locked="0"/>
    </xf>
    <xf numFmtId="0" fontId="105" fillId="23" borderId="0" xfId="18" applyFont="1" applyFill="1" applyAlignment="1">
      <alignment horizontal="center" vertical="center"/>
    </xf>
    <xf numFmtId="0" fontId="77" fillId="0" borderId="137"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8" xfId="18" applyNumberFormat="1" applyFont="1" applyBorder="1" applyAlignment="1">
      <alignment horizontal="center" vertical="center" wrapText="1"/>
    </xf>
    <xf numFmtId="0" fontId="8" fillId="0" borderId="141" xfId="18" applyFont="1" applyBorder="1" applyAlignment="1" applyProtection="1">
      <alignment horizontal="center" vertical="top" wrapText="1"/>
      <protection locked="0"/>
    </xf>
    <xf numFmtId="0" fontId="8" fillId="0" borderId="142" xfId="18" applyFont="1" applyBorder="1" applyAlignment="1" applyProtection="1">
      <alignment horizontal="center" vertical="top" wrapText="1"/>
      <protection locked="0"/>
    </xf>
    <xf numFmtId="0" fontId="66" fillId="0" borderId="5" xfId="3" quotePrefix="1" applyNumberFormat="1" applyFont="1" applyBorder="1" applyAlignment="1">
      <alignment horizontal="left" vertical="top" wrapText="1" indent="2"/>
    </xf>
    <xf numFmtId="0" fontId="66" fillId="0" borderId="0" xfId="3" quotePrefix="1" applyNumberFormat="1" applyFont="1" applyBorder="1" applyAlignment="1">
      <alignment horizontal="left" vertical="top" wrapText="1" indent="2"/>
    </xf>
    <xf numFmtId="0" fontId="66" fillId="0" borderId="0" xfId="3" applyNumberFormat="1" applyFont="1" applyBorder="1" applyAlignment="1">
      <alignment horizontal="left" vertical="top" wrapText="1" indent="2"/>
    </xf>
    <xf numFmtId="0" fontId="61" fillId="0" borderId="0" xfId="3" applyFont="1" applyAlignment="1">
      <alignment horizontal="left" vertical="top" wrapText="1" indent="2"/>
    </xf>
    <xf numFmtId="0" fontId="66" fillId="0" borderId="0" xfId="3" applyNumberFormat="1" applyFont="1" applyAlignment="1">
      <alignment horizontal="left" vertical="top" wrapText="1" indent="2"/>
    </xf>
    <xf numFmtId="0" fontId="59" fillId="0" borderId="20" xfId="3" applyNumberFormat="1" applyFont="1" applyBorder="1" applyAlignment="1">
      <alignment horizontal="left" vertical="center" indent="1"/>
    </xf>
    <xf numFmtId="0" fontId="59" fillId="0" borderId="20" xfId="3" applyNumberFormat="1" applyFont="1" applyBorder="1" applyAlignment="1">
      <alignment horizontal="left" vertical="center"/>
    </xf>
    <xf numFmtId="0" fontId="59" fillId="23" borderId="17" xfId="3" applyNumberFormat="1" applyFont="1" applyFill="1" applyBorder="1" applyAlignment="1">
      <alignment horizontal="left" vertical="top" wrapText="1"/>
    </xf>
    <xf numFmtId="0" fontId="59" fillId="23" borderId="0" xfId="3" applyFont="1" applyFill="1" applyBorder="1" applyAlignment="1">
      <alignment vertical="top"/>
    </xf>
    <xf numFmtId="0" fontId="59" fillId="23" borderId="18" xfId="3" applyFont="1" applyFill="1" applyBorder="1" applyAlignment="1">
      <alignment vertical="top"/>
    </xf>
    <xf numFmtId="166" fontId="59" fillId="0" borderId="21" xfId="3" applyNumberFormat="1" applyFont="1" applyBorder="1" applyAlignment="1">
      <alignment horizontal="left" vertical="center" indent="1"/>
    </xf>
    <xf numFmtId="0" fontId="68" fillId="0" borderId="19" xfId="3" applyNumberFormat="1" applyFont="1" applyBorder="1" applyAlignment="1">
      <alignment horizontal="center" vertical="center"/>
    </xf>
    <xf numFmtId="0" fontId="61" fillId="0" borderId="20" xfId="3" applyFont="1" applyBorder="1" applyAlignment="1">
      <alignment horizontal="center" vertical="center"/>
    </xf>
    <xf numFmtId="0" fontId="61" fillId="0" borderId="11" xfId="3" applyFont="1" applyBorder="1" applyAlignment="1">
      <alignment horizontal="center" vertical="center"/>
    </xf>
    <xf numFmtId="0" fontId="66" fillId="0" borderId="21" xfId="3" applyNumberFormat="1" applyFont="1" applyBorder="1" applyAlignment="1">
      <alignment horizontal="left" vertical="center" wrapText="1"/>
    </xf>
    <xf numFmtId="0" fontId="61" fillId="0" borderId="21" xfId="3" applyFont="1" applyBorder="1" applyAlignment="1">
      <alignment horizontal="left" vertical="center" wrapText="1"/>
    </xf>
    <xf numFmtId="0" fontId="61" fillId="0" borderId="14" xfId="3" applyFont="1" applyBorder="1" applyAlignment="1">
      <alignment horizontal="left" vertical="center" wrapText="1"/>
    </xf>
    <xf numFmtId="0" fontId="68" fillId="0" borderId="21" xfId="3" applyNumberFormat="1" applyFont="1" applyBorder="1" applyAlignment="1">
      <alignment vertical="center"/>
    </xf>
    <xf numFmtId="0" fontId="68" fillId="0" borderId="14" xfId="3" applyNumberFormat="1" applyFont="1" applyBorder="1" applyAlignment="1">
      <alignment vertical="center"/>
    </xf>
    <xf numFmtId="0" fontId="77" fillId="0" borderId="133" xfId="3" applyFont="1" applyBorder="1" applyAlignment="1">
      <alignment horizontal="center" vertical="center" wrapText="1"/>
    </xf>
    <xf numFmtId="0" fontId="77" fillId="0" borderId="133" xfId="3" applyNumberFormat="1" applyFont="1" applyBorder="1" applyAlignment="1">
      <alignment horizontal="center"/>
    </xf>
    <xf numFmtId="0" fontId="61" fillId="0" borderId="134" xfId="3" applyNumberFormat="1" applyFont="1" applyBorder="1" applyAlignment="1" applyProtection="1">
      <alignment horizontal="center"/>
      <protection locked="0"/>
    </xf>
    <xf numFmtId="171" fontId="61" fillId="0" borderId="134" xfId="3" applyNumberFormat="1" applyFont="1" applyBorder="1" applyAlignment="1" applyProtection="1">
      <alignment horizontal="center"/>
      <protection locked="0"/>
    </xf>
    <xf numFmtId="0" fontId="61" fillId="0" borderId="134" xfId="3" applyNumberFormat="1" applyFont="1" applyBorder="1" applyAlignment="1" applyProtection="1">
      <alignment horizontal="center" vertical="center"/>
      <protection locked="0"/>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12"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3" xfId="3" applyFont="1" applyBorder="1" applyAlignment="1">
      <alignment horizontal="center" vertical="center" wrapText="1"/>
    </xf>
    <xf numFmtId="0" fontId="113" fillId="0" borderId="114" xfId="3" applyFont="1" applyBorder="1" applyAlignment="1">
      <alignment horizontal="center" vertical="center" wrapText="1"/>
    </xf>
    <xf numFmtId="0" fontId="113" fillId="0" borderId="115" xfId="3" applyFont="1" applyBorder="1" applyAlignment="1">
      <alignment horizontal="center" vertical="center" wrapText="1"/>
    </xf>
    <xf numFmtId="0" fontId="113" fillId="0" borderId="116" xfId="3" applyFont="1" applyBorder="1" applyAlignment="1">
      <alignment horizontal="center" vertical="center" wrapText="1"/>
    </xf>
    <xf numFmtId="0" fontId="114" fillId="0" borderId="13" xfId="3" applyNumberFormat="1" applyFont="1" applyBorder="1" applyAlignment="1">
      <alignment vertical="top" wrapText="1"/>
    </xf>
    <xf numFmtId="0" fontId="114" fillId="0" borderId="21" xfId="3" applyNumberFormat="1" applyFont="1" applyBorder="1" applyAlignment="1">
      <alignment vertical="top" wrapText="1"/>
    </xf>
    <xf numFmtId="0" fontId="114" fillId="0" borderId="14" xfId="3" applyNumberFormat="1" applyFont="1" applyBorder="1" applyAlignment="1">
      <alignment vertical="top" wrapText="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Border="1" applyAlignment="1">
      <alignment vertical="top"/>
    </xf>
    <xf numFmtId="0" fontId="87" fillId="0" borderId="0" xfId="3" applyFont="1" applyBorder="1" applyAlignment="1">
      <alignment vertical="top"/>
    </xf>
    <xf numFmtId="0" fontId="87" fillId="0" borderId="40" xfId="3" applyFont="1" applyBorder="1" applyAlignment="1">
      <alignment vertical="top"/>
    </xf>
    <xf numFmtId="0" fontId="87" fillId="0" borderId="50" xfId="3" applyFont="1" applyBorder="1" applyAlignment="1">
      <alignment vertical="top"/>
    </xf>
    <xf numFmtId="0" fontId="87" fillId="0" borderId="9" xfId="3" applyFont="1" applyBorder="1" applyAlignment="1">
      <alignment vertical="top"/>
    </xf>
    <xf numFmtId="0" fontId="87" fillId="0" borderId="59" xfId="3" applyFont="1" applyBorder="1" applyAlignment="1">
      <alignment vertical="top"/>
    </xf>
    <xf numFmtId="0" fontId="116" fillId="12" borderId="125" xfId="0" applyFont="1" applyFill="1" applyBorder="1" applyAlignment="1">
      <alignment horizontal="center" vertical="center"/>
    </xf>
    <xf numFmtId="0" fontId="116" fillId="12" borderId="128" xfId="0" applyFont="1" applyFill="1" applyBorder="1" applyAlignment="1">
      <alignment horizontal="center" vertical="center"/>
    </xf>
    <xf numFmtId="0" fontId="116" fillId="12" borderId="153"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5" xfId="0" applyNumberFormat="1" applyFont="1" applyFill="1" applyBorder="1" applyAlignment="1">
      <alignment horizontal="center" vertical="top"/>
    </xf>
    <xf numFmtId="164" fontId="117" fillId="12" borderId="128" xfId="0" applyNumberFormat="1" applyFont="1" applyFill="1" applyBorder="1" applyAlignment="1">
      <alignment horizontal="center" vertical="top"/>
    </xf>
    <xf numFmtId="164" fontId="117" fillId="12" borderId="153"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8" xfId="0" applyNumberFormat="1" applyFont="1" applyBorder="1" applyAlignment="1">
      <alignment horizontal="left" vertical="center" wrapText="1"/>
    </xf>
    <xf numFmtId="0" fontId="61" fillId="0" borderId="126"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5" xfId="3" applyNumberFormat="1" applyFont="1" applyBorder="1" applyAlignment="1" applyProtection="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69" fillId="0" borderId="0" xfId="3" applyNumberFormat="1" applyFont="1" applyAlignment="1" applyProtection="1">
      <alignment horizontal="center" vertical="center"/>
    </xf>
    <xf numFmtId="0" fontId="59" fillId="0" borderId="146" xfId="3" applyNumberFormat="1" applyFont="1" applyBorder="1" applyProtection="1"/>
    <xf numFmtId="0" fontId="59" fillId="0" borderId="147"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7" xfId="3" applyNumberFormat="1" applyFont="1" applyBorder="1" applyAlignment="1" applyProtection="1">
      <alignment horizontal="left" indent="1"/>
      <protection locked="0"/>
    </xf>
    <xf numFmtId="0" fontId="69" fillId="0" borderId="147" xfId="3" applyFont="1" applyBorder="1" applyAlignment="1" applyProtection="1">
      <alignment horizontal="left" indent="1"/>
      <protection locked="0"/>
    </xf>
    <xf numFmtId="0" fontId="69" fillId="0" borderId="148" xfId="3" applyFont="1" applyBorder="1" applyAlignment="1" applyProtection="1">
      <alignment horizontal="left" indent="1"/>
      <protection locked="0"/>
    </xf>
    <xf numFmtId="0" fontId="61" fillId="0" borderId="0" xfId="3" applyFont="1" applyAlignment="1">
      <alignment horizontal="center" vertical="center"/>
    </xf>
    <xf numFmtId="0" fontId="69" fillId="0" borderId="59" xfId="3" applyFont="1" applyBorder="1" applyAlignment="1" applyProtection="1">
      <alignment horizontal="left"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58"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69" fillId="0" borderId="0" xfId="3" applyNumberFormat="1" applyFont="1" applyAlignment="1">
      <alignment horizontal="center"/>
    </xf>
    <xf numFmtId="165" fontId="69" fillId="0" borderId="0" xfId="3" applyNumberFormat="1" applyFont="1" applyAlignment="1" applyProtection="1">
      <alignment horizontal="center" vertical="center"/>
    </xf>
    <xf numFmtId="165" fontId="58" fillId="0" borderId="0" xfId="3" applyNumberFormat="1" applyFont="1" applyAlignment="1" applyProtection="1">
      <alignment horizontal="center" vertical="center"/>
    </xf>
    <xf numFmtId="0" fontId="58" fillId="0" borderId="0" xfId="3" applyNumberFormat="1" applyFont="1" applyAlignment="1" applyProtection="1">
      <alignment horizontal="center" vertic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3" fontId="59" fillId="0" borderId="77" xfId="3" applyNumberFormat="1" applyFont="1" applyBorder="1" applyAlignment="1" applyProtection="1">
      <alignment horizontal="right" indent="1"/>
      <protection locked="0"/>
    </xf>
    <xf numFmtId="0" fontId="58" fillId="0" borderId="0" xfId="3" applyFont="1" applyAlignment="1" applyProtection="1">
      <alignment horizontal="center"/>
    </xf>
    <xf numFmtId="0" fontId="58" fillId="0" borderId="78" xfId="3" applyFont="1" applyBorder="1" applyAlignment="1" applyProtection="1">
      <alignment horizontal="center"/>
    </xf>
    <xf numFmtId="0" fontId="66" fillId="0" borderId="0" xfId="3" applyFont="1" applyAlignment="1" applyProtection="1">
      <alignment horizontal="left" vertical="center" wrapText="1"/>
    </xf>
    <xf numFmtId="0" fontId="59" fillId="0" borderId="0" xfId="3" applyFont="1" applyBorder="1" applyAlignment="1" applyProtection="1">
      <alignment vertical="center" wrapText="1"/>
      <protection locked="0"/>
    </xf>
    <xf numFmtId="5" fontId="69" fillId="0" borderId="149" xfId="3" applyNumberFormat="1" applyFont="1" applyBorder="1" applyAlignment="1" applyProtection="1">
      <protection locked="0"/>
    </xf>
    <xf numFmtId="0" fontId="69" fillId="0" borderId="150" xfId="3" applyFont="1" applyBorder="1" applyAlignment="1" applyProtection="1">
      <protection locked="0"/>
    </xf>
    <xf numFmtId="0" fontId="66" fillId="0" borderId="0" xfId="3" applyFont="1" applyBorder="1" applyAlignment="1" applyProtection="1">
      <alignment horizontal="left" vertical="top" wrapText="1"/>
    </xf>
    <xf numFmtId="0" fontId="66" fillId="0" borderId="149" xfId="3" applyFont="1" applyBorder="1" applyAlignment="1" applyProtection="1">
      <alignment horizontal="left" vertical="center"/>
      <protection locked="0"/>
    </xf>
    <xf numFmtId="0" fontId="66" fillId="0" borderId="76" xfId="3" applyFont="1" applyBorder="1" applyAlignment="1" applyProtection="1">
      <alignment horizontal="left" vertical="center"/>
      <protection locked="0"/>
    </xf>
    <xf numFmtId="0" fontId="66" fillId="0" borderId="150" xfId="3" applyFont="1" applyBorder="1" applyAlignment="1" applyProtection="1">
      <alignment horizontal="left" vertical="center"/>
      <protection locked="0"/>
    </xf>
    <xf numFmtId="38" fontId="66" fillId="0" borderId="77"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6" fillId="0" borderId="149" xfId="3" applyFont="1" applyBorder="1" applyAlignment="1" applyProtection="1">
      <alignment horizontal="center"/>
    </xf>
    <xf numFmtId="0" fontId="66" fillId="0" borderId="76" xfId="3" applyFont="1" applyBorder="1" applyAlignment="1" applyProtection="1">
      <alignment horizontal="center"/>
    </xf>
    <xf numFmtId="0" fontId="66" fillId="0" borderId="150" xfId="3" applyFont="1" applyBorder="1" applyAlignment="1" applyProtection="1">
      <alignment horizontal="center"/>
    </xf>
    <xf numFmtId="38" fontId="66" fillId="0" borderId="149" xfId="3" applyNumberFormat="1" applyFont="1" applyBorder="1" applyAlignment="1" applyProtection="1">
      <alignment horizontal="right" vertical="center"/>
      <protection locked="0"/>
    </xf>
    <xf numFmtId="38" fontId="66" fillId="0" borderId="76" xfId="3" applyNumberFormat="1" applyFont="1" applyBorder="1" applyAlignment="1" applyProtection="1">
      <alignment horizontal="right" vertical="center"/>
      <protection locked="0"/>
    </xf>
    <xf numFmtId="38" fontId="66" fillId="0" borderId="150" xfId="3" applyNumberFormat="1" applyFont="1" applyBorder="1" applyAlignment="1" applyProtection="1">
      <alignment horizontal="right" vertical="center"/>
      <protection locked="0"/>
    </xf>
    <xf numFmtId="0" fontId="68" fillId="0" borderId="149" xfId="3" applyFont="1" applyBorder="1" applyAlignment="1" applyProtection="1">
      <alignment horizontal="center" vertical="center"/>
      <protection locked="0"/>
    </xf>
    <xf numFmtId="0" fontId="68" fillId="0" borderId="76" xfId="3" applyFont="1" applyBorder="1" applyAlignment="1" applyProtection="1">
      <alignment horizontal="center" vertical="center"/>
      <protection locked="0"/>
    </xf>
    <xf numFmtId="0" fontId="68" fillId="0" borderId="150" xfId="3" applyFont="1" applyBorder="1" applyAlignment="1" applyProtection="1">
      <alignment horizontal="center" vertical="center"/>
      <protection locked="0"/>
    </xf>
    <xf numFmtId="6" fontId="66" fillId="0" borderId="77" xfId="3" applyNumberFormat="1" applyFont="1" applyBorder="1" applyAlignment="1" applyProtection="1">
      <alignment horizontal="right" vertical="center"/>
      <protection locked="0"/>
    </xf>
    <xf numFmtId="6" fontId="66" fillId="0" borderId="149" xfId="3" applyNumberFormat="1" applyFont="1" applyBorder="1" applyProtection="1">
      <protection locked="0"/>
    </xf>
    <xf numFmtId="6" fontId="66" fillId="0" borderId="150"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44" xfId="3" applyFont="1" applyBorder="1" applyAlignment="1" applyProtection="1">
      <alignment horizontal="center" vertical="center" wrapText="1"/>
    </xf>
    <xf numFmtId="0" fontId="69" fillId="0" borderId="74" xfId="3" applyNumberFormat="1" applyFont="1" applyBorder="1" applyAlignment="1" applyProtection="1">
      <alignment horizontal="center"/>
      <protection locked="0"/>
    </xf>
    <xf numFmtId="0" fontId="69" fillId="0" borderId="74" xfId="3" applyFont="1" applyBorder="1" applyAlignment="1" applyProtection="1">
      <alignment horizontal="center"/>
      <protection locked="0"/>
    </xf>
    <xf numFmtId="0" fontId="69" fillId="0" borderId="74" xfId="3" applyFont="1" applyBorder="1" applyAlignment="1" applyProtection="1">
      <alignment horizontal="center" vertical="center"/>
      <protection locked="0"/>
    </xf>
    <xf numFmtId="0" fontId="58" fillId="0" borderId="0" xfId="3" applyNumberFormat="1" applyFont="1" applyAlignment="1" applyProtection="1">
      <alignment horizontal="center" vertical="center" wrapText="1"/>
    </xf>
  </cellXfs>
  <cellStyles count="3770">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38 2 2" xfId="3685" xr:uid="{2DE64C38-4467-47C8-B472-18B685FD7C3B}"/>
    <cellStyle name="12 4" xfId="37" xr:uid="{00000000-0005-0000-0000-000022000000}"/>
    <cellStyle name="12 5" xfId="38" xr:uid="{00000000-0005-0000-0000-000023000000}"/>
    <cellStyle name="12 6" xfId="39" xr:uid="{00000000-0005-0000-0000-000024000000}"/>
    <cellStyle name="12 7" xfId="40" xr:uid="{00000000-0005-0000-0000-000025000000}"/>
    <cellStyle name="12 8" xfId="41" xr:uid="{00000000-0005-0000-0000-000026000000}"/>
    <cellStyle name="12 9" xfId="44" xr:uid="{00000000-0005-0000-0000-000027000000}"/>
    <cellStyle name="12 9 2" xfId="285" xr:uid="{00000000-0005-0000-0000-000028000000}"/>
    <cellStyle name="12 9 2 2" xfId="2975" xr:uid="{00000000-0005-0000-0000-00002A000000}"/>
    <cellStyle name="12 9 2 2 2" xfId="3686" xr:uid="{FF23DE5F-0467-4A60-8058-C2E2F69D51CB}"/>
    <cellStyle name="12 9 3" xfId="284" xr:uid="{00000000-0005-0000-0000-000029000000}"/>
    <cellStyle name="12 9 4" xfId="2963" xr:uid="{00000000-0005-0000-0000-00002C000000}"/>
    <cellStyle name="12 9 4 2" xfId="3674" xr:uid="{05D21F4A-77E6-4761-8C0A-FFDAE92A2C84}"/>
    <cellStyle name="2" xfId="42" xr:uid="{00000000-0005-0000-0000-00002A000000}"/>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4" xfId="45" xr:uid="{00000000-0005-0000-0000-000064010000}"/>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6" xfId="47" xr:uid="{00000000-0005-0000-0000-00009E020000}"/>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8" xfId="49" xr:uid="{00000000-0005-0000-0000-0000D8030000}"/>
    <cellStyle name="9" xfId="50" xr:uid="{00000000-0005-0000-0000-0000D9030000}"/>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4" xfId="1234" xr:uid="{00000000-0005-0000-0000-0000EA030000}"/>
    <cellStyle name="Accent1 2 5" xfId="1235" xr:uid="{00000000-0005-0000-0000-0000EB030000}"/>
    <cellStyle name="Accent1 2 6" xfId="1236" xr:uid="{00000000-0005-0000-0000-0000EC030000}"/>
    <cellStyle name="Accent1 3" xfId="55" xr:uid="{00000000-0005-0000-0000-0000ED030000}"/>
    <cellStyle name="Accent1 3 2" xfId="1238" xr:uid="{00000000-0005-0000-0000-0000EE030000}"/>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8" xfId="1237" xr:uid="{00000000-0005-0000-0000-0000F4030000}"/>
    <cellStyle name="Accent1 4" xfId="56" xr:uid="{00000000-0005-0000-0000-0000F5030000}"/>
    <cellStyle name="Accent1 4 2" xfId="1245" xr:uid="{00000000-0005-0000-0000-0000F6030000}"/>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4" xfId="1288" xr:uid="{00000000-0005-0000-0000-000029040000}"/>
    <cellStyle name="Accent2 2 5" xfId="1289" xr:uid="{00000000-0005-0000-0000-00002A040000}"/>
    <cellStyle name="Accent2 2 6" xfId="1290" xr:uid="{00000000-0005-0000-0000-00002B040000}"/>
    <cellStyle name="Accent2 3" xfId="64" xr:uid="{00000000-0005-0000-0000-00002C040000}"/>
    <cellStyle name="Accent2 3 2" xfId="1292" xr:uid="{00000000-0005-0000-0000-00002D040000}"/>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8" xfId="1291" xr:uid="{00000000-0005-0000-0000-000033040000}"/>
    <cellStyle name="Accent2 4" xfId="65" xr:uid="{00000000-0005-0000-0000-000034040000}"/>
    <cellStyle name="Accent2 4 2" xfId="1299" xr:uid="{00000000-0005-0000-0000-00003504000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4" xfId="1342" xr:uid="{00000000-0005-0000-0000-000068040000}"/>
    <cellStyle name="Accent3 2 5" xfId="1343" xr:uid="{00000000-0005-0000-0000-000069040000}"/>
    <cellStyle name="Accent3 2 6" xfId="1344" xr:uid="{00000000-0005-0000-0000-00006A040000}"/>
    <cellStyle name="Accent3 3" xfId="73" xr:uid="{00000000-0005-0000-0000-00006B040000}"/>
    <cellStyle name="Accent3 3 2" xfId="1346" xr:uid="{00000000-0005-0000-0000-00006C04000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8" xfId="1345" xr:uid="{00000000-0005-0000-0000-000072040000}"/>
    <cellStyle name="Accent3 4" xfId="74" xr:uid="{00000000-0005-0000-0000-000073040000}"/>
    <cellStyle name="Accent3 4 2" xfId="1353" xr:uid="{00000000-0005-0000-0000-000074040000}"/>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4" xfId="1396" xr:uid="{00000000-0005-0000-0000-0000A7040000}"/>
    <cellStyle name="Accent4 2 5" xfId="1397" xr:uid="{00000000-0005-0000-0000-0000A8040000}"/>
    <cellStyle name="Accent4 2 6" xfId="1398" xr:uid="{00000000-0005-0000-0000-0000A9040000}"/>
    <cellStyle name="Accent4 3" xfId="82" xr:uid="{00000000-0005-0000-0000-0000AA040000}"/>
    <cellStyle name="Accent4 3 2" xfId="1400" xr:uid="{00000000-0005-0000-0000-0000AB040000}"/>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8" xfId="1399" xr:uid="{00000000-0005-0000-0000-0000B1040000}"/>
    <cellStyle name="Accent4 4" xfId="83" xr:uid="{00000000-0005-0000-0000-0000B2040000}"/>
    <cellStyle name="Accent4 4 2" xfId="1407" xr:uid="{00000000-0005-0000-0000-0000B304000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4" xfId="1450" xr:uid="{00000000-0005-0000-0000-0000E6040000}"/>
    <cellStyle name="Accent5 2 5" xfId="1451" xr:uid="{00000000-0005-0000-0000-0000E7040000}"/>
    <cellStyle name="Accent5 2 6" xfId="1452" xr:uid="{00000000-0005-0000-0000-0000E8040000}"/>
    <cellStyle name="Accent5 3" xfId="91" xr:uid="{00000000-0005-0000-0000-0000E9040000}"/>
    <cellStyle name="Accent5 3 2" xfId="1454" xr:uid="{00000000-0005-0000-0000-0000EA040000}"/>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8" xfId="1453" xr:uid="{00000000-0005-0000-0000-0000F0040000}"/>
    <cellStyle name="Accent5 4" xfId="92" xr:uid="{00000000-0005-0000-0000-0000F1040000}"/>
    <cellStyle name="Accent5 4 2" xfId="1461" xr:uid="{00000000-0005-0000-0000-0000F2040000}"/>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4" xfId="1504" xr:uid="{00000000-0005-0000-0000-000025050000}"/>
    <cellStyle name="Accent6 2 5" xfId="1505" xr:uid="{00000000-0005-0000-0000-000026050000}"/>
    <cellStyle name="Accent6 2 6" xfId="1506" xr:uid="{00000000-0005-0000-0000-000027050000}"/>
    <cellStyle name="Accent6 3" xfId="100" xr:uid="{00000000-0005-0000-0000-000028050000}"/>
    <cellStyle name="Accent6 3 2" xfId="1508" xr:uid="{00000000-0005-0000-0000-000029050000}"/>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8" xfId="1507" xr:uid="{00000000-0005-0000-0000-00002F050000}"/>
    <cellStyle name="Accent6 4" xfId="101" xr:uid="{00000000-0005-0000-0000-000030050000}"/>
    <cellStyle name="Accent6 4 2" xfId="1515" xr:uid="{00000000-0005-0000-0000-000031050000}"/>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4" xfId="1558" xr:uid="{00000000-0005-0000-0000-000061050000}"/>
    <cellStyle name="Bad 2 5" xfId="1559" xr:uid="{00000000-0005-0000-0000-000062050000}"/>
    <cellStyle name="Bad 2 6" xfId="1560" xr:uid="{00000000-0005-0000-0000-000063050000}"/>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8" xfId="1561" xr:uid="{00000000-0005-0000-0000-00006B050000}"/>
    <cellStyle name="Bad 4" xfId="107" xr:uid="{00000000-0005-0000-0000-00006C050000}"/>
    <cellStyle name="Bad 4 2" xfId="1569" xr:uid="{00000000-0005-0000-0000-00006D050000}"/>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3" xfId="1601" xr:uid="{00000000-0005-0000-0000-000095050000}"/>
    <cellStyle name="Calculation 10 3 2" xfId="2604" xr:uid="{00000000-0005-0000-0000-000096050000}"/>
    <cellStyle name="Calculation 10 3 2 2" xfId="3249" xr:uid="{00000000-0005-0000-0000-00009B050000}"/>
    <cellStyle name="Calculation 10 4" xfId="1602" xr:uid="{00000000-0005-0000-0000-000097050000}"/>
    <cellStyle name="Calculation 10 4 2" xfId="2605" xr:uid="{00000000-0005-0000-0000-000098050000}"/>
    <cellStyle name="Calculation 10 4 2 2" xfId="3248" xr:uid="{00000000-0005-0000-0000-00009E050000}"/>
    <cellStyle name="Calculation 10 5" xfId="1603" xr:uid="{00000000-0005-0000-0000-000099050000}"/>
    <cellStyle name="Calculation 10 5 2" xfId="2606" xr:uid="{00000000-0005-0000-0000-00009A050000}"/>
    <cellStyle name="Calculation 10 5 2 2" xfId="3247" xr:uid="{00000000-0005-0000-0000-0000A1050000}"/>
    <cellStyle name="Calculation 10 6" xfId="1604" xr:uid="{00000000-0005-0000-0000-00009B050000}"/>
    <cellStyle name="Calculation 10 6 2" xfId="2607" xr:uid="{00000000-0005-0000-0000-00009C050000}"/>
    <cellStyle name="Calculation 10 6 2 2" xfId="3246" xr:uid="{00000000-0005-0000-0000-0000A4050000}"/>
    <cellStyle name="Calculation 11 2" xfId="1605" xr:uid="{00000000-0005-0000-0000-00009D050000}"/>
    <cellStyle name="Calculation 11 2 2" xfId="2608" xr:uid="{00000000-0005-0000-0000-00009E050000}"/>
    <cellStyle name="Calculation 11 2 2 2" xfId="3245" xr:uid="{00000000-0005-0000-0000-0000A7050000}"/>
    <cellStyle name="Calculation 11 3" xfId="1606" xr:uid="{00000000-0005-0000-0000-00009F050000}"/>
    <cellStyle name="Calculation 11 3 2" xfId="2609" xr:uid="{00000000-0005-0000-0000-0000A0050000}"/>
    <cellStyle name="Calculation 11 3 2 2" xfId="3244" xr:uid="{00000000-0005-0000-0000-0000AA050000}"/>
    <cellStyle name="Calculation 11 4" xfId="1607" xr:uid="{00000000-0005-0000-0000-0000A1050000}"/>
    <cellStyle name="Calculation 11 4 2" xfId="2610" xr:uid="{00000000-0005-0000-0000-0000A2050000}"/>
    <cellStyle name="Calculation 11 4 2 2" xfId="3243" xr:uid="{00000000-0005-0000-0000-0000AD050000}"/>
    <cellStyle name="Calculation 11 5" xfId="1608" xr:uid="{00000000-0005-0000-0000-0000A3050000}"/>
    <cellStyle name="Calculation 11 5 2" xfId="2611" xr:uid="{00000000-0005-0000-0000-0000A4050000}"/>
    <cellStyle name="Calculation 11 5 2 2" xfId="3242" xr:uid="{00000000-0005-0000-0000-0000B0050000}"/>
    <cellStyle name="Calculation 11 6" xfId="1609" xr:uid="{00000000-0005-0000-0000-0000A5050000}"/>
    <cellStyle name="Calculation 11 6 2" xfId="2612" xr:uid="{00000000-0005-0000-0000-0000A6050000}"/>
    <cellStyle name="Calculation 11 6 2 2" xfId="3241" xr:uid="{00000000-0005-0000-0000-0000B3050000}"/>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3" xfId="1611" xr:uid="{00000000-0005-0000-0000-0000AA050000}"/>
    <cellStyle name="Calculation 2 3 2" xfId="2614" xr:uid="{00000000-0005-0000-0000-0000AB050000}"/>
    <cellStyle name="Calculation 2 3 2 2" xfId="3239" xr:uid="{00000000-0005-0000-0000-0000BA050000}"/>
    <cellStyle name="Calculation 2 4" xfId="1612" xr:uid="{00000000-0005-0000-0000-0000AC050000}"/>
    <cellStyle name="Calculation 2 4 2" xfId="2615" xr:uid="{00000000-0005-0000-0000-0000AD050000}"/>
    <cellStyle name="Calculation 2 4 2 2" xfId="3238" xr:uid="{00000000-0005-0000-0000-0000BD050000}"/>
    <cellStyle name="Calculation 2 5" xfId="1613" xr:uid="{00000000-0005-0000-0000-0000AE050000}"/>
    <cellStyle name="Calculation 2 5 2" xfId="2616" xr:uid="{00000000-0005-0000-0000-0000AF050000}"/>
    <cellStyle name="Calculation 2 5 2 2" xfId="3237" xr:uid="{00000000-0005-0000-0000-0000C0050000}"/>
    <cellStyle name="Calculation 2 6" xfId="1614" xr:uid="{00000000-0005-0000-0000-0000B0050000}"/>
    <cellStyle name="Calculation 2 6 2" xfId="2617" xr:uid="{00000000-0005-0000-0000-0000B1050000}"/>
    <cellStyle name="Calculation 2 6 2 2" xfId="3236" xr:uid="{00000000-0005-0000-0000-0000C3050000}"/>
    <cellStyle name="Calculation 2 7" xfId="2554" xr:uid="{00000000-0005-0000-0000-0000B2050000}"/>
    <cellStyle name="Calculation 2 7 2" xfId="3299" xr:uid="{00000000-0005-0000-0000-0000C5050000}"/>
    <cellStyle name="Calculation 3" xfId="115" xr:uid="{00000000-0005-0000-0000-0000B3050000}"/>
    <cellStyle name="Calculation 3 2" xfId="1616" xr:uid="{00000000-0005-0000-0000-0000B4050000}"/>
    <cellStyle name="Calculation 3 2 2" xfId="2619" xr:uid="{00000000-0005-0000-0000-0000B5050000}"/>
    <cellStyle name="Calculation 3 2 2 2" xfId="3234" xr:uid="{00000000-0005-0000-0000-0000C9050000}"/>
    <cellStyle name="Calculation 3 3" xfId="1617" xr:uid="{00000000-0005-0000-0000-0000B6050000}"/>
    <cellStyle name="Calculation 3 3 2" xfId="2620" xr:uid="{00000000-0005-0000-0000-0000B7050000}"/>
    <cellStyle name="Calculation 3 3 2 2" xfId="3233" xr:uid="{00000000-0005-0000-0000-0000CC050000}"/>
    <cellStyle name="Calculation 3 4" xfId="1618" xr:uid="{00000000-0005-0000-0000-0000B8050000}"/>
    <cellStyle name="Calculation 3 4 2" xfId="2621" xr:uid="{00000000-0005-0000-0000-0000B9050000}"/>
    <cellStyle name="Calculation 3 4 2 2" xfId="3232" xr:uid="{00000000-0005-0000-0000-0000CF050000}"/>
    <cellStyle name="Calculation 3 5" xfId="1619" xr:uid="{00000000-0005-0000-0000-0000BA050000}"/>
    <cellStyle name="Calculation 3 5 2" xfId="2622" xr:uid="{00000000-0005-0000-0000-0000BB050000}"/>
    <cellStyle name="Calculation 3 5 2 2" xfId="3231" xr:uid="{00000000-0005-0000-0000-0000D2050000}"/>
    <cellStyle name="Calculation 3 6" xfId="1620" xr:uid="{00000000-0005-0000-0000-0000BC050000}"/>
    <cellStyle name="Calculation 3 6 2" xfId="2623" xr:uid="{00000000-0005-0000-0000-0000BD050000}"/>
    <cellStyle name="Calculation 3 6 2 2" xfId="3230" xr:uid="{00000000-0005-0000-0000-0000D5050000}"/>
    <cellStyle name="Calculation 3 7" xfId="1621" xr:uid="{00000000-0005-0000-0000-0000BE050000}"/>
    <cellStyle name="Calculation 3 7 2" xfId="2624" xr:uid="{00000000-0005-0000-0000-0000BF050000}"/>
    <cellStyle name="Calculation 3 7 2 2" xfId="3229" xr:uid="{00000000-0005-0000-0000-0000D8050000}"/>
    <cellStyle name="Calculation 3 8" xfId="1615" xr:uid="{00000000-0005-0000-0000-0000C0050000}"/>
    <cellStyle name="Calculation 3 8 2" xfId="2618" xr:uid="{00000000-0005-0000-0000-0000C1050000}"/>
    <cellStyle name="Calculation 3 8 2 2" xfId="3235" xr:uid="{00000000-0005-0000-0000-0000DB050000}"/>
    <cellStyle name="Calculation 3 9" xfId="2555" xr:uid="{00000000-0005-0000-0000-0000C2050000}"/>
    <cellStyle name="Calculation 3 9 2" xfId="3298" xr:uid="{00000000-0005-0000-0000-0000DD050000}"/>
    <cellStyle name="Calculation 4" xfId="116" xr:uid="{00000000-0005-0000-0000-0000C3050000}"/>
    <cellStyle name="Calculation 4 2" xfId="1623" xr:uid="{00000000-0005-0000-0000-0000C4050000}"/>
    <cellStyle name="Calculation 4 2 2" xfId="2626" xr:uid="{00000000-0005-0000-0000-0000C5050000}"/>
    <cellStyle name="Calculation 4 2 2 2" xfId="3227" xr:uid="{00000000-0005-0000-0000-0000E1050000}"/>
    <cellStyle name="Calculation 4 3" xfId="1624" xr:uid="{00000000-0005-0000-0000-0000C6050000}"/>
    <cellStyle name="Calculation 4 3 2" xfId="2627" xr:uid="{00000000-0005-0000-0000-0000C7050000}"/>
    <cellStyle name="Calculation 4 3 2 2" xfId="3226" xr:uid="{00000000-0005-0000-0000-0000E4050000}"/>
    <cellStyle name="Calculation 4 4" xfId="1625" xr:uid="{00000000-0005-0000-0000-0000C8050000}"/>
    <cellStyle name="Calculation 4 4 2" xfId="2628" xr:uid="{00000000-0005-0000-0000-0000C9050000}"/>
    <cellStyle name="Calculation 4 4 2 2" xfId="3225" xr:uid="{00000000-0005-0000-0000-0000E7050000}"/>
    <cellStyle name="Calculation 4 5" xfId="1626" xr:uid="{00000000-0005-0000-0000-0000CA050000}"/>
    <cellStyle name="Calculation 4 5 2" xfId="2629" xr:uid="{00000000-0005-0000-0000-0000CB050000}"/>
    <cellStyle name="Calculation 4 5 2 2" xfId="3224" xr:uid="{00000000-0005-0000-0000-0000EA050000}"/>
    <cellStyle name="Calculation 4 6" xfId="1627" xr:uid="{00000000-0005-0000-0000-0000CC050000}"/>
    <cellStyle name="Calculation 4 6 2" xfId="2630" xr:uid="{00000000-0005-0000-0000-0000CD050000}"/>
    <cellStyle name="Calculation 4 6 2 2" xfId="3223" xr:uid="{00000000-0005-0000-0000-0000ED050000}"/>
    <cellStyle name="Calculation 4 7" xfId="1628" xr:uid="{00000000-0005-0000-0000-0000CE050000}"/>
    <cellStyle name="Calculation 4 7 2" xfId="2631" xr:uid="{00000000-0005-0000-0000-0000CF050000}"/>
    <cellStyle name="Calculation 4 7 2 2" xfId="3222" xr:uid="{00000000-0005-0000-0000-0000F0050000}"/>
    <cellStyle name="Calculation 4 8" xfId="1622" xr:uid="{00000000-0005-0000-0000-0000D0050000}"/>
    <cellStyle name="Calculation 4 8 2" xfId="2625" xr:uid="{00000000-0005-0000-0000-0000D1050000}"/>
    <cellStyle name="Calculation 4 8 2 2" xfId="3228" xr:uid="{00000000-0005-0000-0000-0000F3050000}"/>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3" xfId="1630" xr:uid="{00000000-0005-0000-0000-0000D6050000}"/>
    <cellStyle name="Calculation 5 3 2" xfId="2633" xr:uid="{00000000-0005-0000-0000-0000D7050000}"/>
    <cellStyle name="Calculation 5 3 2 2" xfId="3220" xr:uid="{00000000-0005-0000-0000-0000FC050000}"/>
    <cellStyle name="Calculation 5 4" xfId="1631" xr:uid="{00000000-0005-0000-0000-0000D8050000}"/>
    <cellStyle name="Calculation 5 4 2" xfId="2634" xr:uid="{00000000-0005-0000-0000-0000D9050000}"/>
    <cellStyle name="Calculation 5 4 2 2" xfId="3219" xr:uid="{00000000-0005-0000-0000-0000FF050000}"/>
    <cellStyle name="Calculation 5 5" xfId="1632" xr:uid="{00000000-0005-0000-0000-0000DA050000}"/>
    <cellStyle name="Calculation 5 5 2" xfId="2635" xr:uid="{00000000-0005-0000-0000-0000DB050000}"/>
    <cellStyle name="Calculation 5 5 2 2" xfId="3218" xr:uid="{00000000-0005-0000-0000-000002060000}"/>
    <cellStyle name="Calculation 5 6" xfId="1633" xr:uid="{00000000-0005-0000-0000-0000DC050000}"/>
    <cellStyle name="Calculation 5 6 2" xfId="2636" xr:uid="{00000000-0005-0000-0000-0000DD050000}"/>
    <cellStyle name="Calculation 5 6 2 2" xfId="3217" xr:uid="{00000000-0005-0000-0000-000005060000}"/>
    <cellStyle name="Calculation 5 7" xfId="2557" xr:uid="{00000000-0005-0000-0000-0000DE050000}"/>
    <cellStyle name="Calculation 5 7 2" xfId="3296" xr:uid="{00000000-0005-0000-0000-000007060000}"/>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3" xfId="1635" xr:uid="{00000000-0005-0000-0000-0000E2050000}"/>
    <cellStyle name="Calculation 6 3 2" xfId="2638" xr:uid="{00000000-0005-0000-0000-0000E3050000}"/>
    <cellStyle name="Calculation 6 3 2 2" xfId="3215" xr:uid="{00000000-0005-0000-0000-00000E060000}"/>
    <cellStyle name="Calculation 6 4" xfId="1636" xr:uid="{00000000-0005-0000-0000-0000E4050000}"/>
    <cellStyle name="Calculation 6 4 2" xfId="2639" xr:uid="{00000000-0005-0000-0000-0000E5050000}"/>
    <cellStyle name="Calculation 6 4 2 2" xfId="3214" xr:uid="{00000000-0005-0000-0000-000011060000}"/>
    <cellStyle name="Calculation 6 5" xfId="1637" xr:uid="{00000000-0005-0000-0000-0000E6050000}"/>
    <cellStyle name="Calculation 6 5 2" xfId="2640" xr:uid="{00000000-0005-0000-0000-0000E7050000}"/>
    <cellStyle name="Calculation 6 5 2 2" xfId="3213" xr:uid="{00000000-0005-0000-0000-000014060000}"/>
    <cellStyle name="Calculation 6 6" xfId="1638" xr:uid="{00000000-0005-0000-0000-0000E8050000}"/>
    <cellStyle name="Calculation 6 6 2" xfId="2641" xr:uid="{00000000-0005-0000-0000-0000E9050000}"/>
    <cellStyle name="Calculation 6 6 2 2" xfId="3212" xr:uid="{00000000-0005-0000-0000-000017060000}"/>
    <cellStyle name="Calculation 6 7" xfId="2558" xr:uid="{00000000-0005-0000-0000-0000EA050000}"/>
    <cellStyle name="Calculation 6 7 2" xfId="3295" xr:uid="{00000000-0005-0000-0000-000019060000}"/>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3" xfId="1640" xr:uid="{00000000-0005-0000-0000-0000EE050000}"/>
    <cellStyle name="Calculation 7 3 2" xfId="2643" xr:uid="{00000000-0005-0000-0000-0000EF050000}"/>
    <cellStyle name="Calculation 7 3 2 2" xfId="3210" xr:uid="{00000000-0005-0000-0000-000020060000}"/>
    <cellStyle name="Calculation 7 4" xfId="1641" xr:uid="{00000000-0005-0000-0000-0000F0050000}"/>
    <cellStyle name="Calculation 7 4 2" xfId="2644" xr:uid="{00000000-0005-0000-0000-0000F1050000}"/>
    <cellStyle name="Calculation 7 4 2 2" xfId="3209" xr:uid="{00000000-0005-0000-0000-000023060000}"/>
    <cellStyle name="Calculation 7 5" xfId="1642" xr:uid="{00000000-0005-0000-0000-0000F2050000}"/>
    <cellStyle name="Calculation 7 5 2" xfId="2645" xr:uid="{00000000-0005-0000-0000-0000F3050000}"/>
    <cellStyle name="Calculation 7 5 2 2" xfId="3208" xr:uid="{00000000-0005-0000-0000-000026060000}"/>
    <cellStyle name="Calculation 7 6" xfId="1643" xr:uid="{00000000-0005-0000-0000-0000F4050000}"/>
    <cellStyle name="Calculation 7 6 2" xfId="2646" xr:uid="{00000000-0005-0000-0000-0000F5050000}"/>
    <cellStyle name="Calculation 7 6 2 2" xfId="3207" xr:uid="{00000000-0005-0000-0000-000029060000}"/>
    <cellStyle name="Calculation 7 7" xfId="2559" xr:uid="{00000000-0005-0000-0000-0000F6050000}"/>
    <cellStyle name="Calculation 7 7 2" xfId="3294" xr:uid="{00000000-0005-0000-0000-00002B060000}"/>
    <cellStyle name="Calculation 8 2" xfId="1644" xr:uid="{00000000-0005-0000-0000-0000F7050000}"/>
    <cellStyle name="Calculation 8 2 2" xfId="2647" xr:uid="{00000000-0005-0000-0000-0000F8050000}"/>
    <cellStyle name="Calculation 8 2 2 2" xfId="3206" xr:uid="{00000000-0005-0000-0000-00002E060000}"/>
    <cellStyle name="Calculation 8 3" xfId="1645" xr:uid="{00000000-0005-0000-0000-0000F9050000}"/>
    <cellStyle name="Calculation 8 3 2" xfId="2648" xr:uid="{00000000-0005-0000-0000-0000FA050000}"/>
    <cellStyle name="Calculation 8 3 2 2" xfId="3205" xr:uid="{00000000-0005-0000-0000-000031060000}"/>
    <cellStyle name="Calculation 8 4" xfId="1646" xr:uid="{00000000-0005-0000-0000-0000FB050000}"/>
    <cellStyle name="Calculation 8 4 2" xfId="2649" xr:uid="{00000000-0005-0000-0000-0000FC050000}"/>
    <cellStyle name="Calculation 8 4 2 2" xfId="3204" xr:uid="{00000000-0005-0000-0000-000034060000}"/>
    <cellStyle name="Calculation 8 5" xfId="1647" xr:uid="{00000000-0005-0000-0000-0000FD050000}"/>
    <cellStyle name="Calculation 8 5 2" xfId="2650" xr:uid="{00000000-0005-0000-0000-0000FE050000}"/>
    <cellStyle name="Calculation 8 5 2 2" xfId="3203" xr:uid="{00000000-0005-0000-0000-000037060000}"/>
    <cellStyle name="Calculation 8 6" xfId="1648" xr:uid="{00000000-0005-0000-0000-0000FF050000}"/>
    <cellStyle name="Calculation 8 6 2" xfId="2651" xr:uid="{00000000-0005-0000-0000-000000060000}"/>
    <cellStyle name="Calculation 8 6 2 2" xfId="3202" xr:uid="{00000000-0005-0000-0000-00003A060000}"/>
    <cellStyle name="Calculation 9 2" xfId="1649" xr:uid="{00000000-0005-0000-0000-000001060000}"/>
    <cellStyle name="Calculation 9 2 2" xfId="2652" xr:uid="{00000000-0005-0000-0000-000002060000}"/>
    <cellStyle name="Calculation 9 2 2 2" xfId="3201" xr:uid="{00000000-0005-0000-0000-00003D060000}"/>
    <cellStyle name="Calculation 9 3" xfId="1650" xr:uid="{00000000-0005-0000-0000-000003060000}"/>
    <cellStyle name="Calculation 9 3 2" xfId="2653" xr:uid="{00000000-0005-0000-0000-000004060000}"/>
    <cellStyle name="Calculation 9 3 2 2" xfId="3200" xr:uid="{00000000-0005-0000-0000-000040060000}"/>
    <cellStyle name="Calculation 9 4" xfId="1651" xr:uid="{00000000-0005-0000-0000-000005060000}"/>
    <cellStyle name="Calculation 9 4 2" xfId="2654" xr:uid="{00000000-0005-0000-0000-000006060000}"/>
    <cellStyle name="Calculation 9 4 2 2" xfId="3199" xr:uid="{00000000-0005-0000-0000-000043060000}"/>
    <cellStyle name="Calculation 9 5" xfId="1652" xr:uid="{00000000-0005-0000-0000-000007060000}"/>
    <cellStyle name="Calculation 9 5 2" xfId="2655" xr:uid="{00000000-0005-0000-0000-000008060000}"/>
    <cellStyle name="Calculation 9 5 2 2" xfId="3198" xr:uid="{00000000-0005-0000-0000-000046060000}"/>
    <cellStyle name="Calculation 9 6" xfId="1653" xr:uid="{00000000-0005-0000-0000-000009060000}"/>
    <cellStyle name="Calculation 9 6 2" xfId="2656" xr:uid="{00000000-0005-0000-0000-00000A060000}"/>
    <cellStyle name="Calculation 9 6 2 2" xfId="3197" xr:uid="{00000000-0005-0000-0000-000049060000}"/>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4" xfId="1666" xr:uid="{00000000-0005-0000-0000-000018060000}"/>
    <cellStyle name="Check Cell 2 5" xfId="1667" xr:uid="{00000000-0005-0000-0000-000019060000}"/>
    <cellStyle name="Check Cell 2 6" xfId="1668" xr:uid="{00000000-0005-0000-0000-00001A060000}"/>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8" xfId="1669" xr:uid="{00000000-0005-0000-0000-000022060000}"/>
    <cellStyle name="Check Cell 4" xfId="122" xr:uid="{00000000-0005-0000-0000-000023060000}"/>
    <cellStyle name="Check Cell 4 2" xfId="1677" xr:uid="{00000000-0005-0000-0000-000024060000}"/>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8" xfId="1708" xr:uid="{00000000-0005-0000-0000-00004A060000}"/>
    <cellStyle name="Comma 19" xfId="1709" xr:uid="{00000000-0005-0000-0000-00004B060000}"/>
    <cellStyle name="Comma 19 2" xfId="1710" xr:uid="{00000000-0005-0000-0000-00004C060000}"/>
    <cellStyle name="Comma 2" xfId="128" xr:uid="{00000000-0005-0000-0000-00004D060000}"/>
    <cellStyle name="Comma 2 2" xfId="129" xr:uid="{00000000-0005-0000-0000-00004E060000}"/>
    <cellStyle name="Comma 2 3" xfId="130" xr:uid="{00000000-0005-0000-0000-00004F060000}"/>
    <cellStyle name="Comma 2 3 2" xfId="1711" xr:uid="{00000000-0005-0000-0000-000050060000}"/>
    <cellStyle name="Comma 2 4" xfId="131" xr:uid="{00000000-0005-0000-0000-000051060000}"/>
    <cellStyle name="Comma 2 4 2" xfId="2535" xr:uid="{00000000-0005-0000-0000-000052060000}"/>
    <cellStyle name="Comma 2 4 3" xfId="2964" xr:uid="{00000000-0005-0000-0000-000092060000}"/>
    <cellStyle name="Comma 2 4 3 2" xfId="3675" xr:uid="{99A4FCA0-8311-4C86-BC50-028C71CD6E3F}"/>
    <cellStyle name="Comma 20" xfId="1712" xr:uid="{00000000-0005-0000-0000-000053060000}"/>
    <cellStyle name="Comma 20 2" xfId="1713" xr:uid="{00000000-0005-0000-0000-000054060000}"/>
    <cellStyle name="Comma 21" xfId="1714" xr:uid="{00000000-0005-0000-0000-000055060000}"/>
    <cellStyle name="Comma 21 2" xfId="1715" xr:uid="{00000000-0005-0000-0000-000056060000}"/>
    <cellStyle name="Comma 22" xfId="1716" xr:uid="{00000000-0005-0000-0000-000057060000}"/>
    <cellStyle name="Comma 22 2" xfId="1717" xr:uid="{00000000-0005-0000-0000-000058060000}"/>
    <cellStyle name="Comma 23" xfId="1718" xr:uid="{00000000-0005-0000-0000-000059060000}"/>
    <cellStyle name="Comma 23 2" xfId="1719" xr:uid="{00000000-0005-0000-0000-00005A060000}"/>
    <cellStyle name="Comma 24" xfId="1720" xr:uid="{00000000-0005-0000-0000-00005B060000}"/>
    <cellStyle name="Comma 24 2" xfId="1721" xr:uid="{00000000-0005-0000-0000-00005C060000}"/>
    <cellStyle name="Comma 27" xfId="1722" xr:uid="{00000000-0005-0000-0000-00005D060000}"/>
    <cellStyle name="Comma 27 2" xfId="1723" xr:uid="{00000000-0005-0000-0000-00005E060000}"/>
    <cellStyle name="Comma 28" xfId="1724" xr:uid="{00000000-0005-0000-0000-00005F060000}"/>
    <cellStyle name="Comma 28 2" xfId="1725" xr:uid="{00000000-0005-0000-0000-000060060000}"/>
    <cellStyle name="Comma 3" xfId="132" xr:uid="{00000000-0005-0000-0000-000061060000}"/>
    <cellStyle name="Comma 3 10" xfId="2923" xr:uid="{00000000-0005-0000-0000-0000A1060000}"/>
    <cellStyle name="Comma 3 10 2" xfId="3634" xr:uid="{02995DE6-8C58-4081-AF5A-BB49D0135D4B}"/>
    <cellStyle name="Comma 3 11" xfId="3494" xr:uid="{CFDC1B8F-1FF3-44D6-BA87-91DC1E63845B}"/>
    <cellStyle name="Comma 3 12" xfId="3544" xr:uid="{361BB2E1-2762-43E7-B14A-715CC8081C5F}"/>
    <cellStyle name="Comma 3 2" xfId="133" xr:uid="{00000000-0005-0000-0000-000062060000}"/>
    <cellStyle name="Comma 3 3" xfId="134" xr:uid="{00000000-0005-0000-0000-000063060000}"/>
    <cellStyle name="Comma 3 3 2" xfId="2534" xr:uid="{00000000-0005-0000-0000-000064060000}"/>
    <cellStyle name="Comma 3 3 3" xfId="2966" xr:uid="{00000000-0005-0000-0000-0000A5060000}"/>
    <cellStyle name="Comma 3 3 3 2" xfId="3677" xr:uid="{6DE160A6-D45F-4526-A3AD-B1567A63FBF9}"/>
    <cellStyle name="Comma 3 4" xfId="1726" xr:uid="{00000000-0005-0000-0000-000065060000}"/>
    <cellStyle name="Comma 3 4 2" xfId="2850" xr:uid="{00000000-0005-0000-0000-000066060000}"/>
    <cellStyle name="Comma 3 4 2 2" xfId="2897" xr:uid="{00000000-0005-0000-0000-000066060000}"/>
    <cellStyle name="Comma 3 4 2 2 2" xfId="2998" xr:uid="{00000000-0005-0000-0000-0000A8060000}"/>
    <cellStyle name="Comma 3 4 2 2 2 2" xfId="3709" xr:uid="{DB412E7D-A209-4956-9446-4BA7CF677F06}"/>
    <cellStyle name="Comma 3 4 2 2 3" xfId="3608" xr:uid="{1542C19B-DCB5-42DE-9054-08EC81F96590}"/>
    <cellStyle name="Comma 3 4 2 3" xfId="3442" xr:uid="{00000000-0005-0000-0000-0000A9060000}"/>
    <cellStyle name="Comma 3 4 2 3 2" xfId="3749" xr:uid="{B2039F87-9196-4705-BD2C-D18A5DB566A7}"/>
    <cellStyle name="Comma 3 4 2 4" xfId="2942" xr:uid="{00000000-0005-0000-0000-0000A7060000}"/>
    <cellStyle name="Comma 3 4 2 4 2" xfId="3653" xr:uid="{0470815B-0E73-4EF9-AA77-7CB4F9AA7DC1}"/>
    <cellStyle name="Comma 3 4 2 5" xfId="3513" xr:uid="{6C122EF4-53D6-4F36-9969-707F7C275757}"/>
    <cellStyle name="Comma 3 4 2 6" xfId="3563" xr:uid="{D86001A8-EC69-4270-AAEE-6C3045AC4925}"/>
    <cellStyle name="Comma 3 4 3" xfId="2880" xr:uid="{00000000-0005-0000-0000-000065060000}"/>
    <cellStyle name="Comma 3 4 3 2" xfId="2976" xr:uid="{00000000-0005-0000-0000-0000AA060000}"/>
    <cellStyle name="Comma 3 4 3 2 2" xfId="3687" xr:uid="{B7B218F6-BFF1-4314-AB1B-2A23C7A3344C}"/>
    <cellStyle name="Comma 3 4 3 3" xfId="3591" xr:uid="{0182FA92-9F0E-449D-8B1C-1E1037B972EB}"/>
    <cellStyle name="Comma 3 4 4" xfId="3418" xr:uid="{00000000-0005-0000-0000-0000AB060000}"/>
    <cellStyle name="Comma 3 4 4 2" xfId="3732" xr:uid="{025411D2-ABC2-4941-8077-77F9A92825D2}"/>
    <cellStyle name="Comma 3 4 5" xfId="2925" xr:uid="{00000000-0005-0000-0000-0000A6060000}"/>
    <cellStyle name="Comma 3 4 5 2" xfId="3636" xr:uid="{0FE2CC23-1AC8-4D9E-A854-1F67182705DB}"/>
    <cellStyle name="Comma 3 4 6" xfId="3496" xr:uid="{21D000F6-4932-4D18-BEC5-BC8F77A10199}"/>
    <cellStyle name="Comma 3 4 7" xfId="3546" xr:uid="{0763D965-9037-4AEE-BC1E-32BD4BD81052}"/>
    <cellStyle name="Comma 3 5" xfId="2531" xr:uid="{00000000-0005-0000-0000-000067060000}"/>
    <cellStyle name="Comma 3 5 2" xfId="2854" xr:uid="{00000000-0005-0000-0000-000068060000}"/>
    <cellStyle name="Comma 3 5 2 2" xfId="2901" xr:uid="{00000000-0005-0000-0000-000068060000}"/>
    <cellStyle name="Comma 3 5 2 2 2" xfId="3002" xr:uid="{00000000-0005-0000-0000-0000AE060000}"/>
    <cellStyle name="Comma 3 5 2 2 2 2" xfId="3713" xr:uid="{0A136CBF-CC55-4F68-A460-90C816A13C37}"/>
    <cellStyle name="Comma 3 5 2 2 3" xfId="3612" xr:uid="{23144971-C6F4-475F-93A1-9584B1276306}"/>
    <cellStyle name="Comma 3 5 2 3" xfId="3446" xr:uid="{00000000-0005-0000-0000-0000AF060000}"/>
    <cellStyle name="Comma 3 5 2 3 2" xfId="3753" xr:uid="{30836F3C-D12A-48E2-8291-599ED5A3A154}"/>
    <cellStyle name="Comma 3 5 2 4" xfId="2946" xr:uid="{00000000-0005-0000-0000-0000AD060000}"/>
    <cellStyle name="Comma 3 5 2 4 2" xfId="3657" xr:uid="{0C8BA732-7432-4904-B609-A12A6EA9CAF7}"/>
    <cellStyle name="Comma 3 5 2 5" xfId="3517" xr:uid="{DB7E392C-56AE-4920-A4F1-1AC73BCB5CE3}"/>
    <cellStyle name="Comma 3 5 2 6" xfId="3567" xr:uid="{053715A6-90A4-47EF-A29A-AF6F209BA658}"/>
    <cellStyle name="Comma 3 5 3" xfId="2884" xr:uid="{00000000-0005-0000-0000-000067060000}"/>
    <cellStyle name="Comma 3 5 3 2" xfId="2985" xr:uid="{00000000-0005-0000-0000-0000B0060000}"/>
    <cellStyle name="Comma 3 5 3 2 2" xfId="3696" xr:uid="{3454D1F4-96F0-4E04-B473-E42E9F871275}"/>
    <cellStyle name="Comma 3 5 3 3" xfId="3595" xr:uid="{41AEDC3F-7AF8-4AD0-88A8-1810CD30074D}"/>
    <cellStyle name="Comma 3 5 4" xfId="3428" xr:uid="{00000000-0005-0000-0000-0000B1060000}"/>
    <cellStyle name="Comma 3 5 4 2" xfId="3736" xr:uid="{D4784D17-D5D6-45EC-ADE3-B5E9024F2DA7}"/>
    <cellStyle name="Comma 3 5 5" xfId="2929" xr:uid="{00000000-0005-0000-0000-0000AC060000}"/>
    <cellStyle name="Comma 3 5 5 2" xfId="3640" xr:uid="{CDD4451C-B28A-4721-A900-907DEF42D9A3}"/>
    <cellStyle name="Comma 3 5 6" xfId="3500" xr:uid="{57ABC031-0B8D-4691-AB69-AE2C203320D2}"/>
    <cellStyle name="Comma 3 5 7" xfId="3550" xr:uid="{0762BD96-5655-40CD-A66A-DD5EF6276AD1}"/>
    <cellStyle name="Comma 3 6" xfId="2540" xr:uid="{00000000-0005-0000-0000-000069060000}"/>
    <cellStyle name="Comma 3 6 2" xfId="2858" xr:uid="{00000000-0005-0000-0000-00006A060000}"/>
    <cellStyle name="Comma 3 6 2 2" xfId="2905" xr:uid="{00000000-0005-0000-0000-00006A060000}"/>
    <cellStyle name="Comma 3 6 2 2 2" xfId="3006" xr:uid="{00000000-0005-0000-0000-0000B4060000}"/>
    <cellStyle name="Comma 3 6 2 2 2 2" xfId="3717" xr:uid="{BC43C867-559C-46CA-8E39-C7FF516CAD26}"/>
    <cellStyle name="Comma 3 6 2 2 3" xfId="3616" xr:uid="{E14CC541-CEA7-4793-8C4E-2656AD15B369}"/>
    <cellStyle name="Comma 3 6 2 3" xfId="3450" xr:uid="{00000000-0005-0000-0000-0000B5060000}"/>
    <cellStyle name="Comma 3 6 2 3 2" xfId="3757" xr:uid="{B5DA467A-6088-4A42-A4AB-5336FDCFEE26}"/>
    <cellStyle name="Comma 3 6 2 4" xfId="2950" xr:uid="{00000000-0005-0000-0000-0000B3060000}"/>
    <cellStyle name="Comma 3 6 2 4 2" xfId="3661" xr:uid="{7333DFB8-AF1C-432B-AB81-04A415A0B4D8}"/>
    <cellStyle name="Comma 3 6 2 5" xfId="3521" xr:uid="{83DCC488-B31B-487F-BD78-F38A643DFB8C}"/>
    <cellStyle name="Comma 3 6 2 6" xfId="3571" xr:uid="{CE7C57C7-D8E7-4B06-9851-585B08FCE304}"/>
    <cellStyle name="Comma 3 6 3" xfId="2888" xr:uid="{00000000-0005-0000-0000-000069060000}"/>
    <cellStyle name="Comma 3 6 3 2" xfId="2989" xr:uid="{00000000-0005-0000-0000-0000B6060000}"/>
    <cellStyle name="Comma 3 6 3 2 2" xfId="3700" xr:uid="{DE4562F2-0569-4628-A32A-03B5FACEECD2}"/>
    <cellStyle name="Comma 3 6 3 3" xfId="3599" xr:uid="{607731B4-28EA-4BF5-B0DE-A131CEE5E7F3}"/>
    <cellStyle name="Comma 3 6 4" xfId="3432" xr:uid="{00000000-0005-0000-0000-0000B7060000}"/>
    <cellStyle name="Comma 3 6 4 2" xfId="3740" xr:uid="{1BBC777A-F825-494F-B612-374C903405DB}"/>
    <cellStyle name="Comma 3 6 5" xfId="2933" xr:uid="{00000000-0005-0000-0000-0000B2060000}"/>
    <cellStyle name="Comma 3 6 5 2" xfId="3644" xr:uid="{0B345EAD-EBCC-43D3-8883-DCD5BCFB7D63}"/>
    <cellStyle name="Comma 3 6 6" xfId="3504" xr:uid="{145A2966-50C6-48D9-8890-320F5DE68E53}"/>
    <cellStyle name="Comma 3 6 7" xfId="3554" xr:uid="{6308D4F3-0153-491E-BE70-4FF92CFBE85C}"/>
    <cellStyle name="Comma 3 7" xfId="2848" xr:uid="{00000000-0005-0000-0000-00006B060000}"/>
    <cellStyle name="Comma 3 7 2" xfId="2895" xr:uid="{00000000-0005-0000-0000-00006B060000}"/>
    <cellStyle name="Comma 3 7 2 2" xfId="2996" xr:uid="{00000000-0005-0000-0000-0000B9060000}"/>
    <cellStyle name="Comma 3 7 2 2 2" xfId="3707" xr:uid="{181BEA88-85E7-4DF6-AA5D-64BEF9A267A5}"/>
    <cellStyle name="Comma 3 7 2 3" xfId="3606" xr:uid="{DA77895E-99BA-4D4C-86C6-A40356C9E8C9}"/>
    <cellStyle name="Comma 3 7 3" xfId="3440" xr:uid="{00000000-0005-0000-0000-0000BA060000}"/>
    <cellStyle name="Comma 3 7 3 2" xfId="3747" xr:uid="{80F87B77-B4B1-4910-88C9-C2F9CD573192}"/>
    <cellStyle name="Comma 3 7 4" xfId="2940" xr:uid="{00000000-0005-0000-0000-0000B8060000}"/>
    <cellStyle name="Comma 3 7 4 2" xfId="3651" xr:uid="{EB4880FD-D593-43AB-AD92-87E218BF2720}"/>
    <cellStyle name="Comma 3 7 5" xfId="3511" xr:uid="{CD32610A-2A84-46D7-B58E-B99FAB4921F2}"/>
    <cellStyle name="Comma 3 7 6" xfId="3561" xr:uid="{469B345E-2B53-40D7-90C2-EAED57DF8B31}"/>
    <cellStyle name="Comma 3 8" xfId="2878" xr:uid="{00000000-0005-0000-0000-000061060000}"/>
    <cellStyle name="Comma 3 8 2" xfId="2965" xr:uid="{00000000-0005-0000-0000-0000BB060000}"/>
    <cellStyle name="Comma 3 8 2 2" xfId="3676" xr:uid="{076D2C1C-5981-4C45-B019-ECEA37D2FB58}"/>
    <cellStyle name="Comma 3 8 3" xfId="3589" xr:uid="{3E36535F-1E9E-4DFF-8EA8-84DF26A5635C}"/>
    <cellStyle name="Comma 3 9" xfId="3033" xr:uid="{00000000-0005-0000-0000-0000BC060000}"/>
    <cellStyle name="Comma 3 9 2" xfId="3730" xr:uid="{F533EEF6-D3D0-4103-B51F-4452A33AC1C4}"/>
    <cellStyle name="Comma 30" xfId="1727" xr:uid="{00000000-0005-0000-0000-00006C060000}"/>
    <cellStyle name="Comma 30 2" xfId="1728" xr:uid="{00000000-0005-0000-0000-00006D060000}"/>
    <cellStyle name="Comma 36" xfId="1729" xr:uid="{00000000-0005-0000-0000-00006E060000}"/>
    <cellStyle name="Comma 36 2" xfId="1730" xr:uid="{00000000-0005-0000-0000-00006F060000}"/>
    <cellStyle name="Comma 39 2" xfId="1731" xr:uid="{00000000-0005-0000-0000-000070060000}"/>
    <cellStyle name="Comma 4" xfId="135" xr:uid="{00000000-0005-0000-0000-000071060000}"/>
    <cellStyle name="Comma 4 2" xfId="136" xr:uid="{00000000-0005-0000-0000-000072060000}"/>
    <cellStyle name="Comma 4 3" xfId="1732" xr:uid="{00000000-0005-0000-0000-000073060000}"/>
    <cellStyle name="Comma 5" xfId="2861" xr:uid="{00000000-0005-0000-0000-000074060000}"/>
    <cellStyle name="Comma 5 2" xfId="2908" xr:uid="{00000000-0005-0000-0000-000074060000}"/>
    <cellStyle name="Comma 5 2 2" xfId="3009" xr:uid="{00000000-0005-0000-0000-0000C6060000}"/>
    <cellStyle name="Comma 5 2 2 2" xfId="3720" xr:uid="{912E7215-1F0C-4945-9EBE-CAA589421BF8}"/>
    <cellStyle name="Comma 5 2 3" xfId="3619" xr:uid="{E5308244-4B20-48A7-AC05-BD46D9E86C30}"/>
    <cellStyle name="Comma 5 3" xfId="3453" xr:uid="{00000000-0005-0000-0000-0000C7060000}"/>
    <cellStyle name="Comma 5 3 2" xfId="3760" xr:uid="{6836ED1B-51C3-4507-8B50-0C22E3F36FBD}"/>
    <cellStyle name="Comma 5 4" xfId="2953" xr:uid="{00000000-0005-0000-0000-0000C5060000}"/>
    <cellStyle name="Comma 5 4 2" xfId="3664" xr:uid="{E7087183-AAB2-4D26-B420-AE3FE8E33203}"/>
    <cellStyle name="Comma 5 5" xfId="3524" xr:uid="{407A68F8-501C-4B64-A471-F9B68C0B6ECD}"/>
    <cellStyle name="Comma 5 6" xfId="3574" xr:uid="{4534BDF4-19BC-4153-8DDC-6B306BF3930E}"/>
    <cellStyle name="Comma 58 2" xfId="1733" xr:uid="{00000000-0005-0000-0000-000075060000}"/>
    <cellStyle name="Comma 6" xfId="3474" xr:uid="{00000000-0005-0000-0000-0000C9060000}"/>
    <cellStyle name="Comma 6 2" xfId="3763" xr:uid="{1AAC5685-4A41-4A2E-B1EB-387E26C2E887}"/>
    <cellStyle name="Comma0" xfId="137" xr:uid="{00000000-0005-0000-0000-000076060000}"/>
    <cellStyle name="Comma0 2" xfId="2533" xr:uid="{00000000-0005-0000-0000-000077060000}"/>
    <cellStyle name="Comma0 3" xfId="2967" xr:uid="{00000000-0005-0000-0000-0000CC060000}"/>
    <cellStyle name="Comma0 3 2" xfId="3678" xr:uid="{3437F9C7-F368-473F-AA74-D693CD7C22BB}"/>
    <cellStyle name="Currency 18" xfId="1734" xr:uid="{00000000-0005-0000-0000-000078060000}"/>
    <cellStyle name="Currency 18 2" xfId="1735" xr:uid="{00000000-0005-0000-0000-000079060000}"/>
    <cellStyle name="Currency 19" xfId="1736" xr:uid="{00000000-0005-0000-0000-00007A060000}"/>
    <cellStyle name="Currency 19 2" xfId="1737" xr:uid="{00000000-0005-0000-0000-00007B060000}"/>
    <cellStyle name="Currency 2" xfId="138" xr:uid="{00000000-0005-0000-0000-00007C060000}"/>
    <cellStyle name="Currency 2 2" xfId="139" xr:uid="{00000000-0005-0000-0000-00007D060000}"/>
    <cellStyle name="Currency 2 3" xfId="140" xr:uid="{00000000-0005-0000-0000-00007E060000}"/>
    <cellStyle name="Currency 2 3 2" xfId="1739" xr:uid="{00000000-0005-0000-0000-00007F060000}"/>
    <cellStyle name="Currency 2 3 2 2" xfId="2977" xr:uid="{00000000-0005-0000-0000-0000D5060000}"/>
    <cellStyle name="Currency 2 3 2 2 2" xfId="3688" xr:uid="{9D722BEC-F877-4715-A504-CE8BEFB778BC}"/>
    <cellStyle name="Currency 2 3 3" xfId="1738" xr:uid="{00000000-0005-0000-0000-000080060000}"/>
    <cellStyle name="Currency 2 3 4" xfId="2968" xr:uid="{00000000-0005-0000-0000-0000D7060000}"/>
    <cellStyle name="Currency 2 3 4 2" xfId="3679" xr:uid="{2A7C56B0-DCAE-4EFB-9B8D-6EC7E6D6447A}"/>
    <cellStyle name="Currency 2 4" xfId="1740" xr:uid="{00000000-0005-0000-0000-000081060000}"/>
    <cellStyle name="Currency 2 4 2" xfId="2978" xr:uid="{00000000-0005-0000-0000-0000D9060000}"/>
    <cellStyle name="Currency 2 4 2 2" xfId="3689" xr:uid="{6C8AF032-ABFE-47CE-8FAA-A27607136C6F}"/>
    <cellStyle name="Currency 20" xfId="1741" xr:uid="{00000000-0005-0000-0000-000082060000}"/>
    <cellStyle name="Currency 20 2" xfId="1742" xr:uid="{00000000-0005-0000-0000-000083060000}"/>
    <cellStyle name="Currency 21" xfId="1743" xr:uid="{00000000-0005-0000-0000-000084060000}"/>
    <cellStyle name="Currency 21 2" xfId="1744" xr:uid="{00000000-0005-0000-0000-000085060000}"/>
    <cellStyle name="Currency 22" xfId="1745" xr:uid="{00000000-0005-0000-0000-000086060000}"/>
    <cellStyle name="Currency 22 2" xfId="1746" xr:uid="{00000000-0005-0000-0000-000087060000}"/>
    <cellStyle name="Currency 23" xfId="1747" xr:uid="{00000000-0005-0000-0000-000088060000}"/>
    <cellStyle name="Currency 23 2" xfId="1748" xr:uid="{00000000-0005-0000-0000-000089060000}"/>
    <cellStyle name="Currency 24" xfId="1749" xr:uid="{00000000-0005-0000-0000-00008A060000}"/>
    <cellStyle name="Currency 24 2" xfId="1750" xr:uid="{00000000-0005-0000-0000-00008B060000}"/>
    <cellStyle name="Currency 27" xfId="1751" xr:uid="{00000000-0005-0000-0000-00008C060000}"/>
    <cellStyle name="Currency 27 2" xfId="1752" xr:uid="{00000000-0005-0000-0000-00008D060000}"/>
    <cellStyle name="Currency 28" xfId="1753" xr:uid="{00000000-0005-0000-0000-00008E060000}"/>
    <cellStyle name="Currency 28 2" xfId="1754" xr:uid="{00000000-0005-0000-0000-00008F060000}"/>
    <cellStyle name="Currency 3" xfId="141" xr:uid="{00000000-0005-0000-0000-000090060000}"/>
    <cellStyle name="Currency 3 2" xfId="1755" xr:uid="{00000000-0005-0000-0000-000091060000}"/>
    <cellStyle name="Currency 36" xfId="1756" xr:uid="{00000000-0005-0000-0000-000092060000}"/>
    <cellStyle name="Currency 36 2" xfId="1757" xr:uid="{00000000-0005-0000-0000-000093060000}"/>
    <cellStyle name="Currency 39 2" xfId="1758" xr:uid="{00000000-0005-0000-0000-000094060000}"/>
    <cellStyle name="Currency 43 2" xfId="1759" xr:uid="{00000000-0005-0000-0000-000095060000}"/>
    <cellStyle name="Currency0" xfId="142" xr:uid="{00000000-0005-0000-0000-000096060000}"/>
    <cellStyle name="Currency0 2" xfId="2532" xr:uid="{00000000-0005-0000-0000-000097060000}"/>
    <cellStyle name="Currency0 3" xfId="2969" xr:uid="{00000000-0005-0000-0000-0000F0060000}"/>
    <cellStyle name="Currency0 3 2" xfId="3680" xr:uid="{55C79EFB-56FF-490A-9BA3-BC0984394FFE}"/>
    <cellStyle name="Date" xfId="143" xr:uid="{00000000-0005-0000-0000-000098060000}"/>
    <cellStyle name="Decimal 2 (e.g. 1,000.00)" xfId="144" xr:uid="{00000000-0005-0000-0000-000099060000}"/>
    <cellStyle name="Double Underline" xfId="145" xr:uid="{00000000-0005-0000-0000-00009A060000}"/>
    <cellStyle name="Double Underscore" xfId="146" xr:uid="{00000000-0005-0000-0000-00009B060000}"/>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4" xfId="1824" xr:uid="{00000000-0005-0000-0000-0000E8060000}"/>
    <cellStyle name="Good 2 5" xfId="1825" xr:uid="{00000000-0005-0000-0000-0000E9060000}"/>
    <cellStyle name="Good 2 6" xfId="1826" xr:uid="{00000000-0005-0000-0000-0000EA060000}"/>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8" xfId="1827" xr:uid="{00000000-0005-0000-0000-0000F2060000}"/>
    <cellStyle name="Good 4" xfId="160" xr:uid="{00000000-0005-0000-0000-0000F3060000}"/>
    <cellStyle name="Good 4 2" xfId="1835" xr:uid="{00000000-0005-0000-0000-0000F4060000}"/>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4" xfId="1878" xr:uid="{00000000-0005-0000-0000-000024070000}"/>
    <cellStyle name="Heading 1 2 5" xfId="1879" xr:uid="{00000000-0005-0000-0000-000025070000}"/>
    <cellStyle name="Heading 1 2 6" xfId="1880" xr:uid="{00000000-0005-0000-0000-00002607000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8" xfId="1881" xr:uid="{00000000-0005-0000-0000-00002E070000}"/>
    <cellStyle name="Heading 1 4" xfId="166" xr:uid="{00000000-0005-0000-0000-00002F070000}"/>
    <cellStyle name="Heading 1 4 2" xfId="1889" xr:uid="{00000000-0005-0000-0000-000030070000}"/>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4" xfId="1932" xr:uid="{00000000-0005-0000-0000-000060070000}"/>
    <cellStyle name="Heading 2 2 5" xfId="1933" xr:uid="{00000000-0005-0000-0000-000061070000}"/>
    <cellStyle name="Heading 2 2 6" xfId="1934" xr:uid="{00000000-0005-0000-0000-00006207000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8" xfId="1935" xr:uid="{00000000-0005-0000-0000-00006A070000}"/>
    <cellStyle name="Heading 2 4" xfId="172" xr:uid="{00000000-0005-0000-0000-00006B070000}"/>
    <cellStyle name="Heading 2 4 2" xfId="1943" xr:uid="{00000000-0005-0000-0000-00006C070000}"/>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4" xfId="1986" xr:uid="{00000000-0005-0000-0000-00009C070000}"/>
    <cellStyle name="Heading 3 2 5" xfId="1987" xr:uid="{00000000-0005-0000-0000-00009D070000}"/>
    <cellStyle name="Heading 3 2 6" xfId="1988" xr:uid="{00000000-0005-0000-0000-00009E070000}"/>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8" xfId="1989" xr:uid="{00000000-0005-0000-0000-0000A6070000}"/>
    <cellStyle name="Heading 3 4" xfId="178" xr:uid="{00000000-0005-0000-0000-0000A7070000}"/>
    <cellStyle name="Heading 3 4 2" xfId="1997" xr:uid="{00000000-0005-0000-0000-0000A8070000}"/>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4" xfId="2040" xr:uid="{00000000-0005-0000-0000-0000D8070000}"/>
    <cellStyle name="Heading 4 2 5" xfId="2041" xr:uid="{00000000-0005-0000-0000-0000D9070000}"/>
    <cellStyle name="Heading 4 2 6" xfId="2042" xr:uid="{00000000-0005-0000-0000-0000DA07000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8" xfId="2043" xr:uid="{00000000-0005-0000-0000-0000E2070000}"/>
    <cellStyle name="Heading 4 4" xfId="184" xr:uid="{00000000-0005-0000-0000-0000E3070000}"/>
    <cellStyle name="Heading 4 4 2" xfId="2051" xr:uid="{00000000-0005-0000-0000-0000E4070000}"/>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3 2 2" xfId="3690" xr:uid="{BE8116FF-BC24-46FA-8AB2-6F3E94E87BF2}"/>
    <cellStyle name="Hyperlink 2 2 4" xfId="2970" xr:uid="{00000000-0005-0000-0000-000068080000}"/>
    <cellStyle name="Hyperlink 2 2 4 2" xfId="3681" xr:uid="{EABC9630-4AA5-4965-BB4A-7A2D5CE3BF85}"/>
    <cellStyle name="Hyperlink 2 3" xfId="2083" xr:uid="{00000000-0005-0000-0000-00000E080000}"/>
    <cellStyle name="Hyperlink 2 4" xfId="2084" xr:uid="{00000000-0005-0000-0000-00000F080000}"/>
    <cellStyle name="Hyperlink 2 4 2" xfId="2980" xr:uid="{00000000-0005-0000-0000-00006B080000}"/>
    <cellStyle name="Hyperlink 2 4 2 2" xfId="3691" xr:uid="{AA9D8DDD-5B2A-4906-B51D-0F35EF23616F}"/>
    <cellStyle name="Hyperlink 2 5" xfId="190" xr:uid="{00000000-0005-0000-0000-000010080000}"/>
    <cellStyle name="Hyperlink 2 6" xfId="2862" xr:uid="{00000000-0005-0000-0000-00001108000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put 10 2" xfId="2087" xr:uid="{00000000-0005-0000-0000-000017080000}"/>
    <cellStyle name="Input 10 2 2" xfId="2657" xr:uid="{00000000-0005-0000-0000-000018080000}"/>
    <cellStyle name="Input 10 2 2 2" xfId="3196" xr:uid="{00000000-0005-0000-0000-000075080000}"/>
    <cellStyle name="Input 10 3" xfId="2088" xr:uid="{00000000-0005-0000-0000-000019080000}"/>
    <cellStyle name="Input 10 3 2" xfId="2658" xr:uid="{00000000-0005-0000-0000-00001A080000}"/>
    <cellStyle name="Input 10 3 2 2" xfId="3195" xr:uid="{00000000-0005-0000-0000-000078080000}"/>
    <cellStyle name="Input 10 4" xfId="2089" xr:uid="{00000000-0005-0000-0000-00001B080000}"/>
    <cellStyle name="Input 10 4 2" xfId="2659" xr:uid="{00000000-0005-0000-0000-00001C080000}"/>
    <cellStyle name="Input 10 4 2 2" xfId="3194" xr:uid="{00000000-0005-0000-0000-00007B080000}"/>
    <cellStyle name="Input 10 5" xfId="2090" xr:uid="{00000000-0005-0000-0000-00001D080000}"/>
    <cellStyle name="Input 10 5 2" xfId="2660" xr:uid="{00000000-0005-0000-0000-00001E080000}"/>
    <cellStyle name="Input 10 5 2 2" xfId="3193" xr:uid="{00000000-0005-0000-0000-00007E080000}"/>
    <cellStyle name="Input 10 6" xfId="2091" xr:uid="{00000000-0005-0000-0000-00001F080000}"/>
    <cellStyle name="Input 10 6 2" xfId="2661" xr:uid="{00000000-0005-0000-0000-000020080000}"/>
    <cellStyle name="Input 10 6 2 2" xfId="3192" xr:uid="{00000000-0005-0000-0000-000081080000}"/>
    <cellStyle name="Input 11 2" xfId="2092" xr:uid="{00000000-0005-0000-0000-000021080000}"/>
    <cellStyle name="Input 11 2 2" xfId="2662" xr:uid="{00000000-0005-0000-0000-000022080000}"/>
    <cellStyle name="Input 11 2 2 2" xfId="3191" xr:uid="{00000000-0005-0000-0000-000084080000}"/>
    <cellStyle name="Input 11 3" xfId="2093" xr:uid="{00000000-0005-0000-0000-000023080000}"/>
    <cellStyle name="Input 11 3 2" xfId="2663" xr:uid="{00000000-0005-0000-0000-000024080000}"/>
    <cellStyle name="Input 11 3 2 2" xfId="3190" xr:uid="{00000000-0005-0000-0000-000087080000}"/>
    <cellStyle name="Input 11 4" xfId="2094" xr:uid="{00000000-0005-0000-0000-000025080000}"/>
    <cellStyle name="Input 11 4 2" xfId="2664" xr:uid="{00000000-0005-0000-0000-000026080000}"/>
    <cellStyle name="Input 11 4 2 2" xfId="3189" xr:uid="{00000000-0005-0000-0000-00008A080000}"/>
    <cellStyle name="Input 11 5" xfId="2095" xr:uid="{00000000-0005-0000-0000-000027080000}"/>
    <cellStyle name="Input 11 5 2" xfId="2665" xr:uid="{00000000-0005-0000-0000-000028080000}"/>
    <cellStyle name="Input 11 5 2 2" xfId="3188" xr:uid="{00000000-0005-0000-0000-00008D080000}"/>
    <cellStyle name="Input 11 6" xfId="2096" xr:uid="{00000000-0005-0000-0000-000029080000}"/>
    <cellStyle name="Input 11 6 2" xfId="2666" xr:uid="{00000000-0005-0000-0000-00002A080000}"/>
    <cellStyle name="Input 11 6 2 2" xfId="3187" xr:uid="{00000000-0005-0000-0000-000090080000}"/>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3" xfId="2098" xr:uid="{00000000-0005-0000-0000-00002E080000}"/>
    <cellStyle name="Input 2 3 2" xfId="2668" xr:uid="{00000000-0005-0000-0000-00002F080000}"/>
    <cellStyle name="Input 2 3 2 2" xfId="3185" xr:uid="{00000000-0005-0000-0000-000097080000}"/>
    <cellStyle name="Input 2 4" xfId="2099" xr:uid="{00000000-0005-0000-0000-000030080000}"/>
    <cellStyle name="Input 2 4 2" xfId="2669" xr:uid="{00000000-0005-0000-0000-000031080000}"/>
    <cellStyle name="Input 2 4 2 2" xfId="3184" xr:uid="{00000000-0005-0000-0000-00009A080000}"/>
    <cellStyle name="Input 2 5" xfId="2100" xr:uid="{00000000-0005-0000-0000-000032080000}"/>
    <cellStyle name="Input 2 5 2" xfId="2670" xr:uid="{00000000-0005-0000-0000-000033080000}"/>
    <cellStyle name="Input 2 5 2 2" xfId="3183" xr:uid="{00000000-0005-0000-0000-00009D080000}"/>
    <cellStyle name="Input 2 6" xfId="2101" xr:uid="{00000000-0005-0000-0000-000034080000}"/>
    <cellStyle name="Input 2 6 2" xfId="2671" xr:uid="{00000000-0005-0000-0000-000035080000}"/>
    <cellStyle name="Input 2 6 2 2" xfId="3182" xr:uid="{00000000-0005-0000-0000-0000A0080000}"/>
    <cellStyle name="Input 2 7" xfId="2560" xr:uid="{00000000-0005-0000-0000-000036080000}"/>
    <cellStyle name="Input 2 7 2" xfId="3293" xr:uid="{00000000-0005-0000-0000-0000A2080000}"/>
    <cellStyle name="Input 3" xfId="197" xr:uid="{00000000-0005-0000-0000-000037080000}"/>
    <cellStyle name="Input 3 2" xfId="2103" xr:uid="{00000000-0005-0000-0000-000038080000}"/>
    <cellStyle name="Input 3 2 2" xfId="2673" xr:uid="{00000000-0005-0000-0000-000039080000}"/>
    <cellStyle name="Input 3 2 2 2" xfId="3180" xr:uid="{00000000-0005-0000-0000-0000A6080000}"/>
    <cellStyle name="Input 3 3" xfId="2104" xr:uid="{00000000-0005-0000-0000-00003A080000}"/>
    <cellStyle name="Input 3 3 2" xfId="2674" xr:uid="{00000000-0005-0000-0000-00003B080000}"/>
    <cellStyle name="Input 3 3 2 2" xfId="3179" xr:uid="{00000000-0005-0000-0000-0000A9080000}"/>
    <cellStyle name="Input 3 4" xfId="2105" xr:uid="{00000000-0005-0000-0000-00003C080000}"/>
    <cellStyle name="Input 3 4 2" xfId="2675" xr:uid="{00000000-0005-0000-0000-00003D080000}"/>
    <cellStyle name="Input 3 4 2 2" xfId="3178" xr:uid="{00000000-0005-0000-0000-0000AC080000}"/>
    <cellStyle name="Input 3 5" xfId="2106" xr:uid="{00000000-0005-0000-0000-00003E080000}"/>
    <cellStyle name="Input 3 5 2" xfId="2676" xr:uid="{00000000-0005-0000-0000-00003F080000}"/>
    <cellStyle name="Input 3 5 2 2" xfId="3177" xr:uid="{00000000-0005-0000-0000-0000AF080000}"/>
    <cellStyle name="Input 3 6" xfId="2107" xr:uid="{00000000-0005-0000-0000-000040080000}"/>
    <cellStyle name="Input 3 6 2" xfId="2677" xr:uid="{00000000-0005-0000-0000-000041080000}"/>
    <cellStyle name="Input 3 6 2 2" xfId="3176" xr:uid="{00000000-0005-0000-0000-0000B2080000}"/>
    <cellStyle name="Input 3 7" xfId="2108" xr:uid="{00000000-0005-0000-0000-000042080000}"/>
    <cellStyle name="Input 3 7 2" xfId="2678" xr:uid="{00000000-0005-0000-0000-000043080000}"/>
    <cellStyle name="Input 3 7 2 2" xfId="3175" xr:uid="{00000000-0005-0000-0000-0000B5080000}"/>
    <cellStyle name="Input 3 8" xfId="2102" xr:uid="{00000000-0005-0000-0000-000044080000}"/>
    <cellStyle name="Input 3 8 2" xfId="2672" xr:uid="{00000000-0005-0000-0000-000045080000}"/>
    <cellStyle name="Input 3 8 2 2" xfId="3181" xr:uid="{00000000-0005-0000-0000-0000B8080000}"/>
    <cellStyle name="Input 3 9" xfId="2561" xr:uid="{00000000-0005-0000-0000-000046080000}"/>
    <cellStyle name="Input 3 9 2" xfId="3292" xr:uid="{00000000-0005-0000-0000-0000BA080000}"/>
    <cellStyle name="Input 4" xfId="198" xr:uid="{00000000-0005-0000-0000-000047080000}"/>
    <cellStyle name="Input 4 2" xfId="2110" xr:uid="{00000000-0005-0000-0000-000048080000}"/>
    <cellStyle name="Input 4 2 2" xfId="2680" xr:uid="{00000000-0005-0000-0000-000049080000}"/>
    <cellStyle name="Input 4 2 2 2" xfId="3173" xr:uid="{00000000-0005-0000-0000-0000BE080000}"/>
    <cellStyle name="Input 4 3" xfId="2111" xr:uid="{00000000-0005-0000-0000-00004A080000}"/>
    <cellStyle name="Input 4 3 2" xfId="2681" xr:uid="{00000000-0005-0000-0000-00004B080000}"/>
    <cellStyle name="Input 4 3 2 2" xfId="3172" xr:uid="{00000000-0005-0000-0000-0000C1080000}"/>
    <cellStyle name="Input 4 4" xfId="2112" xr:uid="{00000000-0005-0000-0000-00004C080000}"/>
    <cellStyle name="Input 4 4 2" xfId="2682" xr:uid="{00000000-0005-0000-0000-00004D080000}"/>
    <cellStyle name="Input 4 4 2 2" xfId="3171" xr:uid="{00000000-0005-0000-0000-0000C4080000}"/>
    <cellStyle name="Input 4 5" xfId="2113" xr:uid="{00000000-0005-0000-0000-00004E080000}"/>
    <cellStyle name="Input 4 5 2" xfId="2683" xr:uid="{00000000-0005-0000-0000-00004F080000}"/>
    <cellStyle name="Input 4 5 2 2" xfId="3170" xr:uid="{00000000-0005-0000-0000-0000C7080000}"/>
    <cellStyle name="Input 4 6" xfId="2114" xr:uid="{00000000-0005-0000-0000-000050080000}"/>
    <cellStyle name="Input 4 6 2" xfId="2684" xr:uid="{00000000-0005-0000-0000-000051080000}"/>
    <cellStyle name="Input 4 6 2 2" xfId="3169" xr:uid="{00000000-0005-0000-0000-0000CA080000}"/>
    <cellStyle name="Input 4 7" xfId="2115" xr:uid="{00000000-0005-0000-0000-000052080000}"/>
    <cellStyle name="Input 4 7 2" xfId="2685" xr:uid="{00000000-0005-0000-0000-000053080000}"/>
    <cellStyle name="Input 4 7 2 2" xfId="3168" xr:uid="{00000000-0005-0000-0000-0000CD080000}"/>
    <cellStyle name="Input 4 8" xfId="2109" xr:uid="{00000000-0005-0000-0000-000054080000}"/>
    <cellStyle name="Input 4 8 2" xfId="2679" xr:uid="{00000000-0005-0000-0000-000055080000}"/>
    <cellStyle name="Input 4 8 2 2" xfId="3174" xr:uid="{00000000-0005-0000-0000-0000D0080000}"/>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3" xfId="2117" xr:uid="{00000000-0005-0000-0000-00005A080000}"/>
    <cellStyle name="Input 5 3 2" xfId="2687" xr:uid="{00000000-0005-0000-0000-00005B080000}"/>
    <cellStyle name="Input 5 3 2 2" xfId="3166" xr:uid="{00000000-0005-0000-0000-0000D9080000}"/>
    <cellStyle name="Input 5 4" xfId="2118" xr:uid="{00000000-0005-0000-0000-00005C080000}"/>
    <cellStyle name="Input 5 4 2" xfId="2688" xr:uid="{00000000-0005-0000-0000-00005D080000}"/>
    <cellStyle name="Input 5 4 2 2" xfId="3165" xr:uid="{00000000-0005-0000-0000-0000DC080000}"/>
    <cellStyle name="Input 5 5" xfId="2119" xr:uid="{00000000-0005-0000-0000-00005E080000}"/>
    <cellStyle name="Input 5 5 2" xfId="2689" xr:uid="{00000000-0005-0000-0000-00005F080000}"/>
    <cellStyle name="Input 5 5 2 2" xfId="3164" xr:uid="{00000000-0005-0000-0000-0000DF080000}"/>
    <cellStyle name="Input 5 6" xfId="2120" xr:uid="{00000000-0005-0000-0000-000060080000}"/>
    <cellStyle name="Input 5 6 2" xfId="2690" xr:uid="{00000000-0005-0000-0000-000061080000}"/>
    <cellStyle name="Input 5 6 2 2" xfId="3163" xr:uid="{00000000-0005-0000-0000-0000E2080000}"/>
    <cellStyle name="Input 5 7" xfId="2563" xr:uid="{00000000-0005-0000-0000-000062080000}"/>
    <cellStyle name="Input 5 7 2" xfId="3290" xr:uid="{00000000-0005-0000-0000-0000E4080000}"/>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3" xfId="2122" xr:uid="{00000000-0005-0000-0000-000066080000}"/>
    <cellStyle name="Input 6 3 2" xfId="2692" xr:uid="{00000000-0005-0000-0000-000067080000}"/>
    <cellStyle name="Input 6 3 2 2" xfId="3161" xr:uid="{00000000-0005-0000-0000-0000EB080000}"/>
    <cellStyle name="Input 6 4" xfId="2123" xr:uid="{00000000-0005-0000-0000-000068080000}"/>
    <cellStyle name="Input 6 4 2" xfId="2693" xr:uid="{00000000-0005-0000-0000-000069080000}"/>
    <cellStyle name="Input 6 4 2 2" xfId="3160" xr:uid="{00000000-0005-0000-0000-0000EE080000}"/>
    <cellStyle name="Input 6 5" xfId="2124" xr:uid="{00000000-0005-0000-0000-00006A080000}"/>
    <cellStyle name="Input 6 5 2" xfId="2694" xr:uid="{00000000-0005-0000-0000-00006B080000}"/>
    <cellStyle name="Input 6 5 2 2" xfId="3159" xr:uid="{00000000-0005-0000-0000-0000F1080000}"/>
    <cellStyle name="Input 6 6" xfId="2125" xr:uid="{00000000-0005-0000-0000-00006C080000}"/>
    <cellStyle name="Input 6 6 2" xfId="2695" xr:uid="{00000000-0005-0000-0000-00006D080000}"/>
    <cellStyle name="Input 6 6 2 2" xfId="3158" xr:uid="{00000000-0005-0000-0000-0000F4080000}"/>
    <cellStyle name="Input 6 7" xfId="2564" xr:uid="{00000000-0005-0000-0000-00006E080000}"/>
    <cellStyle name="Input 6 7 2" xfId="3289" xr:uid="{00000000-0005-0000-0000-0000F608000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3" xfId="2127" xr:uid="{00000000-0005-0000-0000-000072080000}"/>
    <cellStyle name="Input 7 3 2" xfId="2697" xr:uid="{00000000-0005-0000-0000-000073080000}"/>
    <cellStyle name="Input 7 3 2 2" xfId="3156" xr:uid="{00000000-0005-0000-0000-0000FD080000}"/>
    <cellStyle name="Input 7 4" xfId="2128" xr:uid="{00000000-0005-0000-0000-000074080000}"/>
    <cellStyle name="Input 7 4 2" xfId="2698" xr:uid="{00000000-0005-0000-0000-000075080000}"/>
    <cellStyle name="Input 7 4 2 2" xfId="3155" xr:uid="{00000000-0005-0000-0000-000000090000}"/>
    <cellStyle name="Input 7 5" xfId="2129" xr:uid="{00000000-0005-0000-0000-000076080000}"/>
    <cellStyle name="Input 7 5 2" xfId="2699" xr:uid="{00000000-0005-0000-0000-000077080000}"/>
    <cellStyle name="Input 7 5 2 2" xfId="3154" xr:uid="{00000000-0005-0000-0000-000003090000}"/>
    <cellStyle name="Input 7 6" xfId="2130" xr:uid="{00000000-0005-0000-0000-000078080000}"/>
    <cellStyle name="Input 7 6 2" xfId="2700" xr:uid="{00000000-0005-0000-0000-000079080000}"/>
    <cellStyle name="Input 7 6 2 2" xfId="3153" xr:uid="{00000000-0005-0000-0000-000006090000}"/>
    <cellStyle name="Input 7 7" xfId="2565" xr:uid="{00000000-0005-0000-0000-00007A080000}"/>
    <cellStyle name="Input 7 7 2" xfId="3288" xr:uid="{00000000-0005-0000-0000-000008090000}"/>
    <cellStyle name="Input 8 2" xfId="2131" xr:uid="{00000000-0005-0000-0000-00007B080000}"/>
    <cellStyle name="Input 8 2 2" xfId="2701" xr:uid="{00000000-0005-0000-0000-00007C080000}"/>
    <cellStyle name="Input 8 2 2 2" xfId="3152" xr:uid="{00000000-0005-0000-0000-00000B090000}"/>
    <cellStyle name="Input 8 3" xfId="2132" xr:uid="{00000000-0005-0000-0000-00007D080000}"/>
    <cellStyle name="Input 8 3 2" xfId="2702" xr:uid="{00000000-0005-0000-0000-00007E080000}"/>
    <cellStyle name="Input 8 3 2 2" xfId="3151" xr:uid="{00000000-0005-0000-0000-00000E090000}"/>
    <cellStyle name="Input 8 4" xfId="2133" xr:uid="{00000000-0005-0000-0000-00007F080000}"/>
    <cellStyle name="Input 8 4 2" xfId="2703" xr:uid="{00000000-0005-0000-0000-000080080000}"/>
    <cellStyle name="Input 8 4 2 2" xfId="3150" xr:uid="{00000000-0005-0000-0000-000011090000}"/>
    <cellStyle name="Input 8 5" xfId="2134" xr:uid="{00000000-0005-0000-0000-000081080000}"/>
    <cellStyle name="Input 8 5 2" xfId="2704" xr:uid="{00000000-0005-0000-0000-000082080000}"/>
    <cellStyle name="Input 8 5 2 2" xfId="3149" xr:uid="{00000000-0005-0000-0000-000014090000}"/>
    <cellStyle name="Input 8 6" xfId="2135" xr:uid="{00000000-0005-0000-0000-000083080000}"/>
    <cellStyle name="Input 8 6 2" xfId="2705" xr:uid="{00000000-0005-0000-0000-000084080000}"/>
    <cellStyle name="Input 8 6 2 2" xfId="3148" xr:uid="{00000000-0005-0000-0000-000017090000}"/>
    <cellStyle name="Input 9 2" xfId="2136" xr:uid="{00000000-0005-0000-0000-000085080000}"/>
    <cellStyle name="Input 9 2 2" xfId="2706" xr:uid="{00000000-0005-0000-0000-000086080000}"/>
    <cellStyle name="Input 9 2 2 2" xfId="3147" xr:uid="{00000000-0005-0000-0000-00001A090000}"/>
    <cellStyle name="Input 9 3" xfId="2137" xr:uid="{00000000-0005-0000-0000-000087080000}"/>
    <cellStyle name="Input 9 3 2" xfId="2707" xr:uid="{00000000-0005-0000-0000-000088080000}"/>
    <cellStyle name="Input 9 3 2 2" xfId="3146" xr:uid="{00000000-0005-0000-0000-00001D090000}"/>
    <cellStyle name="Input 9 4" xfId="2138" xr:uid="{00000000-0005-0000-0000-000089080000}"/>
    <cellStyle name="Input 9 4 2" xfId="2708" xr:uid="{00000000-0005-0000-0000-00008A080000}"/>
    <cellStyle name="Input 9 4 2 2" xfId="3145" xr:uid="{00000000-0005-0000-0000-000020090000}"/>
    <cellStyle name="Input 9 5" xfId="2139" xr:uid="{00000000-0005-0000-0000-00008B080000}"/>
    <cellStyle name="Input 9 5 2" xfId="2709" xr:uid="{00000000-0005-0000-0000-00008C080000}"/>
    <cellStyle name="Input 9 5 2 2" xfId="3144" xr:uid="{00000000-0005-0000-0000-000023090000}"/>
    <cellStyle name="Input 9 6" xfId="2140" xr:uid="{00000000-0005-0000-0000-00008D080000}"/>
    <cellStyle name="Input 9 6 2" xfId="2710" xr:uid="{00000000-0005-0000-0000-00008E080000}"/>
    <cellStyle name="Input 9 6 2 2" xfId="3143" xr:uid="{00000000-0005-0000-0000-000026090000}"/>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4" xfId="2153" xr:uid="{00000000-0005-0000-0000-00009C080000}"/>
    <cellStyle name="Linked Cell 2 5" xfId="2154" xr:uid="{00000000-0005-0000-0000-00009D080000}"/>
    <cellStyle name="Linked Cell 2 6" xfId="2155" xr:uid="{00000000-0005-0000-0000-00009E080000}"/>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8" xfId="2156" xr:uid="{00000000-0005-0000-0000-0000A6080000}"/>
    <cellStyle name="Linked Cell 4" xfId="204" xr:uid="{00000000-0005-0000-0000-0000A7080000}"/>
    <cellStyle name="Linked Cell 4 2" xfId="2164" xr:uid="{00000000-0005-0000-0000-0000A8080000}"/>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4" xfId="2207" xr:uid="{00000000-0005-0000-0000-0000D8080000}"/>
    <cellStyle name="Neutral 2 5" xfId="2208" xr:uid="{00000000-0005-0000-0000-0000D9080000}"/>
    <cellStyle name="Neutral 2 6" xfId="2209" xr:uid="{00000000-0005-0000-0000-0000DA080000}"/>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8" xfId="2210" xr:uid="{00000000-0005-0000-0000-0000E2080000}"/>
    <cellStyle name="Neutral 4" xfId="210" xr:uid="{00000000-0005-0000-0000-0000E3080000}"/>
    <cellStyle name="Neutral 4 2" xfId="2218" xr:uid="{00000000-0005-0000-0000-0000E4080000}"/>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2" xfId="2249" xr:uid="{00000000-0005-0000-0000-000009090000}"/>
    <cellStyle name="Normal 11 2" xfId="2250" xr:uid="{00000000-0005-0000-0000-00000A090000}"/>
    <cellStyle name="Normal 2" xfId="3" xr:uid="{00000000-0005-0000-0000-000004000000}"/>
    <cellStyle name="Normal 2 2" xfId="215" xr:uid="{00000000-0005-0000-0000-00000C090000}"/>
    <cellStyle name="Normal 2 2 2" xfId="2252" xr:uid="{00000000-0005-0000-0000-00000D090000}"/>
    <cellStyle name="Normal 2 2 2 2" xfId="2981" xr:uid="{00000000-0005-0000-0000-0000A6090000}"/>
    <cellStyle name="Normal 2 2 2 2 2" xfId="3692" xr:uid="{0164702B-BAAA-4415-A8C3-2A714E5090D2}"/>
    <cellStyle name="Normal 2 2 3" xfId="2251" xr:uid="{00000000-0005-0000-0000-00000E090000}"/>
    <cellStyle name="Normal 2 2 4" xfId="2971" xr:uid="{00000000-0005-0000-0000-0000A8090000}"/>
    <cellStyle name="Normal 2 2 4 2" xfId="3682" xr:uid="{F8F4AB85-D70A-462B-9A66-7A5582D7A78A}"/>
    <cellStyle name="Normal 2 3" xfId="2253" xr:uid="{00000000-0005-0000-0000-00000F090000}"/>
    <cellStyle name="Normal 2 4" xfId="2254" xr:uid="{00000000-0005-0000-0000-000010090000}"/>
    <cellStyle name="Normal 2 5" xfId="2255" xr:uid="{00000000-0005-0000-0000-000011090000}"/>
    <cellStyle name="Normal 2 6" xfId="2256" xr:uid="{00000000-0005-0000-0000-000012090000}"/>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2 2 2" xfId="3702" xr:uid="{65BA0CEF-1F8B-408F-93D4-0948DB080FF4}"/>
    <cellStyle name="Normal 3 10 2 3" xfId="3601" xr:uid="{7FCDB115-D940-446C-BD19-5D52927462BC}"/>
    <cellStyle name="Normal 3 10 3" xfId="3435" xr:uid="{00000000-0005-0000-0000-0000B0090000}"/>
    <cellStyle name="Normal 3 10 3 2" xfId="3742" xr:uid="{3810BC55-4DFC-476C-B5FE-EB9BFA22B9B8}"/>
    <cellStyle name="Normal 3 10 4" xfId="2935" xr:uid="{00000000-0005-0000-0000-0000AE090000}"/>
    <cellStyle name="Normal 3 10 4 2" xfId="3646" xr:uid="{B38185EA-8DB7-4E9C-AEDF-DC00CA39A902}"/>
    <cellStyle name="Normal 3 10 5" xfId="3506" xr:uid="{FCEB5E6B-E236-40C0-A550-9EEEE06780EC}"/>
    <cellStyle name="Normal 3 10 6" xfId="3556" xr:uid="{DB48B26C-A7D0-4D9A-92D6-748844568D29}"/>
    <cellStyle name="Normal 3 11" xfId="2863" xr:uid="{00000000-0005-0000-0000-000015090000}"/>
    <cellStyle name="Normal 3 11 2" xfId="2909" xr:uid="{00000000-0005-0000-0000-000015090000}"/>
    <cellStyle name="Normal 3 11 2 2" xfId="3010" xr:uid="{00000000-0005-0000-0000-0000B2090000}"/>
    <cellStyle name="Normal 3 11 2 2 2" xfId="3721" xr:uid="{208DE2FB-AF7E-4D16-B655-DE0B01F2CA68}"/>
    <cellStyle name="Normal 3 11 2 3" xfId="3620" xr:uid="{8B75F6F5-C69E-46C4-AACF-E3DAEDB24ACA}"/>
    <cellStyle name="Normal 3 11 3" xfId="3454" xr:uid="{00000000-0005-0000-0000-0000B3090000}"/>
    <cellStyle name="Normal 3 11 3 2" xfId="3761" xr:uid="{3BE185FB-4A35-4294-B047-AD7015088F01}"/>
    <cellStyle name="Normal 3 11 4" xfId="2954" xr:uid="{00000000-0005-0000-0000-0000B1090000}"/>
    <cellStyle name="Normal 3 11 4 2" xfId="3665" xr:uid="{2F581712-4A27-4A3D-9911-C85DD652D2A3}"/>
    <cellStyle name="Normal 3 11 5" xfId="3525" xr:uid="{93FE6F38-C75D-4BB3-B467-2213600F9967}"/>
    <cellStyle name="Normal 3 11 6" xfId="3575" xr:uid="{D87EECBB-E2D0-430F-885B-C2E502629F02}"/>
    <cellStyle name="Normal 3 12" xfId="24" xr:uid="{00000000-0005-0000-0000-000016090000}"/>
    <cellStyle name="Normal 3 12 2" xfId="2870" xr:uid="{00000000-0005-0000-0000-000016090000}"/>
    <cellStyle name="Normal 3 12 2 2" xfId="3581" xr:uid="{42B9EAB3-BE33-4FE9-A4E8-7C3B89F497D1}"/>
    <cellStyle name="Normal 3 12 3" xfId="2915" xr:uid="{00000000-0005-0000-0000-0000B4090000}"/>
    <cellStyle name="Normal 3 12 3 2" xfId="3626" xr:uid="{E439EEB4-4D3C-48F3-A3C5-171504A3BCB8}"/>
    <cellStyle name="Normal 3 12 4" xfId="3486" xr:uid="{60D6DDF3-37A4-4785-B02F-5C4BD50A8410}"/>
    <cellStyle name="Normal 3 12 5" xfId="3536" xr:uid="{EC469919-2A22-499B-ABC0-2459A6A1EDE1}"/>
    <cellStyle name="Normal 3 13" xfId="19" xr:uid="{00000000-0005-0000-0000-000013090000}"/>
    <cellStyle name="Normal 3 13 2" xfId="2955" xr:uid="{00000000-0005-0000-0000-0000B5090000}"/>
    <cellStyle name="Normal 3 13 2 2" xfId="3666" xr:uid="{7FF330F5-CE82-459E-BA07-0B2E8BC70DFF}"/>
    <cellStyle name="Normal 3 13 3" xfId="3531" xr:uid="{D81EC2ED-3266-4D57-8B2F-29A47FA4A5F9}"/>
    <cellStyle name="Normal 3 14" xfId="2865" xr:uid="{00000000-0005-0000-0000-000013090000}"/>
    <cellStyle name="Normal 3 14 2" xfId="3011" xr:uid="{00000000-0005-0000-0000-0000B6090000}"/>
    <cellStyle name="Normal 3 14 2 2" xfId="3722" xr:uid="{12151BE3-2549-4602-8CFE-EF4C805D9836}"/>
    <cellStyle name="Normal 3 14 3" xfId="3576" xr:uid="{5EA2CACB-0A7C-44BB-AFCF-5EC02472E64B}"/>
    <cellStyle name="Normal 3 15" xfId="3475" xr:uid="{00000000-0005-0000-0000-0000B7090000}"/>
    <cellStyle name="Normal 3 15 2" xfId="3764" xr:uid="{1CAFF038-924C-4EE6-98D7-65445B12E7B0}"/>
    <cellStyle name="Normal 3 16" xfId="3476" xr:uid="{00000000-0005-0000-0000-000003000000}"/>
    <cellStyle name="Normal 3 16 2" xfId="3765" xr:uid="{DF41344F-1098-41ED-B7E2-AF8B5E09551C}"/>
    <cellStyle name="Normal 3 17" xfId="2910" xr:uid="{00000000-0005-0000-0000-0000AD090000}"/>
    <cellStyle name="Normal 3 17 2" xfId="3621" xr:uid="{60B8E409-7B60-45ED-9904-19E007F5C61E}"/>
    <cellStyle name="Normal 3 18" xfId="3481" xr:uid="{7240A927-D98E-4FF7-8495-1B5EA3101F92}"/>
    <cellStyle name="Normal 3 19" xfId="3526" xr:uid="{5CE181F8-6CEA-486E-8929-A298FF6E7A86}"/>
    <cellStyle name="Normal 3 2" xfId="14" xr:uid="{00000000-0005-0000-0000-000006000000}"/>
    <cellStyle name="Normal 3 2 10" xfId="3477" xr:uid="{00000000-0005-0000-0000-000004000000}"/>
    <cellStyle name="Normal 3 2 10 2" xfId="3766" xr:uid="{84ED0AD2-7F78-46F9-8A05-D2FD7EB49EC0}"/>
    <cellStyle name="Normal 3 2 11" xfId="2911" xr:uid="{00000000-0005-0000-0000-0000B8090000}"/>
    <cellStyle name="Normal 3 2 11 2" xfId="3622" xr:uid="{2876531E-6FDA-479E-AABE-35E551B2632C}"/>
    <cellStyle name="Normal 3 2 12" xfId="3482" xr:uid="{324E0CC7-0565-4B38-8C01-41BBA824A1AF}"/>
    <cellStyle name="Normal 3 2 13" xfId="3527" xr:uid="{7F92E839-9465-4C1C-8153-AC80930EB498}"/>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3 2 2" xfId="3769" xr:uid="{4A217769-9199-461B-A1B1-5E5E2864A534}"/>
    <cellStyle name="Normal 3 2 2 3 3" xfId="3535" xr:uid="{5BA5BB67-A3AF-4F33-9BB8-BBFF5BDC8E4B}"/>
    <cellStyle name="Normal 3 2 2 4" xfId="2869" xr:uid="{00000000-0005-0000-0000-000018090000}"/>
    <cellStyle name="Normal 3 2 2 4 2" xfId="3580" xr:uid="{1DA77A13-9965-4264-8E0D-F3505383CE51}"/>
    <cellStyle name="Normal 3 2 2 5" xfId="2914" xr:uid="{00000000-0005-0000-0000-0000B9090000}"/>
    <cellStyle name="Normal 3 2 2 5 2" xfId="3625" xr:uid="{C4707F6B-6EB0-48B6-B4A1-1F71795B45B2}"/>
    <cellStyle name="Normal 3 2 2 6" xfId="3485" xr:uid="{07214693-83AB-4C4B-B6A3-08C04CF3A83B}"/>
    <cellStyle name="Normal 3 2 2 7" xfId="3530" xr:uid="{544123AF-DB8C-4D57-B998-0E9D7289D78D}"/>
    <cellStyle name="Normal 3 2 3" xfId="2529" xr:uid="{00000000-0005-0000-0000-00001A090000}"/>
    <cellStyle name="Normal 3 2 3 2" xfId="2853" xr:uid="{00000000-0005-0000-0000-00001B090000}"/>
    <cellStyle name="Normal 3 2 3 2 2" xfId="2900" xr:uid="{00000000-0005-0000-0000-00001B090000}"/>
    <cellStyle name="Normal 3 2 3 2 2 2" xfId="3001" xr:uid="{00000000-0005-0000-0000-0000BD090000}"/>
    <cellStyle name="Normal 3 2 3 2 2 2 2" xfId="3712" xr:uid="{279C5889-64E3-4E80-AA7F-FCEAC8001058}"/>
    <cellStyle name="Normal 3 2 3 2 2 3" xfId="3611" xr:uid="{DEA82998-D1F5-40F3-9AFD-593A8EC07AFA}"/>
    <cellStyle name="Normal 3 2 3 2 3" xfId="3445" xr:uid="{00000000-0005-0000-0000-0000BE090000}"/>
    <cellStyle name="Normal 3 2 3 2 3 2" xfId="3752" xr:uid="{609003FB-189E-4E5E-9FAE-3F11B36032C2}"/>
    <cellStyle name="Normal 3 2 3 2 4" xfId="2945" xr:uid="{00000000-0005-0000-0000-0000BC090000}"/>
    <cellStyle name="Normal 3 2 3 2 4 2" xfId="3656" xr:uid="{5B209010-C3B4-4D20-926A-5755D4066791}"/>
    <cellStyle name="Normal 3 2 3 2 5" xfId="3516" xr:uid="{8855198A-72C3-46C8-A314-97CF208D4E3E}"/>
    <cellStyle name="Normal 3 2 3 2 6" xfId="3566" xr:uid="{E606F016-15E5-4F81-9405-08BF420BE992}"/>
    <cellStyle name="Normal 3 2 3 3" xfId="2883" xr:uid="{00000000-0005-0000-0000-00001A090000}"/>
    <cellStyle name="Normal 3 2 3 3 2" xfId="2984" xr:uid="{00000000-0005-0000-0000-0000BF090000}"/>
    <cellStyle name="Normal 3 2 3 3 2 2" xfId="3695" xr:uid="{AEB4F857-2129-47F6-90B3-C5E8DF5DF84A}"/>
    <cellStyle name="Normal 3 2 3 3 3" xfId="3594" xr:uid="{FB48C2C3-1A03-40C2-8108-FB24D3CB768B}"/>
    <cellStyle name="Normal 3 2 3 4" xfId="3427" xr:uid="{00000000-0005-0000-0000-0000C0090000}"/>
    <cellStyle name="Normal 3 2 3 4 2" xfId="3735" xr:uid="{65198894-F5FD-441B-B1E9-EB219E465CCA}"/>
    <cellStyle name="Normal 3 2 3 5" xfId="2928" xr:uid="{00000000-0005-0000-0000-0000BB090000}"/>
    <cellStyle name="Normal 3 2 3 5 2" xfId="3639" xr:uid="{4BD8B252-34F7-46B1-85FD-047B0828AA00}"/>
    <cellStyle name="Normal 3 2 3 6" xfId="3499" xr:uid="{93FD3DDF-56FC-4E90-AA87-A65C291D2670}"/>
    <cellStyle name="Normal 3 2 3 7" xfId="3549" xr:uid="{B8C7264C-5D55-4F46-B4EF-87A902DB3FA6}"/>
    <cellStyle name="Normal 3 2 4" xfId="35" xr:uid="{00000000-0005-0000-0000-00001C090000}"/>
    <cellStyle name="Normal 3 2 4 2" xfId="2847" xr:uid="{00000000-0005-0000-0000-00001D090000}"/>
    <cellStyle name="Normal 3 2 4 2 2" xfId="2894" xr:uid="{00000000-0005-0000-0000-00001D090000}"/>
    <cellStyle name="Normal 3 2 4 2 2 2" xfId="2995" xr:uid="{00000000-0005-0000-0000-0000C3090000}"/>
    <cellStyle name="Normal 3 2 4 2 2 2 2" xfId="3706" xr:uid="{8BD47A95-9321-44B1-926C-9DEA4F8FF22E}"/>
    <cellStyle name="Normal 3 2 4 2 2 3" xfId="3605" xr:uid="{37305FC6-C480-4545-BCC1-B5E671DF8AA7}"/>
    <cellStyle name="Normal 3 2 4 2 3" xfId="3439" xr:uid="{00000000-0005-0000-0000-0000C4090000}"/>
    <cellStyle name="Normal 3 2 4 2 3 2" xfId="3746" xr:uid="{E884538F-FE21-474B-88E9-0A97AD857F8D}"/>
    <cellStyle name="Normal 3 2 4 2 4" xfId="2939" xr:uid="{00000000-0005-0000-0000-0000C2090000}"/>
    <cellStyle name="Normal 3 2 4 2 4 2" xfId="3650" xr:uid="{77090288-3BFF-4534-8FEC-6D78203CDD2C}"/>
    <cellStyle name="Normal 3 2 4 2 5" xfId="3510" xr:uid="{4FA46C88-17AE-437A-8CB9-ED335B25056B}"/>
    <cellStyle name="Normal 3 2 4 2 6" xfId="3560" xr:uid="{8C7BCCC1-E961-4CF3-8995-75BB82CF3AA8}"/>
    <cellStyle name="Normal 3 2 4 3" xfId="2877" xr:uid="{00000000-0005-0000-0000-00001C090000}"/>
    <cellStyle name="Normal 3 2 4 3 2" xfId="2962" xr:uid="{00000000-0005-0000-0000-0000C5090000}"/>
    <cellStyle name="Normal 3 2 4 3 2 2" xfId="3673" xr:uid="{25648351-880C-4C7E-890E-8563F517A656}"/>
    <cellStyle name="Normal 3 2 4 3 3" xfId="3588" xr:uid="{31DDA595-EB1D-400B-AF0A-B2365D732A29}"/>
    <cellStyle name="Normal 3 2 4 4" xfId="3022" xr:uid="{00000000-0005-0000-0000-0000C6090000}"/>
    <cellStyle name="Normal 3 2 4 4 2" xfId="3729" xr:uid="{98A3B011-0AD1-4B65-8F67-93DE589DCFF6}"/>
    <cellStyle name="Normal 3 2 4 5" xfId="2922" xr:uid="{00000000-0005-0000-0000-0000C1090000}"/>
    <cellStyle name="Normal 3 2 4 5 2" xfId="3633" xr:uid="{DC9E4C45-072B-4B50-A18C-08AA063D7CE5}"/>
    <cellStyle name="Normal 3 2 4 6" xfId="3493" xr:uid="{9C60E6DB-E469-4D8E-9D38-ED26EC971126}"/>
    <cellStyle name="Normal 3 2 4 7" xfId="3543" xr:uid="{4D2AEC79-0947-46CD-B36C-79CD7ADFDC8F}"/>
    <cellStyle name="Normal 3 2 5" xfId="28" xr:uid="{00000000-0005-0000-0000-00001E090000}"/>
    <cellStyle name="Normal 3 2 5 2" xfId="2874" xr:uid="{00000000-0005-0000-0000-00001E090000}"/>
    <cellStyle name="Normal 3 2 5 2 2" xfId="2959" xr:uid="{00000000-0005-0000-0000-0000C8090000}"/>
    <cellStyle name="Normal 3 2 5 2 2 2" xfId="3670" xr:uid="{46CCEF7B-D282-42AF-9960-072C8B245460}"/>
    <cellStyle name="Normal 3 2 5 2 3" xfId="3585" xr:uid="{E3BC0D2D-2A59-47A4-B1FE-9E1C9C18BD81}"/>
    <cellStyle name="Normal 3 2 5 3" xfId="3015" xr:uid="{00000000-0005-0000-0000-0000C9090000}"/>
    <cellStyle name="Normal 3 2 5 3 2" xfId="3726" xr:uid="{10639ADA-91D2-44BE-B052-FBA81C3ED425}"/>
    <cellStyle name="Normal 3 2 5 4" xfId="2919" xr:uid="{00000000-0005-0000-0000-0000C7090000}"/>
    <cellStyle name="Normal 3 2 5 4 2" xfId="3630" xr:uid="{D97C609C-085E-44F3-A8EB-612559636C70}"/>
    <cellStyle name="Normal 3 2 5 5" xfId="3490" xr:uid="{12786204-5EB0-4019-A44F-BFDB3E8937EA}"/>
    <cellStyle name="Normal 3 2 5 6" xfId="3540" xr:uid="{73361734-07CB-45EC-ADA1-ABFF1D8B62A1}"/>
    <cellStyle name="Normal 3 2 6" xfId="2844" xr:uid="{00000000-0005-0000-0000-00001F090000}"/>
    <cellStyle name="Normal 3 2 6 2" xfId="2891" xr:uid="{00000000-0005-0000-0000-00001F090000}"/>
    <cellStyle name="Normal 3 2 6 2 2" xfId="2992" xr:uid="{00000000-0005-0000-0000-0000CB090000}"/>
    <cellStyle name="Normal 3 2 6 2 2 2" xfId="3703" xr:uid="{9BC64B68-CEA3-4AB5-88B6-9CDE3AB4111D}"/>
    <cellStyle name="Normal 3 2 6 2 3" xfId="3602" xr:uid="{FC41A34A-709F-4F3B-91EF-A4D7AB2840D1}"/>
    <cellStyle name="Normal 3 2 6 3" xfId="3436" xr:uid="{00000000-0005-0000-0000-0000CC090000}"/>
    <cellStyle name="Normal 3 2 6 3 2" xfId="3743" xr:uid="{2D832B08-FE86-4C82-99D7-E3B786398E74}"/>
    <cellStyle name="Normal 3 2 6 4" xfId="2936" xr:uid="{00000000-0005-0000-0000-0000CA090000}"/>
    <cellStyle name="Normal 3 2 6 4 2" xfId="3647" xr:uid="{525BA2FD-8615-45D3-876A-3DF2C3358B84}"/>
    <cellStyle name="Normal 3 2 6 5" xfId="3507" xr:uid="{0FA642DC-CC75-47E6-96A4-8B7C13ED7FAC}"/>
    <cellStyle name="Normal 3 2 6 6" xfId="3557" xr:uid="{CBBDA63E-AEBF-4EDE-A3C2-84CC5B614FAB}"/>
    <cellStyle name="Normal 3 2 7" xfId="25" xr:uid="{00000000-0005-0000-0000-000020090000}"/>
    <cellStyle name="Normal 3 2 7 2" xfId="2871" xr:uid="{00000000-0005-0000-0000-000020090000}"/>
    <cellStyle name="Normal 3 2 7 2 2" xfId="3582" xr:uid="{21C800B4-5937-40E6-98FE-4EB96EE7AB4C}"/>
    <cellStyle name="Normal 3 2 7 3" xfId="2916" xr:uid="{00000000-0005-0000-0000-0000CD090000}"/>
    <cellStyle name="Normal 3 2 7 3 2" xfId="3627" xr:uid="{9AED4066-B7A0-4322-A18E-63FCAB8D40B6}"/>
    <cellStyle name="Normal 3 2 7 4" xfId="3487" xr:uid="{0E3377F5-EEA2-43A2-832E-33936A62D01C}"/>
    <cellStyle name="Normal 3 2 7 5" xfId="3537" xr:uid="{BFC66F87-E8D8-4B3D-A88F-1F9D049883CD}"/>
    <cellStyle name="Normal 3 2 8" xfId="20" xr:uid="{00000000-0005-0000-0000-000017090000}"/>
    <cellStyle name="Normal 3 2 8 2" xfId="2956" xr:uid="{00000000-0005-0000-0000-0000CE090000}"/>
    <cellStyle name="Normal 3 2 8 2 2" xfId="3667" xr:uid="{531671EA-F7AA-4FF4-8B30-38CCE6234163}"/>
    <cellStyle name="Normal 3 2 8 3" xfId="3532" xr:uid="{6F0D2BA4-61A6-46D5-8C5E-9E063B70D25E}"/>
    <cellStyle name="Normal 3 2 9" xfId="2866" xr:uid="{00000000-0005-0000-0000-000017090000}"/>
    <cellStyle name="Normal 3 2 9 2" xfId="3012" xr:uid="{00000000-0005-0000-0000-0000CF090000}"/>
    <cellStyle name="Normal 3 2 9 2 2" xfId="3723" xr:uid="{BCF16BD0-5AB2-4267-8C69-B244C193150B}"/>
    <cellStyle name="Normal 3 2 9 3" xfId="3577" xr:uid="{F28CCC32-6229-4C94-BFB9-FB23866CC650}"/>
    <cellStyle name="Normal 3 3" xfId="217" xr:uid="{00000000-0005-0000-0000-000021090000}"/>
    <cellStyle name="Normal 3 3 2" xfId="218" xr:uid="{00000000-0005-0000-0000-000022090000}"/>
    <cellStyle name="Normal 3 3 2 2" xfId="2530" xr:uid="{00000000-0005-0000-0000-000023090000}"/>
    <cellStyle name="Normal 3 3 2 3" xfId="2972" xr:uid="{00000000-0005-0000-0000-0000D3090000}"/>
    <cellStyle name="Normal 3 3 2 3 2" xfId="3683" xr:uid="{2A17925E-C5A9-4CE8-AEDA-5271121DACE7}"/>
    <cellStyle name="Normal 3 3 3" xfId="2257" xr:uid="{00000000-0005-0000-0000-000024090000}"/>
    <cellStyle name="Normal 3 4" xfId="2258" xr:uid="{00000000-0005-0000-0000-000025090000}"/>
    <cellStyle name="Normal 3 4 2" xfId="2851" xr:uid="{00000000-0005-0000-0000-000026090000}"/>
    <cellStyle name="Normal 3 4 2 2" xfId="2898" xr:uid="{00000000-0005-0000-0000-000026090000}"/>
    <cellStyle name="Normal 3 4 2 2 2" xfId="2999" xr:uid="{00000000-0005-0000-0000-0000D7090000}"/>
    <cellStyle name="Normal 3 4 2 2 2 2" xfId="3710" xr:uid="{90339627-D763-44C8-87E6-9623F50ADDDA}"/>
    <cellStyle name="Normal 3 4 2 2 3" xfId="3609" xr:uid="{CF064FE2-04FC-4586-9F2D-CF1F8E0955AE}"/>
    <cellStyle name="Normal 3 4 2 3" xfId="3443" xr:uid="{00000000-0005-0000-0000-0000D8090000}"/>
    <cellStyle name="Normal 3 4 2 3 2" xfId="3750" xr:uid="{03157A21-C1B7-4A96-B4B7-72CC3734DA4B}"/>
    <cellStyle name="Normal 3 4 2 4" xfId="2943" xr:uid="{00000000-0005-0000-0000-0000D6090000}"/>
    <cellStyle name="Normal 3 4 2 4 2" xfId="3654" xr:uid="{49C6E50D-C501-46EA-84A8-FE3AF2E46EC6}"/>
    <cellStyle name="Normal 3 4 2 5" xfId="3514" xr:uid="{488CD26D-64E0-4706-91FA-AD4BAB7F7071}"/>
    <cellStyle name="Normal 3 4 2 6" xfId="3564" xr:uid="{8B32243C-4B7B-4265-BE85-B8BC6AD44E45}"/>
    <cellStyle name="Normal 3 4 3" xfId="2881" xr:uid="{00000000-0005-0000-0000-000025090000}"/>
    <cellStyle name="Normal 3 4 3 2" xfId="2982" xr:uid="{00000000-0005-0000-0000-0000D9090000}"/>
    <cellStyle name="Normal 3 4 3 2 2" xfId="3693" xr:uid="{78593648-4777-4434-96DD-4BFB402BB3E7}"/>
    <cellStyle name="Normal 3 4 3 3" xfId="3592" xr:uid="{D88508F0-EE0B-4FB6-8D6A-B8E3985E1F59}"/>
    <cellStyle name="Normal 3 4 4" xfId="3419" xr:uid="{00000000-0005-0000-0000-0000DA090000}"/>
    <cellStyle name="Normal 3 4 4 2" xfId="3733" xr:uid="{C1DEDC15-E715-43E3-A4E3-2BDDA71EF694}"/>
    <cellStyle name="Normal 3 4 5" xfId="2926" xr:uid="{00000000-0005-0000-0000-0000D5090000}"/>
    <cellStyle name="Normal 3 4 5 2" xfId="3637" xr:uid="{4CC5946D-ED29-4B35-BFE8-023F3F0FD81A}"/>
    <cellStyle name="Normal 3 4 6" xfId="3497" xr:uid="{5B37469C-988A-44C7-940E-1751F3149D5A}"/>
    <cellStyle name="Normal 3 4 7" xfId="3547" xr:uid="{33767754-71AD-4B0E-B655-84995BE69171}"/>
    <cellStyle name="Normal 3 5" xfId="2536" xr:uid="{00000000-0005-0000-0000-000027090000}"/>
    <cellStyle name="Normal 3 5 2" xfId="2855" xr:uid="{00000000-0005-0000-0000-000028090000}"/>
    <cellStyle name="Normal 3 5 2 2" xfId="2902" xr:uid="{00000000-0005-0000-0000-000028090000}"/>
    <cellStyle name="Normal 3 5 2 2 2" xfId="3003" xr:uid="{00000000-0005-0000-0000-0000DD090000}"/>
    <cellStyle name="Normal 3 5 2 2 2 2" xfId="3714" xr:uid="{24FD395C-7528-408D-827D-6E1146B8AB87}"/>
    <cellStyle name="Normal 3 5 2 2 3" xfId="3613" xr:uid="{80733169-EC1C-4845-99D8-82AC0C446609}"/>
    <cellStyle name="Normal 3 5 2 3" xfId="3447" xr:uid="{00000000-0005-0000-0000-0000DE090000}"/>
    <cellStyle name="Normal 3 5 2 3 2" xfId="3754" xr:uid="{08C60F48-A3D3-4F47-A8A7-A27002F0AC9E}"/>
    <cellStyle name="Normal 3 5 2 4" xfId="2947" xr:uid="{00000000-0005-0000-0000-0000DC090000}"/>
    <cellStyle name="Normal 3 5 2 4 2" xfId="3658" xr:uid="{5BB4ABDE-CFB9-435A-8626-166CA6EF12E7}"/>
    <cellStyle name="Normal 3 5 2 5" xfId="3518" xr:uid="{2DB53D8A-62B7-4BC6-AA4F-A5F9CC88CB45}"/>
    <cellStyle name="Normal 3 5 2 6" xfId="3568" xr:uid="{D9FBE8A1-F710-4800-91B8-6C56B2F88713}"/>
    <cellStyle name="Normal 3 5 3" xfId="2885" xr:uid="{00000000-0005-0000-0000-000027090000}"/>
    <cellStyle name="Normal 3 5 3 2" xfId="2986" xr:uid="{00000000-0005-0000-0000-0000DF090000}"/>
    <cellStyle name="Normal 3 5 3 2 2" xfId="3697" xr:uid="{FD02E775-B383-412C-9C92-486FA12B3C92}"/>
    <cellStyle name="Normal 3 5 3 3" xfId="3596" xr:uid="{99B8DCBF-C1E8-4206-98DF-168D0F0FF575}"/>
    <cellStyle name="Normal 3 5 4" xfId="3429" xr:uid="{00000000-0005-0000-0000-0000E0090000}"/>
    <cellStyle name="Normal 3 5 4 2" xfId="3737" xr:uid="{7EBE0613-187E-4C1F-87D8-05241A201842}"/>
    <cellStyle name="Normal 3 5 5" xfId="2930" xr:uid="{00000000-0005-0000-0000-0000DB090000}"/>
    <cellStyle name="Normal 3 5 5 2" xfId="3641" xr:uid="{BD788F01-5F10-4048-B020-D8DE73F76D7F}"/>
    <cellStyle name="Normal 3 5 6" xfId="3501" xr:uid="{AF45FDBB-CE55-4473-AE42-42A3ED4BE366}"/>
    <cellStyle name="Normal 3 5 7" xfId="3551" xr:uid="{3D997E6A-0D03-4C8E-9738-C83B44BB3E3D}"/>
    <cellStyle name="Normal 3 6" xfId="2539" xr:uid="{00000000-0005-0000-0000-000029090000}"/>
    <cellStyle name="Normal 3 6 2" xfId="2857" xr:uid="{00000000-0005-0000-0000-00002A090000}"/>
    <cellStyle name="Normal 3 6 2 2" xfId="2904" xr:uid="{00000000-0005-0000-0000-00002A090000}"/>
    <cellStyle name="Normal 3 6 2 2 2" xfId="3005" xr:uid="{00000000-0005-0000-0000-0000E3090000}"/>
    <cellStyle name="Normal 3 6 2 2 2 2" xfId="3716" xr:uid="{9328ADA8-C222-4274-A62E-BC4A51859EA7}"/>
    <cellStyle name="Normal 3 6 2 2 3" xfId="3615" xr:uid="{AEDF7FD8-A517-4822-B324-5619EF2B469F}"/>
    <cellStyle name="Normal 3 6 2 3" xfId="3449" xr:uid="{00000000-0005-0000-0000-0000E4090000}"/>
    <cellStyle name="Normal 3 6 2 3 2" xfId="3756" xr:uid="{97D796C2-1D83-4464-927B-103E0A7A8272}"/>
    <cellStyle name="Normal 3 6 2 4" xfId="2949" xr:uid="{00000000-0005-0000-0000-0000E2090000}"/>
    <cellStyle name="Normal 3 6 2 4 2" xfId="3660" xr:uid="{058FEB41-E656-4E23-8C93-DED359C493FC}"/>
    <cellStyle name="Normal 3 6 2 5" xfId="3520" xr:uid="{2761A93D-C086-4576-B4B8-05397801A6F2}"/>
    <cellStyle name="Normal 3 6 2 6" xfId="3570" xr:uid="{B2EDC3B5-C8DD-4E98-B38C-4E83DAF0520B}"/>
    <cellStyle name="Normal 3 6 3" xfId="2887" xr:uid="{00000000-0005-0000-0000-000029090000}"/>
    <cellStyle name="Normal 3 6 3 2" xfId="2988" xr:uid="{00000000-0005-0000-0000-0000E5090000}"/>
    <cellStyle name="Normal 3 6 3 2 2" xfId="3699" xr:uid="{D5DDB54D-D0CE-4A4A-AF20-238393EF5F8C}"/>
    <cellStyle name="Normal 3 6 3 3" xfId="3598" xr:uid="{F94439E9-4125-4315-AEF9-735DA3CA1F2B}"/>
    <cellStyle name="Normal 3 6 4" xfId="3431" xr:uid="{00000000-0005-0000-0000-0000E6090000}"/>
    <cellStyle name="Normal 3 6 4 2" xfId="3739" xr:uid="{88440880-973D-447E-ABFF-C9B0D66E5BA8}"/>
    <cellStyle name="Normal 3 6 5" xfId="2932" xr:uid="{00000000-0005-0000-0000-0000E1090000}"/>
    <cellStyle name="Normal 3 6 5 2" xfId="3643" xr:uid="{9E555B2F-658E-4FF0-8C77-35083CA71979}"/>
    <cellStyle name="Normal 3 6 6" xfId="3503" xr:uid="{4EA84642-B615-46B2-B222-F70A37F7A573}"/>
    <cellStyle name="Normal 3 6 7" xfId="3553" xr:uid="{2B237683-A0AC-4102-BD3B-ACA4EB3B699B}"/>
    <cellStyle name="Normal 3 7" xfId="30" xr:uid="{00000000-0005-0000-0000-00002B090000}"/>
    <cellStyle name="Normal 3 7 2" xfId="2846" xr:uid="{00000000-0005-0000-0000-00002C090000}"/>
    <cellStyle name="Normal 3 7 2 2" xfId="2893" xr:uid="{00000000-0005-0000-0000-00002C090000}"/>
    <cellStyle name="Normal 3 7 2 2 2" xfId="2994" xr:uid="{00000000-0005-0000-0000-0000E9090000}"/>
    <cellStyle name="Normal 3 7 2 2 2 2" xfId="3705" xr:uid="{58E400BF-C835-4AD8-897E-3795F75694E9}"/>
    <cellStyle name="Normal 3 7 2 2 3" xfId="3604" xr:uid="{34E0763B-D6EB-4A71-BFA8-7A25C94FC91E}"/>
    <cellStyle name="Normal 3 7 2 3" xfId="3438" xr:uid="{00000000-0005-0000-0000-0000EA090000}"/>
    <cellStyle name="Normal 3 7 2 3 2" xfId="3745" xr:uid="{93F3BFA2-D06F-4492-BBBA-DABB53AF4026}"/>
    <cellStyle name="Normal 3 7 2 4" xfId="2938" xr:uid="{00000000-0005-0000-0000-0000E8090000}"/>
    <cellStyle name="Normal 3 7 2 4 2" xfId="3649" xr:uid="{E1C3F37C-E2C2-4324-A81B-89D82802A2D1}"/>
    <cellStyle name="Normal 3 7 2 5" xfId="3509" xr:uid="{DFE2A52D-1805-44F7-9D66-9C6188F6674E}"/>
    <cellStyle name="Normal 3 7 2 6" xfId="3559" xr:uid="{2D6EE1BA-71B5-446F-8727-A123F680B471}"/>
    <cellStyle name="Normal 3 7 3" xfId="2876" xr:uid="{00000000-0005-0000-0000-00002B090000}"/>
    <cellStyle name="Normal 3 7 3 2" xfId="2961" xr:uid="{00000000-0005-0000-0000-0000EB090000}"/>
    <cellStyle name="Normal 3 7 3 2 2" xfId="3672" xr:uid="{F7AB9AB7-6B48-47A6-9B7E-EFDE3D1EE18F}"/>
    <cellStyle name="Normal 3 7 3 3" xfId="3587" xr:uid="{8EB91F44-A738-47FD-9C0F-F53CBDE532B8}"/>
    <cellStyle name="Normal 3 7 4" xfId="3017" xr:uid="{00000000-0005-0000-0000-0000EC090000}"/>
    <cellStyle name="Normal 3 7 4 2" xfId="3728" xr:uid="{12F54561-FB9C-4EEC-8974-6680E5964179}"/>
    <cellStyle name="Normal 3 7 5" xfId="2921" xr:uid="{00000000-0005-0000-0000-0000E7090000}"/>
    <cellStyle name="Normal 3 7 5 2" xfId="3632" xr:uid="{A6581DEF-A625-447A-9F90-A4B48C4A669C}"/>
    <cellStyle name="Normal 3 7 6" xfId="3492" xr:uid="{20F9E32E-9DF8-46EB-B3E5-D8A49F073D82}"/>
    <cellStyle name="Normal 3 7 7" xfId="3542" xr:uid="{55F7F739-957A-4DA8-ACF3-E46079E068D0}"/>
    <cellStyle name="Normal 3 8" xfId="29" xr:uid="{00000000-0005-0000-0000-00002D090000}"/>
    <cellStyle name="Normal 3 8 2" xfId="2845" xr:uid="{00000000-0005-0000-0000-00002E090000}"/>
    <cellStyle name="Normal 3 8 2 2" xfId="2892" xr:uid="{00000000-0005-0000-0000-00002E090000}"/>
    <cellStyle name="Normal 3 8 2 2 2" xfId="2993" xr:uid="{00000000-0005-0000-0000-0000EF090000}"/>
    <cellStyle name="Normal 3 8 2 2 2 2" xfId="3704" xr:uid="{B2A58E66-4B68-4125-9BF3-8652850FC787}"/>
    <cellStyle name="Normal 3 8 2 2 3" xfId="3603" xr:uid="{C5D7D47B-B603-4EE5-AB33-B8BA4599AA72}"/>
    <cellStyle name="Normal 3 8 2 3" xfId="3437" xr:uid="{00000000-0005-0000-0000-0000F0090000}"/>
    <cellStyle name="Normal 3 8 2 3 2" xfId="3744" xr:uid="{B5701821-22C8-412F-9024-C39F259FFEF0}"/>
    <cellStyle name="Normal 3 8 2 4" xfId="2937" xr:uid="{00000000-0005-0000-0000-0000EE090000}"/>
    <cellStyle name="Normal 3 8 2 4 2" xfId="3648" xr:uid="{B7D4E8A1-2E95-4AB5-92EB-86871AABBCAB}"/>
    <cellStyle name="Normal 3 8 2 5" xfId="3508" xr:uid="{0A53F7EB-4535-4212-AE5B-109FE4450299}"/>
    <cellStyle name="Normal 3 8 2 6" xfId="3558" xr:uid="{3E7CDD11-0FB6-4C67-9BD3-D43447618D98}"/>
    <cellStyle name="Normal 3 8 3" xfId="2875" xr:uid="{00000000-0005-0000-0000-00002D090000}"/>
    <cellStyle name="Normal 3 8 3 2" xfId="2960" xr:uid="{00000000-0005-0000-0000-0000F1090000}"/>
    <cellStyle name="Normal 3 8 3 2 2" xfId="3671" xr:uid="{DFA1FB67-9EEB-4303-9075-8AB2CF8C9DCA}"/>
    <cellStyle name="Normal 3 8 3 3" xfId="3586" xr:uid="{3A4D4927-D70C-40C2-A4ED-B369140D6558}"/>
    <cellStyle name="Normal 3 8 4" xfId="3016" xr:uid="{00000000-0005-0000-0000-0000F2090000}"/>
    <cellStyle name="Normal 3 8 4 2" xfId="3727" xr:uid="{0E3CD8BB-C1A4-443D-B86E-CD5B5608DF08}"/>
    <cellStyle name="Normal 3 8 5" xfId="2920" xr:uid="{00000000-0005-0000-0000-0000ED090000}"/>
    <cellStyle name="Normal 3 8 5 2" xfId="3631" xr:uid="{47EAA373-8975-4172-8AA8-B1CFA435E2F6}"/>
    <cellStyle name="Normal 3 8 6" xfId="3491" xr:uid="{C40D430F-112F-4E6E-82D5-7F9A4E0F9DD0}"/>
    <cellStyle name="Normal 3 8 7" xfId="3541" xr:uid="{F1B1F1C1-F6B8-49F9-89F9-873083F3A80C}"/>
    <cellStyle name="Normal 3 9" xfId="27" xr:uid="{00000000-0005-0000-0000-00002F090000}"/>
    <cellStyle name="Normal 3 9 2" xfId="2873" xr:uid="{00000000-0005-0000-0000-00002F090000}"/>
    <cellStyle name="Normal 3 9 2 2" xfId="2958" xr:uid="{00000000-0005-0000-0000-0000F4090000}"/>
    <cellStyle name="Normal 3 9 2 2 2" xfId="3669" xr:uid="{A7821725-C7AA-4990-BE6F-123AB686888B}"/>
    <cellStyle name="Normal 3 9 2 3" xfId="3584" xr:uid="{76824D38-D2B8-4BA6-BA30-C62F5A2473BE}"/>
    <cellStyle name="Normal 3 9 3" xfId="3014" xr:uid="{00000000-0005-0000-0000-0000F5090000}"/>
    <cellStyle name="Normal 3 9 3 2" xfId="3725" xr:uid="{7E9336C5-B4BC-44CB-B9A2-9E84879C98AD}"/>
    <cellStyle name="Normal 3 9 4" xfId="2918" xr:uid="{00000000-0005-0000-0000-0000F3090000}"/>
    <cellStyle name="Normal 3 9 4 2" xfId="3629" xr:uid="{099CC928-3879-4C70-821F-6AC63B473BAA}"/>
    <cellStyle name="Normal 3 9 5" xfId="3489" xr:uid="{2BA87B11-58FC-47DD-8D4D-4E1672CB6C2A}"/>
    <cellStyle name="Normal 3 9 6" xfId="3539" xr:uid="{5A1C28E1-D14B-476B-ABD1-DD8A9FDF4557}"/>
    <cellStyle name="Normal 4" xfId="16" xr:uid="{00000000-0005-0000-0000-000008000000}"/>
    <cellStyle name="Normal 4 10" xfId="2867" xr:uid="{00000000-0005-0000-0000-000030090000}"/>
    <cellStyle name="Normal 4 10 2" xfId="3013" xr:uid="{00000000-0005-0000-0000-0000F7090000}"/>
    <cellStyle name="Normal 4 10 2 2" xfId="3724" xr:uid="{17273B3D-5601-42B8-8AFC-F729229BCD09}"/>
    <cellStyle name="Normal 4 10 3" xfId="3578" xr:uid="{8ED8F540-AD75-4618-A908-459CA13E3B0E}"/>
    <cellStyle name="Normal 4 11" xfId="3478" xr:uid="{00000000-0005-0000-0000-000006000000}"/>
    <cellStyle name="Normal 4 11 2" xfId="3767" xr:uid="{A5A3E176-5FC4-43D7-8491-C180F7666753}"/>
    <cellStyle name="Normal 4 12" xfId="2912" xr:uid="{00000000-0005-0000-0000-0000F6090000}"/>
    <cellStyle name="Normal 4 12 2" xfId="3623" xr:uid="{1C491EA1-6F71-4711-9D98-A28CC2BEE510}"/>
    <cellStyle name="Normal 4 13" xfId="3483" xr:uid="{865839D9-3681-46A2-981C-92DB83C11CCD}"/>
    <cellStyle name="Normal 4 14" xfId="3528" xr:uid="{12000672-1399-4AF1-81A4-D37C76B43175}"/>
    <cellStyle name="Normal 4 2" xfId="2259" xr:uid="{00000000-0005-0000-0000-000031090000}"/>
    <cellStyle name="Normal 4 2 2" xfId="2852" xr:uid="{00000000-0005-0000-0000-000032090000}"/>
    <cellStyle name="Normal 4 2 2 2" xfId="2899" xr:uid="{00000000-0005-0000-0000-000032090000}"/>
    <cellStyle name="Normal 4 2 2 2 2" xfId="3000" xr:uid="{00000000-0005-0000-0000-0000FA090000}"/>
    <cellStyle name="Normal 4 2 2 2 2 2" xfId="3711" xr:uid="{D2F5BEDA-AFD6-439D-91E0-1C9E9EDD3B2C}"/>
    <cellStyle name="Normal 4 2 2 2 3" xfId="3610" xr:uid="{88B0B828-1458-4755-9662-F46D2A4D3A5B}"/>
    <cellStyle name="Normal 4 2 2 3" xfId="3444" xr:uid="{00000000-0005-0000-0000-0000FB090000}"/>
    <cellStyle name="Normal 4 2 2 3 2" xfId="3751" xr:uid="{4196F9E2-8AB7-4FB5-939F-7259C84C0908}"/>
    <cellStyle name="Normal 4 2 2 4" xfId="2944" xr:uid="{00000000-0005-0000-0000-0000F9090000}"/>
    <cellStyle name="Normal 4 2 2 4 2" xfId="3655" xr:uid="{B82D43C2-68D3-4D59-8E0C-6521E6B077EB}"/>
    <cellStyle name="Normal 4 2 2 5" xfId="3515" xr:uid="{6F93C139-88F4-42B8-BAAD-2803BF1E11A3}"/>
    <cellStyle name="Normal 4 2 2 6" xfId="3565" xr:uid="{38D3D9E6-FCE3-4715-A2EF-62625A4745C1}"/>
    <cellStyle name="Normal 4 2 3" xfId="2882" xr:uid="{00000000-0005-0000-0000-000031090000}"/>
    <cellStyle name="Normal 4 2 3 2" xfId="2983" xr:uid="{00000000-0005-0000-0000-0000FC090000}"/>
    <cellStyle name="Normal 4 2 3 2 2" xfId="3694" xr:uid="{56DEF071-3EC1-4BB9-98CA-9908BD977C6A}"/>
    <cellStyle name="Normal 4 2 3 3" xfId="3593" xr:uid="{88E8FBC3-3F3D-43B0-BC9E-B9A565359523}"/>
    <cellStyle name="Normal 4 2 4" xfId="3420" xr:uid="{00000000-0005-0000-0000-0000FD090000}"/>
    <cellStyle name="Normal 4 2 4 2" xfId="3734" xr:uid="{032F83F4-528B-49C4-9FCB-75D146F1B6C5}"/>
    <cellStyle name="Normal 4 2 5" xfId="2927" xr:uid="{00000000-0005-0000-0000-0000F8090000}"/>
    <cellStyle name="Normal 4 2 5 2" xfId="3638" xr:uid="{1E403BC8-0222-4917-AB97-126D4E0255BB}"/>
    <cellStyle name="Normal 4 2 6" xfId="3498" xr:uid="{FA753614-F472-4DBF-9908-580FCC02EA3F}"/>
    <cellStyle name="Normal 4 2 7" xfId="3548" xr:uid="{F81907CD-3869-4C91-BB9D-B33E859A470E}"/>
    <cellStyle name="Normal 4 3" xfId="2537" xr:uid="{00000000-0005-0000-0000-000033090000}"/>
    <cellStyle name="Normal 4 3 2" xfId="2856" xr:uid="{00000000-0005-0000-0000-000034090000}"/>
    <cellStyle name="Normal 4 3 2 2" xfId="2903" xr:uid="{00000000-0005-0000-0000-000034090000}"/>
    <cellStyle name="Normal 4 3 2 2 2" xfId="3004" xr:uid="{00000000-0005-0000-0000-0000000A0000}"/>
    <cellStyle name="Normal 4 3 2 2 2 2" xfId="3715" xr:uid="{68FAE5AA-AF51-460D-84CD-5E5B37DC2240}"/>
    <cellStyle name="Normal 4 3 2 2 3" xfId="3614" xr:uid="{508D71A2-D709-4164-B9B8-2F5AE25CA00B}"/>
    <cellStyle name="Normal 4 3 2 3" xfId="3448" xr:uid="{00000000-0005-0000-0000-0000010A0000}"/>
    <cellStyle name="Normal 4 3 2 3 2" xfId="3755" xr:uid="{A1292AB5-3351-435D-9A0C-F60D0BC98936}"/>
    <cellStyle name="Normal 4 3 2 4" xfId="2948" xr:uid="{00000000-0005-0000-0000-0000FF090000}"/>
    <cellStyle name="Normal 4 3 2 4 2" xfId="3659" xr:uid="{5A11E277-FA82-4A38-A218-6D0C4E81F334}"/>
    <cellStyle name="Normal 4 3 2 5" xfId="3519" xr:uid="{26127414-9261-4E24-9134-EB02D6EDAC0C}"/>
    <cellStyle name="Normal 4 3 2 6" xfId="3569" xr:uid="{BAD0DB59-9FD1-42F3-BB27-9BEB6EDD5FA4}"/>
    <cellStyle name="Normal 4 3 3" xfId="2886" xr:uid="{00000000-0005-0000-0000-000033090000}"/>
    <cellStyle name="Normal 4 3 3 2" xfId="2987" xr:uid="{00000000-0005-0000-0000-0000020A0000}"/>
    <cellStyle name="Normal 4 3 3 2 2" xfId="3698" xr:uid="{14700EAD-283B-4F4A-9BCF-A43B0EB6A6D4}"/>
    <cellStyle name="Normal 4 3 3 3" xfId="3597" xr:uid="{82388821-D93B-4CA0-BD5C-3F33D54C589F}"/>
    <cellStyle name="Normal 4 3 4" xfId="3430" xr:uid="{00000000-0005-0000-0000-0000030A0000}"/>
    <cellStyle name="Normal 4 3 4 2" xfId="3738" xr:uid="{7D8C6574-B403-406E-B75D-669AFA8E337A}"/>
    <cellStyle name="Normal 4 3 5" xfId="2931" xr:uid="{00000000-0005-0000-0000-0000FE090000}"/>
    <cellStyle name="Normal 4 3 5 2" xfId="3642" xr:uid="{E337298C-DCCA-4BC2-8557-23F923F5EE1D}"/>
    <cellStyle name="Normal 4 3 6" xfId="3502" xr:uid="{2E729798-7FEE-4CB8-90B3-3664E9016415}"/>
    <cellStyle name="Normal 4 3 7" xfId="3552" xr:uid="{A4D6A567-C827-453C-B26B-A2EAE4F4DC29}"/>
    <cellStyle name="Normal 4 4" xfId="2541" xr:uid="{00000000-0005-0000-0000-000035090000}"/>
    <cellStyle name="Normal 4 4 2" xfId="2859" xr:uid="{00000000-0005-0000-0000-000036090000}"/>
    <cellStyle name="Normal 4 4 2 2" xfId="2906" xr:uid="{00000000-0005-0000-0000-000036090000}"/>
    <cellStyle name="Normal 4 4 2 2 2" xfId="3007" xr:uid="{00000000-0005-0000-0000-0000060A0000}"/>
    <cellStyle name="Normal 4 4 2 2 2 2" xfId="3718" xr:uid="{83167465-5A6A-4892-B21E-20BFC09B6693}"/>
    <cellStyle name="Normal 4 4 2 2 3" xfId="3617" xr:uid="{C1045124-F0D9-44CC-9217-E1C82C1B2CCA}"/>
    <cellStyle name="Normal 4 4 2 3" xfId="3451" xr:uid="{00000000-0005-0000-0000-0000070A0000}"/>
    <cellStyle name="Normal 4 4 2 3 2" xfId="3758" xr:uid="{C5FEB7F6-0D27-492A-90DD-EB48ADEB96E7}"/>
    <cellStyle name="Normal 4 4 2 4" xfId="2951" xr:uid="{00000000-0005-0000-0000-0000050A0000}"/>
    <cellStyle name="Normal 4 4 2 4 2" xfId="3662" xr:uid="{B8EB5A2B-61E4-46E9-9276-064084499347}"/>
    <cellStyle name="Normal 4 4 2 5" xfId="3522" xr:uid="{2883CAC2-26E4-4E4C-8F8F-073A63F4BCF5}"/>
    <cellStyle name="Normal 4 4 2 6" xfId="3572" xr:uid="{ACB2EA47-6760-4AEC-BB22-7CEB2A7F74C1}"/>
    <cellStyle name="Normal 4 4 3" xfId="2889" xr:uid="{00000000-0005-0000-0000-000035090000}"/>
    <cellStyle name="Normal 4 4 3 2" xfId="2990" xr:uid="{00000000-0005-0000-0000-0000080A0000}"/>
    <cellStyle name="Normal 4 4 3 2 2" xfId="3701" xr:uid="{F34481EC-F574-4A50-A375-FA9D320AE52F}"/>
    <cellStyle name="Normal 4 4 3 3" xfId="3600" xr:uid="{35D98DB4-691C-4E8C-BCBA-7EC0E50D93F1}"/>
    <cellStyle name="Normal 4 4 4" xfId="3433" xr:uid="{00000000-0005-0000-0000-0000090A0000}"/>
    <cellStyle name="Normal 4 4 4 2" xfId="3741" xr:uid="{33D8F515-4877-4655-BDA5-4FF149B9BAD7}"/>
    <cellStyle name="Normal 4 4 5" xfId="2934" xr:uid="{00000000-0005-0000-0000-0000040A0000}"/>
    <cellStyle name="Normal 4 4 5 2" xfId="3645" xr:uid="{DCB60917-B9D4-4C63-A641-170AF38B4A82}"/>
    <cellStyle name="Normal 4 4 6" xfId="3505" xr:uid="{D8CF933D-3C6B-4268-A4BA-AB35EDE6BFCE}"/>
    <cellStyle name="Normal 4 4 7" xfId="3555" xr:uid="{1C2DE7C9-E631-4A2E-8BF5-B54382A57335}"/>
    <cellStyle name="Normal 4 5" xfId="219" xr:uid="{00000000-0005-0000-0000-000037090000}"/>
    <cellStyle name="Normal 4 5 2" xfId="2879" xr:uid="{00000000-0005-0000-0000-000037090000}"/>
    <cellStyle name="Normal 4 5 2 2" xfId="2973" xr:uid="{00000000-0005-0000-0000-00000B0A0000}"/>
    <cellStyle name="Normal 4 5 2 2 2" xfId="3684" xr:uid="{424C6511-08B2-48D8-9613-7A3F052583FC}"/>
    <cellStyle name="Normal 4 5 2 3" xfId="3590" xr:uid="{A5EBDF2F-109E-404B-B924-DC6110818B5D}"/>
    <cellStyle name="Normal 4 5 3" xfId="3034" xr:uid="{00000000-0005-0000-0000-00000C0A0000}"/>
    <cellStyle name="Normal 4 5 3 2" xfId="3731" xr:uid="{A541E1EA-3C8A-4929-9EF2-49BF9B22D772}"/>
    <cellStyle name="Normal 4 5 4" xfId="2924" xr:uid="{00000000-0005-0000-0000-00000A0A0000}"/>
    <cellStyle name="Normal 4 5 4 2" xfId="3635" xr:uid="{3017BC62-383D-49F7-800E-1FD184A70A0C}"/>
    <cellStyle name="Normal 4 5 5" xfId="3495" xr:uid="{A56B7357-E065-4F30-AD82-36BE62369DB4}"/>
    <cellStyle name="Normal 4 5 6" xfId="3545" xr:uid="{91082865-AFE9-4FB1-9774-D58165A8E9EC}"/>
    <cellStyle name="Normal 4 6" xfId="2849" xr:uid="{00000000-0005-0000-0000-000038090000}"/>
    <cellStyle name="Normal 4 6 2" xfId="2896" xr:uid="{00000000-0005-0000-0000-000038090000}"/>
    <cellStyle name="Normal 4 6 2 2" xfId="2997" xr:uid="{00000000-0005-0000-0000-00000E0A0000}"/>
    <cellStyle name="Normal 4 6 2 2 2" xfId="3708" xr:uid="{073234EE-18ED-4A30-991E-F6924A95264A}"/>
    <cellStyle name="Normal 4 6 2 3" xfId="3607" xr:uid="{4E57B05A-048D-48DF-8EE5-953C2023D8E0}"/>
    <cellStyle name="Normal 4 6 3" xfId="3441" xr:uid="{00000000-0005-0000-0000-00000F0A0000}"/>
    <cellStyle name="Normal 4 6 3 2" xfId="3748" xr:uid="{B0889C5C-49B4-4058-B89E-8A21AFE51287}"/>
    <cellStyle name="Normal 4 6 4" xfId="2941" xr:uid="{00000000-0005-0000-0000-00000D0A0000}"/>
    <cellStyle name="Normal 4 6 4 2" xfId="3652" xr:uid="{61C1F920-8E23-46D9-8698-77A84A39FED6}"/>
    <cellStyle name="Normal 4 6 5" xfId="3512" xr:uid="{435098EA-D33D-4B03-B3FF-A763A202302B}"/>
    <cellStyle name="Normal 4 6 6" xfId="3562" xr:uid="{79CF02FE-3DA1-4337-A4DB-A6FC7046DBC0}"/>
    <cellStyle name="Normal 4 7" xfId="2864" xr:uid="{00000000-0005-0000-0000-000039090000}"/>
    <cellStyle name="Normal 4 8" xfId="26" xr:uid="{00000000-0005-0000-0000-00003A090000}"/>
    <cellStyle name="Normal 4 8 2" xfId="2872" xr:uid="{00000000-0005-0000-0000-00003A090000}"/>
    <cellStyle name="Normal 4 8 2 2" xfId="3583" xr:uid="{7B89B6F3-C3B8-40D4-8CCE-9AC8F39CC504}"/>
    <cellStyle name="Normal 4 8 3" xfId="2917" xr:uid="{00000000-0005-0000-0000-0000110A0000}"/>
    <cellStyle name="Normal 4 8 3 2" xfId="3628" xr:uid="{033B239D-8414-4EC5-A310-4EF03D32A8AB}"/>
    <cellStyle name="Normal 4 8 4" xfId="3488" xr:uid="{A46CE444-19C4-4D90-B8A5-041B639795AF}"/>
    <cellStyle name="Normal 4 8 5" xfId="3538" xr:uid="{12860400-6256-46F2-BAC0-76B642ECCC84}"/>
    <cellStyle name="Normal 4 9" xfId="21" xr:uid="{00000000-0005-0000-0000-000030090000}"/>
    <cellStyle name="Normal 4 9 2" xfId="2957" xr:uid="{00000000-0005-0000-0000-0000120A0000}"/>
    <cellStyle name="Normal 4 9 2 2" xfId="3668" xr:uid="{0BA30F29-BC4B-4AFC-8DBC-6295248FDEFC}"/>
    <cellStyle name="Normal 4 9 3" xfId="3533" xr:uid="{2A0C731B-393A-4C4D-AB8E-358140C404A3}"/>
    <cellStyle name="Normal 5" xfId="17" xr:uid="{00000000-0005-0000-0000-000009000000}"/>
    <cellStyle name="Normal 5 2" xfId="2260" xr:uid="{00000000-0005-0000-0000-00003C090000}"/>
    <cellStyle name="Normal 5 3" xfId="220" xr:uid="{00000000-0005-0000-0000-00003D090000}"/>
    <cellStyle name="Normal 5 4" xfId="22" xr:uid="{00000000-0005-0000-0000-00003B090000}"/>
    <cellStyle name="Normal 5 4 2" xfId="3479" xr:uid="{00000000-0005-0000-0000-000007000000}"/>
    <cellStyle name="Normal 5 4 2 2" xfId="3768" xr:uid="{9F611122-2D0C-4B64-BD8A-8E665F140EA9}"/>
    <cellStyle name="Normal 5 4 3" xfId="3534" xr:uid="{FE9FABCD-E058-4935-9AAC-F865FCBBDE4C}"/>
    <cellStyle name="Normal 5 5" xfId="2868" xr:uid="{00000000-0005-0000-0000-00003B090000}"/>
    <cellStyle name="Normal 5 5 2" xfId="3579" xr:uid="{3E3561A2-C489-4305-9E66-531456EDB110}"/>
    <cellStyle name="Normal 5 6" xfId="2913" xr:uid="{00000000-0005-0000-0000-0000130A0000}"/>
    <cellStyle name="Normal 5 6 2" xfId="3624" xr:uid="{3F52E8DF-F31A-4E5A-B386-A6DAE0B01D7A}"/>
    <cellStyle name="Normal 5 7" xfId="3484" xr:uid="{79254A92-349E-4955-8E8F-63E8D8FF701C}"/>
    <cellStyle name="Normal 5 8" xfId="3529" xr:uid="{1ECF0AF4-109C-49BF-9223-D6C811C808D3}"/>
    <cellStyle name="Normal 6" xfId="2538" xr:uid="{00000000-0005-0000-0000-00003E090000}"/>
    <cellStyle name="Normal 6 2" xfId="2261" xr:uid="{00000000-0005-0000-0000-00003F090000}"/>
    <cellStyle name="Normal 7" xfId="2860" xr:uid="{00000000-0005-0000-0000-000040090000}"/>
    <cellStyle name="Normal 7 2" xfId="2262" xr:uid="{00000000-0005-0000-0000-000041090000}"/>
    <cellStyle name="Normal 7 3" xfId="2907" xr:uid="{00000000-0005-0000-0000-000040090000}"/>
    <cellStyle name="Normal 7 3 2" xfId="3008" xr:uid="{00000000-0005-0000-0000-00001A0A0000}"/>
    <cellStyle name="Normal 7 3 2 2" xfId="3719" xr:uid="{63447187-A7C3-4F9A-BB32-E7B7E66BE39E}"/>
    <cellStyle name="Normal 7 3 3" xfId="3618" xr:uid="{B5AD690B-2120-4B82-B6F4-83D0DD0547C1}"/>
    <cellStyle name="Normal 7 4" xfId="3452" xr:uid="{00000000-0005-0000-0000-00001B0A0000}"/>
    <cellStyle name="Normal 7 4 2" xfId="3759" xr:uid="{0A055A14-93DC-4B32-A9EC-AE5EB802A77D}"/>
    <cellStyle name="Normal 7 5" xfId="2952" xr:uid="{00000000-0005-0000-0000-0000180A0000}"/>
    <cellStyle name="Normal 7 5 2" xfId="3663" xr:uid="{08B4DB75-CC5E-4CC4-B7F1-166AD8E5D0BC}"/>
    <cellStyle name="Normal 7 6" xfId="3523" xr:uid="{A7999D6D-7C14-4976-9B2E-B045E4CA1710}"/>
    <cellStyle name="Normal 7 7" xfId="3573" xr:uid="{304018C3-54AD-4C71-A832-9D439D6F81DF}"/>
    <cellStyle name="Normal 8" xfId="3473" xr:uid="{00000000-0005-0000-0000-00001C0A0000}"/>
    <cellStyle name="Normal 8 2" xfId="2263" xr:uid="{00000000-0005-0000-0000-000042090000}"/>
    <cellStyle name="Normal 8 3" xfId="3762" xr:uid="{8FA3AC81-9076-4FAE-8721-97B9F627F5A7}"/>
    <cellStyle name="Normal 9 2" xfId="2264" xr:uid="{00000000-0005-0000-0000-00004309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3" xfId="2266" xr:uid="{00000000-0005-0000-0000-00004F090000}"/>
    <cellStyle name="Note 10 3 2" xfId="2712" xr:uid="{00000000-0005-0000-0000-000050090000}"/>
    <cellStyle name="Note 10 3 2 2" xfId="3141" xr:uid="{00000000-0005-0000-0000-00002D0A0000}"/>
    <cellStyle name="Note 10 4" xfId="2267" xr:uid="{00000000-0005-0000-0000-000051090000}"/>
    <cellStyle name="Note 10 4 2" xfId="2713" xr:uid="{00000000-0005-0000-0000-000052090000}"/>
    <cellStyle name="Note 10 4 2 2" xfId="3140" xr:uid="{00000000-0005-0000-0000-0000300A0000}"/>
    <cellStyle name="Note 10 5" xfId="2268" xr:uid="{00000000-0005-0000-0000-000053090000}"/>
    <cellStyle name="Note 10 5 2" xfId="2714" xr:uid="{00000000-0005-0000-0000-000054090000}"/>
    <cellStyle name="Note 10 5 2 2" xfId="3139" xr:uid="{00000000-0005-0000-0000-0000330A0000}"/>
    <cellStyle name="Note 10 6" xfId="2269" xr:uid="{00000000-0005-0000-0000-000055090000}"/>
    <cellStyle name="Note 10 6 2" xfId="2715" xr:uid="{00000000-0005-0000-0000-000056090000}"/>
    <cellStyle name="Note 10 6 2 2" xfId="3138" xr:uid="{00000000-0005-0000-0000-0000360A0000}"/>
    <cellStyle name="Note 11 2" xfId="2270" xr:uid="{00000000-0005-0000-0000-000057090000}"/>
    <cellStyle name="Note 11 2 2" xfId="2716" xr:uid="{00000000-0005-0000-0000-000058090000}"/>
    <cellStyle name="Note 11 2 2 2" xfId="3137" xr:uid="{00000000-0005-0000-0000-0000390A0000}"/>
    <cellStyle name="Note 11 3" xfId="2271" xr:uid="{00000000-0005-0000-0000-000059090000}"/>
    <cellStyle name="Note 11 3 2" xfId="2717" xr:uid="{00000000-0005-0000-0000-00005A090000}"/>
    <cellStyle name="Note 11 3 2 2" xfId="3136" xr:uid="{00000000-0005-0000-0000-00003C0A0000}"/>
    <cellStyle name="Note 11 4" xfId="2272" xr:uid="{00000000-0005-0000-0000-00005B090000}"/>
    <cellStyle name="Note 11 4 2" xfId="2718" xr:uid="{00000000-0005-0000-0000-00005C090000}"/>
    <cellStyle name="Note 11 4 2 2" xfId="3135" xr:uid="{00000000-0005-0000-0000-00003F0A0000}"/>
    <cellStyle name="Note 11 5" xfId="2273" xr:uid="{00000000-0005-0000-0000-00005D090000}"/>
    <cellStyle name="Note 11 5 2" xfId="2719" xr:uid="{00000000-0005-0000-0000-00005E090000}"/>
    <cellStyle name="Note 11 5 2 2" xfId="3134" xr:uid="{00000000-0005-0000-0000-0000420A0000}"/>
    <cellStyle name="Note 11 6" xfId="2274" xr:uid="{00000000-0005-0000-0000-00005F090000}"/>
    <cellStyle name="Note 11 6 2" xfId="2720" xr:uid="{00000000-0005-0000-0000-000060090000}"/>
    <cellStyle name="Note 11 6 2 2" xfId="3133" xr:uid="{00000000-0005-0000-0000-0000450A0000}"/>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3" xfId="2276" xr:uid="{00000000-0005-0000-0000-000064090000}"/>
    <cellStyle name="Note 2 3 2" xfId="2722" xr:uid="{00000000-0005-0000-0000-000065090000}"/>
    <cellStyle name="Note 2 3 2 2" xfId="3131" xr:uid="{00000000-0005-0000-0000-00004C0A0000}"/>
    <cellStyle name="Note 2 4" xfId="2277" xr:uid="{00000000-0005-0000-0000-000066090000}"/>
    <cellStyle name="Note 2 4 2" xfId="2723" xr:uid="{00000000-0005-0000-0000-000067090000}"/>
    <cellStyle name="Note 2 4 2 2" xfId="3130" xr:uid="{00000000-0005-0000-0000-00004F0A0000}"/>
    <cellStyle name="Note 2 5" xfId="2278" xr:uid="{00000000-0005-0000-0000-000068090000}"/>
    <cellStyle name="Note 2 5 2" xfId="2724" xr:uid="{00000000-0005-0000-0000-000069090000}"/>
    <cellStyle name="Note 2 5 2 2" xfId="3129" xr:uid="{00000000-0005-0000-0000-0000520A0000}"/>
    <cellStyle name="Note 2 6" xfId="2279" xr:uid="{00000000-0005-0000-0000-00006A090000}"/>
    <cellStyle name="Note 2 6 2" xfId="2725" xr:uid="{00000000-0005-0000-0000-00006B090000}"/>
    <cellStyle name="Note 2 6 2 2" xfId="3128" xr:uid="{00000000-0005-0000-0000-0000550A0000}"/>
    <cellStyle name="Note 2 7" xfId="2566" xr:uid="{00000000-0005-0000-0000-00006C090000}"/>
    <cellStyle name="Note 2 7 2" xfId="3287" xr:uid="{00000000-0005-0000-0000-0000570A0000}"/>
    <cellStyle name="Note 3" xfId="222" xr:uid="{00000000-0005-0000-0000-00006D090000}"/>
    <cellStyle name="Note 3 2" xfId="2281" xr:uid="{00000000-0005-0000-0000-00006E090000}"/>
    <cellStyle name="Note 3 2 2" xfId="2727" xr:uid="{00000000-0005-0000-0000-00006F090000}"/>
    <cellStyle name="Note 3 2 2 2" xfId="3126" xr:uid="{00000000-0005-0000-0000-00005B0A0000}"/>
    <cellStyle name="Note 3 3" xfId="2282" xr:uid="{00000000-0005-0000-0000-000070090000}"/>
    <cellStyle name="Note 3 3 2" xfId="2728" xr:uid="{00000000-0005-0000-0000-000071090000}"/>
    <cellStyle name="Note 3 3 2 2" xfId="3125" xr:uid="{00000000-0005-0000-0000-00005E0A0000}"/>
    <cellStyle name="Note 3 4" xfId="2283" xr:uid="{00000000-0005-0000-0000-000072090000}"/>
    <cellStyle name="Note 3 4 2" xfId="2729" xr:uid="{00000000-0005-0000-0000-000073090000}"/>
    <cellStyle name="Note 3 4 2 2" xfId="3124" xr:uid="{00000000-0005-0000-0000-0000610A0000}"/>
    <cellStyle name="Note 3 5" xfId="2284" xr:uid="{00000000-0005-0000-0000-000074090000}"/>
    <cellStyle name="Note 3 5 2" xfId="2730" xr:uid="{00000000-0005-0000-0000-000075090000}"/>
    <cellStyle name="Note 3 5 2 2" xfId="3123" xr:uid="{00000000-0005-0000-0000-0000640A0000}"/>
    <cellStyle name="Note 3 6" xfId="2285" xr:uid="{00000000-0005-0000-0000-000076090000}"/>
    <cellStyle name="Note 3 6 2" xfId="2731" xr:uid="{00000000-0005-0000-0000-000077090000}"/>
    <cellStyle name="Note 3 6 2 2" xfId="3122" xr:uid="{00000000-0005-0000-0000-0000670A0000}"/>
    <cellStyle name="Note 3 7" xfId="2286" xr:uid="{00000000-0005-0000-0000-000078090000}"/>
    <cellStyle name="Note 3 7 2" xfId="2732" xr:uid="{00000000-0005-0000-0000-000079090000}"/>
    <cellStyle name="Note 3 7 2 2" xfId="3121" xr:uid="{00000000-0005-0000-0000-00006A0A0000}"/>
    <cellStyle name="Note 3 8" xfId="2280" xr:uid="{00000000-0005-0000-0000-00007A090000}"/>
    <cellStyle name="Note 3 8 2" xfId="2726" xr:uid="{00000000-0005-0000-0000-00007B090000}"/>
    <cellStyle name="Note 3 8 2 2" xfId="3127" xr:uid="{00000000-0005-0000-0000-00006D0A0000}"/>
    <cellStyle name="Note 3 9" xfId="2567" xr:uid="{00000000-0005-0000-0000-00007C090000}"/>
    <cellStyle name="Note 3 9 2" xfId="3286" xr:uid="{00000000-0005-0000-0000-00006F0A0000}"/>
    <cellStyle name="Note 4" xfId="223" xr:uid="{00000000-0005-0000-0000-00007D090000}"/>
    <cellStyle name="Note 4 2" xfId="2288" xr:uid="{00000000-0005-0000-0000-00007E090000}"/>
    <cellStyle name="Note 4 2 2" xfId="2734" xr:uid="{00000000-0005-0000-0000-00007F090000}"/>
    <cellStyle name="Note 4 2 2 2" xfId="3119" xr:uid="{00000000-0005-0000-0000-0000730A0000}"/>
    <cellStyle name="Note 4 3" xfId="2289" xr:uid="{00000000-0005-0000-0000-000080090000}"/>
    <cellStyle name="Note 4 3 2" xfId="2735" xr:uid="{00000000-0005-0000-0000-000081090000}"/>
    <cellStyle name="Note 4 3 2 2" xfId="3118" xr:uid="{00000000-0005-0000-0000-0000760A0000}"/>
    <cellStyle name="Note 4 4" xfId="2290" xr:uid="{00000000-0005-0000-0000-000082090000}"/>
    <cellStyle name="Note 4 4 2" xfId="2736" xr:uid="{00000000-0005-0000-0000-000083090000}"/>
    <cellStyle name="Note 4 4 2 2" xfId="3117" xr:uid="{00000000-0005-0000-0000-0000790A0000}"/>
    <cellStyle name="Note 4 5" xfId="2291" xr:uid="{00000000-0005-0000-0000-000084090000}"/>
    <cellStyle name="Note 4 5 2" xfId="2737" xr:uid="{00000000-0005-0000-0000-000085090000}"/>
    <cellStyle name="Note 4 5 2 2" xfId="3116" xr:uid="{00000000-0005-0000-0000-00007C0A0000}"/>
    <cellStyle name="Note 4 6" xfId="2292" xr:uid="{00000000-0005-0000-0000-000086090000}"/>
    <cellStyle name="Note 4 6 2" xfId="2738" xr:uid="{00000000-0005-0000-0000-000087090000}"/>
    <cellStyle name="Note 4 6 2 2" xfId="3115" xr:uid="{00000000-0005-0000-0000-00007F0A0000}"/>
    <cellStyle name="Note 4 7" xfId="2293" xr:uid="{00000000-0005-0000-0000-000088090000}"/>
    <cellStyle name="Note 4 7 2" xfId="2739" xr:uid="{00000000-0005-0000-0000-000089090000}"/>
    <cellStyle name="Note 4 7 2 2" xfId="3114" xr:uid="{00000000-0005-0000-0000-0000820A0000}"/>
    <cellStyle name="Note 4 8" xfId="2287" xr:uid="{00000000-0005-0000-0000-00008A090000}"/>
    <cellStyle name="Note 4 8 2" xfId="2733" xr:uid="{00000000-0005-0000-0000-00008B090000}"/>
    <cellStyle name="Note 4 8 2 2" xfId="3120" xr:uid="{00000000-0005-0000-0000-0000850A0000}"/>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3" xfId="2295" xr:uid="{00000000-0005-0000-0000-000090090000}"/>
    <cellStyle name="Note 5 3 2" xfId="2741" xr:uid="{00000000-0005-0000-0000-000091090000}"/>
    <cellStyle name="Note 5 3 2 2" xfId="3112" xr:uid="{00000000-0005-0000-0000-00008E0A0000}"/>
    <cellStyle name="Note 5 4" xfId="2296" xr:uid="{00000000-0005-0000-0000-000092090000}"/>
    <cellStyle name="Note 5 4 2" xfId="2742" xr:uid="{00000000-0005-0000-0000-000093090000}"/>
    <cellStyle name="Note 5 4 2 2" xfId="3111" xr:uid="{00000000-0005-0000-0000-0000910A0000}"/>
    <cellStyle name="Note 5 5" xfId="2297" xr:uid="{00000000-0005-0000-0000-000094090000}"/>
    <cellStyle name="Note 5 5 2" xfId="2743" xr:uid="{00000000-0005-0000-0000-000095090000}"/>
    <cellStyle name="Note 5 5 2 2" xfId="3110" xr:uid="{00000000-0005-0000-0000-0000940A0000}"/>
    <cellStyle name="Note 5 6" xfId="2298" xr:uid="{00000000-0005-0000-0000-000096090000}"/>
    <cellStyle name="Note 5 6 2" xfId="2744" xr:uid="{00000000-0005-0000-0000-000097090000}"/>
    <cellStyle name="Note 5 6 2 2" xfId="3109" xr:uid="{00000000-0005-0000-0000-0000970A0000}"/>
    <cellStyle name="Note 5 7" xfId="2569" xr:uid="{00000000-0005-0000-0000-000098090000}"/>
    <cellStyle name="Note 5 7 2" xfId="3284" xr:uid="{00000000-0005-0000-0000-0000990A0000}"/>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3" xfId="2300" xr:uid="{00000000-0005-0000-0000-00009C090000}"/>
    <cellStyle name="Note 6 3 2" xfId="2746" xr:uid="{00000000-0005-0000-0000-00009D090000}"/>
    <cellStyle name="Note 6 3 2 2" xfId="3107" xr:uid="{00000000-0005-0000-0000-0000A00A0000}"/>
    <cellStyle name="Note 6 4" xfId="2301" xr:uid="{00000000-0005-0000-0000-00009E090000}"/>
    <cellStyle name="Note 6 4 2" xfId="2747" xr:uid="{00000000-0005-0000-0000-00009F090000}"/>
    <cellStyle name="Note 6 4 2 2" xfId="3106" xr:uid="{00000000-0005-0000-0000-0000A30A0000}"/>
    <cellStyle name="Note 6 5" xfId="2302" xr:uid="{00000000-0005-0000-0000-0000A0090000}"/>
    <cellStyle name="Note 6 5 2" xfId="2748" xr:uid="{00000000-0005-0000-0000-0000A1090000}"/>
    <cellStyle name="Note 6 5 2 2" xfId="3105" xr:uid="{00000000-0005-0000-0000-0000A60A0000}"/>
    <cellStyle name="Note 6 6" xfId="2303" xr:uid="{00000000-0005-0000-0000-0000A2090000}"/>
    <cellStyle name="Note 6 6 2" xfId="2749" xr:uid="{00000000-0005-0000-0000-0000A3090000}"/>
    <cellStyle name="Note 6 6 2 2" xfId="3104" xr:uid="{00000000-0005-0000-0000-0000A90A0000}"/>
    <cellStyle name="Note 6 7" xfId="2570" xr:uid="{00000000-0005-0000-0000-0000A4090000}"/>
    <cellStyle name="Note 6 7 2" xfId="3283" xr:uid="{00000000-0005-0000-0000-0000AB0A0000}"/>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3" xfId="2305" xr:uid="{00000000-0005-0000-0000-0000A8090000}"/>
    <cellStyle name="Note 7 3 2" xfId="2751" xr:uid="{00000000-0005-0000-0000-0000A9090000}"/>
    <cellStyle name="Note 7 3 2 2" xfId="3102" xr:uid="{00000000-0005-0000-0000-0000B20A0000}"/>
    <cellStyle name="Note 7 4" xfId="2306" xr:uid="{00000000-0005-0000-0000-0000AA090000}"/>
    <cellStyle name="Note 7 4 2" xfId="2752" xr:uid="{00000000-0005-0000-0000-0000AB090000}"/>
    <cellStyle name="Note 7 4 2 2" xfId="3101" xr:uid="{00000000-0005-0000-0000-0000B50A0000}"/>
    <cellStyle name="Note 7 5" xfId="2307" xr:uid="{00000000-0005-0000-0000-0000AC090000}"/>
    <cellStyle name="Note 7 5 2" xfId="2753" xr:uid="{00000000-0005-0000-0000-0000AD090000}"/>
    <cellStyle name="Note 7 5 2 2" xfId="3100" xr:uid="{00000000-0005-0000-0000-0000B80A0000}"/>
    <cellStyle name="Note 7 6" xfId="2308" xr:uid="{00000000-0005-0000-0000-0000AE090000}"/>
    <cellStyle name="Note 7 6 2" xfId="2754" xr:uid="{00000000-0005-0000-0000-0000AF090000}"/>
    <cellStyle name="Note 7 6 2 2" xfId="3099" xr:uid="{00000000-0005-0000-0000-0000BB0A0000}"/>
    <cellStyle name="Note 7 7" xfId="2571" xr:uid="{00000000-0005-0000-0000-0000B0090000}"/>
    <cellStyle name="Note 7 7 2" xfId="3282" xr:uid="{00000000-0005-0000-0000-0000BD0A0000}"/>
    <cellStyle name="Note 8 2" xfId="2309" xr:uid="{00000000-0005-0000-0000-0000B1090000}"/>
    <cellStyle name="Note 8 2 2" xfId="2755" xr:uid="{00000000-0005-0000-0000-0000B2090000}"/>
    <cellStyle name="Note 8 2 2 2" xfId="3098" xr:uid="{00000000-0005-0000-0000-0000C00A0000}"/>
    <cellStyle name="Note 8 3" xfId="2310" xr:uid="{00000000-0005-0000-0000-0000B3090000}"/>
    <cellStyle name="Note 8 3 2" xfId="2756" xr:uid="{00000000-0005-0000-0000-0000B4090000}"/>
    <cellStyle name="Note 8 3 2 2" xfId="3097" xr:uid="{00000000-0005-0000-0000-0000C30A0000}"/>
    <cellStyle name="Note 8 4" xfId="2311" xr:uid="{00000000-0005-0000-0000-0000B5090000}"/>
    <cellStyle name="Note 8 4 2" xfId="2757" xr:uid="{00000000-0005-0000-0000-0000B6090000}"/>
    <cellStyle name="Note 8 4 2 2" xfId="3096" xr:uid="{00000000-0005-0000-0000-0000C60A0000}"/>
    <cellStyle name="Note 8 5" xfId="2312" xr:uid="{00000000-0005-0000-0000-0000B7090000}"/>
    <cellStyle name="Note 8 5 2" xfId="2758" xr:uid="{00000000-0005-0000-0000-0000B8090000}"/>
    <cellStyle name="Note 8 5 2 2" xfId="3095" xr:uid="{00000000-0005-0000-0000-0000C90A0000}"/>
    <cellStyle name="Note 8 6" xfId="2313" xr:uid="{00000000-0005-0000-0000-0000B9090000}"/>
    <cellStyle name="Note 8 6 2" xfId="2759" xr:uid="{00000000-0005-0000-0000-0000BA090000}"/>
    <cellStyle name="Note 8 6 2 2" xfId="3094" xr:uid="{00000000-0005-0000-0000-0000CC0A0000}"/>
    <cellStyle name="Note 9 2" xfId="2314" xr:uid="{00000000-0005-0000-0000-0000BB090000}"/>
    <cellStyle name="Note 9 2 2" xfId="2760" xr:uid="{00000000-0005-0000-0000-0000BC090000}"/>
    <cellStyle name="Note 9 2 2 2" xfId="3093" xr:uid="{00000000-0005-0000-0000-0000CF0A0000}"/>
    <cellStyle name="Note 9 3" xfId="2315" xr:uid="{00000000-0005-0000-0000-0000BD090000}"/>
    <cellStyle name="Note 9 3 2" xfId="2761" xr:uid="{00000000-0005-0000-0000-0000BE090000}"/>
    <cellStyle name="Note 9 3 2 2" xfId="3092" xr:uid="{00000000-0005-0000-0000-0000D20A0000}"/>
    <cellStyle name="Note 9 4" xfId="2316" xr:uid="{00000000-0005-0000-0000-0000BF090000}"/>
    <cellStyle name="Note 9 4 2" xfId="2762" xr:uid="{00000000-0005-0000-0000-0000C0090000}"/>
    <cellStyle name="Note 9 4 2 2" xfId="3091" xr:uid="{00000000-0005-0000-0000-0000D50A0000}"/>
    <cellStyle name="Note 9 5" xfId="2317" xr:uid="{00000000-0005-0000-0000-0000C1090000}"/>
    <cellStyle name="Note 9 5 2" xfId="2763" xr:uid="{00000000-0005-0000-0000-0000C2090000}"/>
    <cellStyle name="Note 9 5 2 2" xfId="3090" xr:uid="{00000000-0005-0000-0000-0000D80A0000}"/>
    <cellStyle name="Note 9 6" xfId="2318" xr:uid="{00000000-0005-0000-0000-0000C3090000}"/>
    <cellStyle name="Note 9 6 2" xfId="2764" xr:uid="{00000000-0005-0000-0000-0000C4090000}"/>
    <cellStyle name="Note 9 6 2 2" xfId="3089" xr:uid="{00000000-0005-0000-0000-0000DB0A0000}"/>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2" xfId="228" xr:uid="{00000000-0005-0000-0000-0000DA090000}"/>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7" xfId="2777" xr:uid="{00000000-0005-0000-0000-0000E5090000}"/>
    <cellStyle name="Output 2 7 2" xfId="3076" xr:uid="{00000000-0005-0000-0000-00001B0B0000}"/>
    <cellStyle name="Output 2 8" xfId="3426" xr:uid="{00000000-0005-0000-0000-00001C0B0000}"/>
    <cellStyle name="Output 3" xfId="229" xr:uid="{00000000-0005-0000-0000-0000E6090000}"/>
    <cellStyle name="Output 3 10" xfId="3425" xr:uid="{00000000-0005-0000-0000-00001E0B0000}"/>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9" xfId="2775" xr:uid="{00000000-0005-0000-0000-0000050A0000}"/>
    <cellStyle name="Output 4 9 2" xfId="3078" xr:uid="{00000000-0005-0000-0000-00005C0B0000}"/>
    <cellStyle name="Output 5" xfId="231" xr:uid="{00000000-0005-0000-0000-0000060A0000}"/>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7" xfId="2774" xr:uid="{00000000-0005-0000-0000-0000110A0000}"/>
    <cellStyle name="Output 5 7 2" xfId="3079" xr:uid="{00000000-0005-0000-0000-0000730B0000}"/>
    <cellStyle name="Output 5 8" xfId="3423" xr:uid="{00000000-0005-0000-0000-0000740B0000}"/>
    <cellStyle name="Output 6" xfId="232" xr:uid="{00000000-0005-0000-0000-0000120A0000}"/>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7" xfId="2773" xr:uid="{00000000-0005-0000-0000-00001D0A0000}"/>
    <cellStyle name="Output 6 7 2" xfId="3080" xr:uid="{00000000-0005-0000-0000-00008B0B0000}"/>
    <cellStyle name="Output 6 8" xfId="3422" xr:uid="{00000000-0005-0000-0000-00008C0B0000}"/>
    <cellStyle name="Output 7" xfId="233" xr:uid="{00000000-0005-0000-0000-00001E0A0000}"/>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7" xfId="2772" xr:uid="{00000000-0005-0000-0000-0000290A0000}"/>
    <cellStyle name="Output 7 7 2" xfId="3081" xr:uid="{00000000-0005-0000-0000-0000A30B0000}"/>
    <cellStyle name="Output 7 8" xfId="3421" xr:uid="{00000000-0005-0000-0000-0000A40B0000}"/>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Double Border" xfId="241" xr:uid="{00000000-0005-0000-0000-0000790A0000}"/>
    <cellStyle name="Top Single Border" xfId="242" xr:uid="{00000000-0005-0000-0000-00007A0A0000}"/>
    <cellStyle name="Top Single Border 2" xfId="2771" xr:uid="{00000000-0005-0000-0000-00007B0A0000}"/>
    <cellStyle name="Top Single Border 2 2" xfId="3082" xr:uid="{00000000-0005-0000-0000-00000B0C0000}"/>
    <cellStyle name="Top Single Border 3" xfId="3040" xr:uid="{00000000-0005-0000-0000-00000C0C0000}"/>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2" xfId="243" xr:uid="{00000000-0005-0000-0000-0000900A000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7" xfId="2770" xr:uid="{00000000-0005-0000-0000-00009B0A0000}"/>
    <cellStyle name="Total 2 7 2" xfId="3083" xr:uid="{00000000-0005-0000-0000-00004B0C0000}"/>
    <cellStyle name="Total 2 8" xfId="3039" xr:uid="{00000000-0005-0000-0000-00004C0C0000}"/>
    <cellStyle name="Total 3" xfId="244" xr:uid="{00000000-0005-0000-0000-00009C0A0000}"/>
    <cellStyle name="Total 3 10" xfId="3038" xr:uid="{00000000-0005-0000-0000-00004E0C0000}"/>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9" xfId="2768" xr:uid="{00000000-0005-0000-0000-0000BB0A0000}"/>
    <cellStyle name="Total 4 9 2" xfId="3085" xr:uid="{00000000-0005-0000-0000-00008C0C0000}"/>
    <cellStyle name="Total 5" xfId="246" xr:uid="{00000000-0005-0000-0000-0000BC0A0000}"/>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7" xfId="2767" xr:uid="{00000000-0005-0000-0000-0000C70A0000}"/>
    <cellStyle name="Total 5 7 2" xfId="3086" xr:uid="{00000000-0005-0000-0000-0000A30C0000}"/>
    <cellStyle name="Total 5 8" xfId="3036" xr:uid="{00000000-0005-0000-0000-0000A40C0000}"/>
    <cellStyle name="Total 6" xfId="247" xr:uid="{00000000-0005-0000-0000-0000C80A0000}"/>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7" xfId="2766" xr:uid="{00000000-0005-0000-0000-0000D30A0000}"/>
    <cellStyle name="Total 6 7 2" xfId="3087" xr:uid="{00000000-0005-0000-0000-0000BB0C0000}"/>
    <cellStyle name="Total 6 8" xfId="3035" xr:uid="{00000000-0005-0000-0000-0000BC0C0000}"/>
    <cellStyle name="Total 7" xfId="248" xr:uid="{00000000-0005-0000-0000-0000D40A0000}"/>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7" xfId="2765" xr:uid="{00000000-0005-0000-0000-0000DF0A0000}"/>
    <cellStyle name="Total 7 7 2" xfId="3088" xr:uid="{00000000-0005-0000-0000-0000D30C0000}"/>
    <cellStyle name="Total 7 8" xfId="3434" xr:uid="{00000000-0005-0000-0000-0000D40C00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73602</xdr:colOff>
          <xdr:row>4</xdr:row>
          <xdr:rowOff>96116</xdr:rowOff>
        </xdr:from>
        <xdr:to>
          <xdr:col>1</xdr:col>
          <xdr:colOff>1026102</xdr:colOff>
          <xdr:row>9</xdr:row>
          <xdr:rowOff>99580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topLeftCell="A4"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60" t="s">
        <v>405</v>
      </c>
      <c r="J1" s="2061"/>
      <c r="K1" s="2061"/>
      <c r="L1" s="2061"/>
      <c r="M1" s="2061"/>
      <c r="N1" s="2061"/>
      <c r="O1" s="2061"/>
      <c r="P1" s="2061"/>
      <c r="Q1" s="2061"/>
      <c r="R1" s="2061"/>
      <c r="S1" s="2061"/>
    </row>
    <row r="2" spans="1:28" ht="12" customHeight="1" x14ac:dyDescent="0.2">
      <c r="A2" s="47" t="s">
        <v>1990</v>
      </c>
      <c r="D2" s="48"/>
      <c r="I2" s="2062" t="s">
        <v>979</v>
      </c>
      <c r="J2" s="2061"/>
      <c r="K2" s="2061"/>
      <c r="L2" s="2061"/>
      <c r="M2" s="2061"/>
      <c r="N2" s="2061"/>
      <c r="O2" s="2061"/>
      <c r="P2" s="2061"/>
      <c r="Q2" s="2061"/>
      <c r="R2" s="2061"/>
      <c r="S2" s="2061"/>
    </row>
    <row r="3" spans="1:28" ht="12" customHeight="1" x14ac:dyDescent="0.2">
      <c r="A3" s="155" t="s">
        <v>1942</v>
      </c>
      <c r="B3" s="156"/>
      <c r="C3" s="156"/>
      <c r="D3" s="157"/>
      <c r="I3" s="2062" t="s">
        <v>52</v>
      </c>
      <c r="J3" s="2061"/>
      <c r="K3" s="2061"/>
      <c r="L3" s="2061"/>
      <c r="M3" s="2061"/>
      <c r="N3" s="2061"/>
      <c r="O3" s="2061"/>
      <c r="P3" s="2061"/>
      <c r="Q3" s="2061"/>
      <c r="R3" s="2061"/>
      <c r="S3" s="2061"/>
    </row>
    <row r="4" spans="1:28" ht="12" customHeight="1" x14ac:dyDescent="0.2">
      <c r="A4" s="37"/>
      <c r="I4" s="2062" t="s">
        <v>524</v>
      </c>
      <c r="J4" s="2061"/>
      <c r="K4" s="2061"/>
      <c r="L4" s="2061"/>
      <c r="M4" s="2061"/>
      <c r="N4" s="2061"/>
      <c r="O4" s="2061"/>
      <c r="P4" s="2061"/>
      <c r="Q4" s="2061"/>
      <c r="R4" s="2061"/>
      <c r="S4" s="2061"/>
    </row>
    <row r="5" spans="1:28" ht="14.1" customHeight="1" x14ac:dyDescent="0.2">
      <c r="B5" s="104" t="s">
        <v>2120</v>
      </c>
      <c r="C5" s="26" t="s">
        <v>910</v>
      </c>
      <c r="D5" s="84"/>
      <c r="E5" s="84"/>
      <c r="H5" s="38"/>
      <c r="I5" s="2070" t="s">
        <v>680</v>
      </c>
      <c r="J5" s="2069"/>
      <c r="K5" s="2069"/>
      <c r="L5" s="2069"/>
      <c r="M5" s="2069"/>
      <c r="N5" s="2069"/>
      <c r="O5" s="2069"/>
      <c r="P5" s="2069"/>
      <c r="Q5" s="2069"/>
      <c r="R5" s="2069"/>
      <c r="S5" s="2069"/>
    </row>
    <row r="6" spans="1:28" ht="14.1" customHeight="1" x14ac:dyDescent="0.2">
      <c r="B6" s="104"/>
      <c r="C6" s="26" t="s">
        <v>911</v>
      </c>
      <c r="D6" s="84"/>
      <c r="E6" s="84"/>
      <c r="I6" s="2068" t="s">
        <v>883</v>
      </c>
      <c r="J6" s="2069"/>
      <c r="K6" s="2069"/>
      <c r="L6" s="2069"/>
      <c r="M6" s="2069"/>
      <c r="N6" s="2069"/>
      <c r="O6" s="2069"/>
      <c r="P6" s="2069"/>
      <c r="Q6" s="2069"/>
      <c r="R6" s="2069"/>
      <c r="S6" s="2069"/>
    </row>
    <row r="7" spans="1:28" ht="12.2" customHeight="1" x14ac:dyDescent="0.2">
      <c r="I7" s="2063">
        <v>43646</v>
      </c>
      <c r="J7" s="2064"/>
      <c r="K7" s="2064"/>
      <c r="L7" s="2064"/>
      <c r="M7" s="2064"/>
      <c r="N7" s="2064"/>
      <c r="O7" s="2064"/>
      <c r="P7" s="2064"/>
      <c r="Q7" s="2064"/>
      <c r="R7" s="2064"/>
      <c r="S7" s="206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5" t="s">
        <v>674</v>
      </c>
      <c r="J9" s="2066"/>
      <c r="K9" s="2066"/>
      <c r="L9" s="2066"/>
      <c r="M9" s="2066"/>
      <c r="N9" s="2066"/>
      <c r="O9" s="2066"/>
      <c r="P9" s="2066"/>
      <c r="Q9" s="2066"/>
      <c r="R9" s="2066"/>
      <c r="S9" s="2067"/>
      <c r="T9" s="2081" t="s">
        <v>533</v>
      </c>
      <c r="U9" s="2082"/>
      <c r="V9" s="2082"/>
      <c r="W9" s="2082"/>
      <c r="X9" s="2082"/>
      <c r="Y9" s="2082"/>
      <c r="Z9" s="2082"/>
      <c r="AA9" s="2083"/>
    </row>
    <row r="10" spans="1:28" ht="13.5" customHeight="1" x14ac:dyDescent="0.2">
      <c r="A10" s="2088" t="s">
        <v>675</v>
      </c>
      <c r="B10" s="2089"/>
      <c r="C10" s="2089"/>
      <c r="D10" s="2089"/>
      <c r="E10" s="2089"/>
      <c r="F10" s="2089"/>
      <c r="G10" s="2089"/>
      <c r="H10" s="2090"/>
      <c r="I10" s="29"/>
      <c r="J10" s="30"/>
      <c r="K10" s="28"/>
      <c r="R10" s="30"/>
      <c r="S10" s="30"/>
      <c r="T10" s="2084"/>
      <c r="U10" s="2069"/>
      <c r="V10" s="2069"/>
      <c r="W10" s="2069"/>
      <c r="X10" s="2069"/>
      <c r="Y10" s="2069"/>
      <c r="Z10" s="2069"/>
      <c r="AA10" s="2075"/>
    </row>
    <row r="11" spans="1:28" ht="14.25" customHeight="1" x14ac:dyDescent="0.2">
      <c r="A11" s="2091" t="s">
        <v>955</v>
      </c>
      <c r="B11" s="2092"/>
      <c r="C11" s="2092"/>
      <c r="D11" s="2092"/>
      <c r="E11" s="2092"/>
      <c r="F11" s="2092"/>
      <c r="G11" s="2092"/>
      <c r="H11" s="2093"/>
      <c r="I11" s="27"/>
      <c r="J11" s="74"/>
      <c r="K11" s="27"/>
      <c r="O11" s="148" t="s">
        <v>2120</v>
      </c>
      <c r="P11" s="100" t="s">
        <v>201</v>
      </c>
      <c r="Q11" s="30"/>
      <c r="R11" s="28"/>
      <c r="S11" s="27"/>
      <c r="T11" s="2085"/>
      <c r="U11" s="2086"/>
      <c r="V11" s="2086"/>
      <c r="W11" s="2086"/>
      <c r="X11" s="2086"/>
      <c r="Y11" s="2086"/>
      <c r="Z11" s="2086"/>
      <c r="AA11" s="208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95">
        <v>34049041004</v>
      </c>
      <c r="B13" s="2096"/>
      <c r="C13" s="2096"/>
      <c r="D13" s="2096"/>
      <c r="E13" s="2096"/>
      <c r="F13" s="2096"/>
      <c r="G13" s="2096"/>
      <c r="H13" s="2097"/>
      <c r="I13" s="31"/>
      <c r="J13" s="30"/>
      <c r="K13" s="28"/>
      <c r="L13" s="30"/>
      <c r="M13" s="30"/>
      <c r="N13" s="30"/>
      <c r="O13" s="30"/>
      <c r="P13" s="30"/>
      <c r="Q13" s="30"/>
      <c r="R13" s="30"/>
      <c r="S13" s="30"/>
      <c r="T13" s="2100" t="s">
        <v>2061</v>
      </c>
      <c r="U13" s="2101"/>
      <c r="V13" s="2101"/>
      <c r="W13" s="2101"/>
      <c r="X13" s="2101"/>
      <c r="Y13" s="2102"/>
      <c r="Z13" s="2102"/>
      <c r="AA13" s="210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94" t="s">
        <v>2121</v>
      </c>
      <c r="B15" s="2098"/>
      <c r="C15" s="2098"/>
      <c r="D15" s="2098"/>
      <c r="E15" s="2098"/>
      <c r="F15" s="2098"/>
      <c r="G15" s="2098"/>
      <c r="H15" s="2099"/>
      <c r="T15" s="2104" t="s">
        <v>2151</v>
      </c>
      <c r="U15" s="2048"/>
      <c r="V15" s="2048"/>
      <c r="W15" s="2048"/>
      <c r="X15" s="2048"/>
      <c r="Y15" s="2105"/>
      <c r="Z15" s="2105"/>
      <c r="AA15" s="210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54" t="s">
        <v>2211</v>
      </c>
      <c r="B17" s="2055"/>
      <c r="C17" s="2055"/>
      <c r="D17" s="2055"/>
      <c r="E17" s="2055"/>
      <c r="F17" s="2055"/>
      <c r="G17" s="2055"/>
      <c r="H17" s="2080"/>
      <c r="T17" s="2111" t="s">
        <v>2062</v>
      </c>
      <c r="U17" s="2112"/>
      <c r="V17" s="2112"/>
      <c r="W17" s="2112"/>
      <c r="X17" s="2112"/>
      <c r="Y17" s="2112"/>
      <c r="Z17" s="2112"/>
      <c r="AA17" s="2113"/>
    </row>
    <row r="18" spans="1:27" ht="13.5" customHeight="1" x14ac:dyDescent="0.2">
      <c r="A18" s="85" t="s">
        <v>530</v>
      </c>
      <c r="B18" s="76"/>
      <c r="C18" s="72"/>
      <c r="D18" s="76"/>
      <c r="E18" s="76"/>
      <c r="F18" s="76"/>
      <c r="G18" s="76"/>
      <c r="H18" s="56"/>
      <c r="I18" s="2079" t="s">
        <v>676</v>
      </c>
      <c r="J18" s="2030"/>
      <c r="K18" s="2030"/>
      <c r="L18" s="2030"/>
      <c r="M18" s="2030"/>
      <c r="N18" s="2030"/>
      <c r="O18" s="2030"/>
      <c r="P18" s="2030"/>
      <c r="Q18" s="2030"/>
      <c r="R18" s="2030"/>
      <c r="S18" s="2031"/>
      <c r="T18" s="85" t="s">
        <v>711</v>
      </c>
      <c r="U18" s="51"/>
      <c r="V18" s="72"/>
      <c r="W18" s="50"/>
      <c r="X18" s="85" t="s">
        <v>266</v>
      </c>
      <c r="Y18" s="81"/>
      <c r="Z18" s="159" t="s">
        <v>677</v>
      </c>
      <c r="AA18" s="46"/>
    </row>
    <row r="19" spans="1:27" ht="13.5" customHeight="1" x14ac:dyDescent="0.2">
      <c r="A19" s="2094" t="s">
        <v>2122</v>
      </c>
      <c r="B19" s="2040"/>
      <c r="C19" s="2040"/>
      <c r="D19" s="2040"/>
      <c r="E19" s="2040"/>
      <c r="F19" s="2040"/>
      <c r="G19" s="2040"/>
      <c r="H19" s="2020"/>
      <c r="I19" s="30"/>
      <c r="J19" s="99"/>
      <c r="K19" s="40"/>
      <c r="L19" s="38"/>
      <c r="M19" s="112" t="s">
        <v>315</v>
      </c>
      <c r="P19" s="27"/>
      <c r="Q19" s="27"/>
      <c r="R19" s="27"/>
      <c r="S19" s="31"/>
      <c r="T19" s="2094" t="s">
        <v>2063</v>
      </c>
      <c r="U19" s="2019"/>
      <c r="V19" s="2019"/>
      <c r="W19" s="2020"/>
      <c r="X19" s="2109" t="s">
        <v>2064</v>
      </c>
      <c r="Y19" s="2110"/>
      <c r="Z19" s="2107">
        <v>60050</v>
      </c>
      <c r="AA19" s="210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18" t="s">
        <v>2123</v>
      </c>
      <c r="B21" s="2019"/>
      <c r="C21" s="2019"/>
      <c r="D21" s="2019"/>
      <c r="E21" s="2019"/>
      <c r="F21" s="2019"/>
      <c r="G21" s="2019"/>
      <c r="H21" s="2020"/>
      <c r="I21" s="2074" t="s">
        <v>678</v>
      </c>
      <c r="J21" s="2069"/>
      <c r="K21" s="2069"/>
      <c r="L21" s="2069"/>
      <c r="M21" s="2069"/>
      <c r="N21" s="2069"/>
      <c r="O21" s="2069"/>
      <c r="P21" s="2069"/>
      <c r="Q21" s="2069"/>
      <c r="R21" s="2069"/>
      <c r="S21" s="2075"/>
      <c r="T21" s="2118" t="s">
        <v>2065</v>
      </c>
      <c r="U21" s="2119"/>
      <c r="V21" s="2119"/>
      <c r="W21" s="2119"/>
      <c r="X21" s="2124" t="s">
        <v>2066</v>
      </c>
      <c r="Y21" s="2125"/>
      <c r="Z21" s="2125"/>
      <c r="AA21" s="2126"/>
    </row>
    <row r="22" spans="1:27" ht="13.5" customHeight="1" x14ac:dyDescent="0.2">
      <c r="A22" s="87" t="s">
        <v>531</v>
      </c>
      <c r="B22" s="59"/>
      <c r="C22" s="59"/>
      <c r="D22" s="59"/>
      <c r="E22" s="59"/>
      <c r="F22" s="59"/>
      <c r="G22" s="59"/>
      <c r="H22" s="60"/>
      <c r="I22" s="2076" t="s">
        <v>1429</v>
      </c>
      <c r="J22" s="2077"/>
      <c r="K22" s="2077"/>
      <c r="L22" s="2077"/>
      <c r="M22" s="2077"/>
      <c r="N22" s="2077"/>
      <c r="O22" s="2077"/>
      <c r="P22" s="2077"/>
      <c r="Q22" s="2077"/>
      <c r="R22" s="2077"/>
      <c r="S22" s="2078"/>
      <c r="T22" s="85" t="s">
        <v>1516</v>
      </c>
      <c r="U22" s="51"/>
      <c r="V22" s="72"/>
      <c r="W22" s="51"/>
      <c r="X22" s="160" t="s">
        <v>1318</v>
      </c>
      <c r="Z22" s="45"/>
      <c r="AA22" s="46"/>
    </row>
    <row r="23" spans="1:27" ht="13.5" customHeight="1" x14ac:dyDescent="0.2">
      <c r="A23" s="2071" t="s">
        <v>2150</v>
      </c>
      <c r="B23" s="2072"/>
      <c r="C23" s="2072"/>
      <c r="D23" s="2072"/>
      <c r="E23" s="2072"/>
      <c r="F23" s="2072"/>
      <c r="G23" s="2072"/>
      <c r="H23" s="2073"/>
      <c r="T23" s="2054" t="s">
        <v>2067</v>
      </c>
      <c r="U23" s="2117"/>
      <c r="V23" s="2117"/>
      <c r="W23" s="2117"/>
      <c r="X23" s="2121">
        <v>44530</v>
      </c>
      <c r="Y23" s="2122"/>
      <c r="Z23" s="2122"/>
      <c r="AA23" s="2123"/>
    </row>
    <row r="24" spans="1:27" ht="14.1" customHeight="1" x14ac:dyDescent="0.2">
      <c r="A24" s="88" t="s">
        <v>677</v>
      </c>
      <c r="B24" s="49"/>
      <c r="C24" s="49"/>
      <c r="D24" s="49"/>
      <c r="E24" s="49"/>
      <c r="F24" s="49"/>
      <c r="G24" s="49"/>
      <c r="H24" s="61"/>
      <c r="J24" s="2041">
        <f>IF(B5="x",IF(AUDITCHECK!D29="AFR form Incomplete.","",IF(AUDITCHECK!D29="Deficit reduction plan is required.","School District must complete a deficit reduction plan in the 2019-2020 Budget",)),"")</f>
        <v>0</v>
      </c>
      <c r="K24" s="2041"/>
      <c r="L24" s="2041"/>
      <c r="M24" s="2041"/>
      <c r="N24" s="2041"/>
      <c r="O24" s="2041"/>
      <c r="P24" s="2041"/>
      <c r="Q24" s="2041"/>
      <c r="R24" s="2041"/>
      <c r="S24" s="2042"/>
      <c r="T24" s="105" t="s">
        <v>531</v>
      </c>
      <c r="U24" s="106"/>
      <c r="V24" s="106"/>
      <c r="W24" s="106"/>
      <c r="X24" s="107"/>
      <c r="Y24" s="107"/>
      <c r="Z24" s="107"/>
      <c r="AA24" s="108"/>
    </row>
    <row r="25" spans="1:27" ht="14.1" customHeight="1" x14ac:dyDescent="0.2">
      <c r="A25" s="2018">
        <v>60046</v>
      </c>
      <c r="B25" s="2019"/>
      <c r="C25" s="2019"/>
      <c r="D25" s="2019"/>
      <c r="E25" s="2019"/>
      <c r="F25" s="2019"/>
      <c r="G25" s="2019"/>
      <c r="H25" s="2020"/>
      <c r="I25" s="113"/>
      <c r="J25" s="2043"/>
      <c r="K25" s="2043"/>
      <c r="L25" s="2043"/>
      <c r="M25" s="2043"/>
      <c r="N25" s="2043"/>
      <c r="O25" s="2043"/>
      <c r="P25" s="2043"/>
      <c r="Q25" s="2043"/>
      <c r="R25" s="2043"/>
      <c r="S25" s="2044"/>
      <c r="T25" s="2114" t="s">
        <v>2068</v>
      </c>
      <c r="U25" s="2115"/>
      <c r="V25" s="2115"/>
      <c r="W25" s="2115"/>
      <c r="X25" s="2115"/>
      <c r="Y25" s="2115"/>
      <c r="Z25" s="2115"/>
      <c r="AA25" s="211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29" t="s">
        <v>1511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2120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2120</v>
      </c>
      <c r="C30" s="124" t="s">
        <v>1164</v>
      </c>
      <c r="D30" s="28"/>
      <c r="E30" s="28"/>
      <c r="F30" s="140"/>
      <c r="G30" s="114"/>
      <c r="H30" s="114"/>
      <c r="I30" s="54"/>
      <c r="J30" s="148" t="s">
        <v>2120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2120</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40"/>
      <c r="Q35" s="2019"/>
      <c r="R35" s="201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54"/>
      <c r="B38" s="2055"/>
      <c r="C38" s="2055"/>
      <c r="D38" s="2055"/>
      <c r="E38" s="2055"/>
      <c r="F38" s="2019"/>
      <c r="G38" s="2019"/>
      <c r="H38" s="2020"/>
      <c r="I38" s="2047"/>
      <c r="J38" s="2048"/>
      <c r="K38" s="2048"/>
      <c r="L38" s="2048"/>
      <c r="M38" s="2048"/>
      <c r="N38" s="2048"/>
      <c r="O38" s="2048"/>
      <c r="P38" s="2049"/>
      <c r="Q38" s="2049"/>
      <c r="R38" s="2049"/>
      <c r="S38" s="2050"/>
      <c r="T38" s="2104"/>
      <c r="U38" s="2048"/>
      <c r="V38" s="2048"/>
      <c r="W38" s="2048"/>
      <c r="X38" s="2049"/>
      <c r="Y38" s="2049"/>
      <c r="Z38" s="2049"/>
      <c r="AA38" s="2050"/>
    </row>
    <row r="39" spans="1:27" ht="12" customHeight="1" x14ac:dyDescent="0.2">
      <c r="A39" s="2024" t="s">
        <v>531</v>
      </c>
      <c r="B39" s="2025"/>
      <c r="C39" s="72"/>
      <c r="D39" s="69"/>
      <c r="E39" s="69"/>
      <c r="F39" s="79"/>
      <c r="G39" s="69"/>
      <c r="H39" s="56"/>
      <c r="I39" s="2024" t="s">
        <v>531</v>
      </c>
      <c r="J39" s="2025"/>
      <c r="K39" s="2025"/>
      <c r="L39" s="2025"/>
      <c r="M39" s="2025"/>
      <c r="N39" s="67"/>
      <c r="O39" s="72"/>
      <c r="P39" s="72"/>
      <c r="Q39" s="78"/>
      <c r="R39" s="72"/>
      <c r="S39" s="56"/>
      <c r="T39" s="72" t="s">
        <v>531</v>
      </c>
      <c r="U39" s="51"/>
      <c r="V39" s="72"/>
      <c r="W39" s="50"/>
      <c r="X39" s="78"/>
      <c r="Y39" s="45"/>
      <c r="Z39" s="45"/>
      <c r="AA39" s="46"/>
    </row>
    <row r="40" spans="1:27" ht="13.5" customHeight="1" x14ac:dyDescent="0.2">
      <c r="A40" s="2032"/>
      <c r="B40" s="2033"/>
      <c r="C40" s="2034"/>
      <c r="D40" s="2034"/>
      <c r="E40" s="2034"/>
      <c r="F40" s="2035"/>
      <c r="G40" s="2035"/>
      <c r="H40" s="2036"/>
      <c r="I40" s="2057"/>
      <c r="J40" s="2058"/>
      <c r="K40" s="2058"/>
      <c r="L40" s="2058"/>
      <c r="M40" s="2058"/>
      <c r="N40" s="2058"/>
      <c r="O40" s="2058"/>
      <c r="P40" s="2058"/>
      <c r="Q40" s="2058"/>
      <c r="R40" s="2058"/>
      <c r="S40" s="2059"/>
      <c r="T40" s="2057"/>
      <c r="U40" s="2120"/>
      <c r="V40" s="2058"/>
      <c r="W40" s="2058"/>
      <c r="X40" s="2058"/>
      <c r="Y40" s="2058"/>
      <c r="Z40" s="2058"/>
      <c r="AA40" s="20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6"/>
      <c r="B42" s="2038"/>
      <c r="C42" s="2039"/>
      <c r="D42" s="2037"/>
      <c r="E42" s="2038"/>
      <c r="F42" s="2038"/>
      <c r="G42" s="2038"/>
      <c r="H42" s="2039"/>
      <c r="I42" s="2021"/>
      <c r="J42" s="2022"/>
      <c r="K42" s="2022"/>
      <c r="L42" s="2022"/>
      <c r="M42" s="2022"/>
      <c r="N42" s="2022"/>
      <c r="O42" s="2023"/>
      <c r="P42" s="2056"/>
      <c r="Q42" s="2022"/>
      <c r="R42" s="2022"/>
      <c r="S42" s="2023"/>
      <c r="T42" s="2021"/>
      <c r="U42" s="2022"/>
      <c r="V42" s="2022"/>
      <c r="W42" s="2023"/>
      <c r="X42" s="2056"/>
      <c r="Y42" s="2022"/>
      <c r="Z42" s="2022"/>
      <c r="AA42" s="202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1"/>
      <c r="B44" s="2052"/>
      <c r="C44" s="2052"/>
      <c r="D44" s="2052"/>
      <c r="E44" s="2052"/>
      <c r="F44" s="2052"/>
      <c r="G44" s="2052"/>
      <c r="H44" s="2053"/>
      <c r="I44" s="2026"/>
      <c r="J44" s="2027"/>
      <c r="K44" s="2027"/>
      <c r="L44" s="2027"/>
      <c r="M44" s="2027"/>
      <c r="N44" s="2027"/>
      <c r="O44" s="2027"/>
      <c r="P44" s="2027"/>
      <c r="Q44" s="2027"/>
      <c r="R44" s="2027"/>
      <c r="S44" s="2028"/>
      <c r="T44" s="2026"/>
      <c r="U44" s="2045"/>
      <c r="V44" s="2045"/>
      <c r="W44" s="2045"/>
      <c r="X44" s="2045"/>
      <c r="Y44" s="2045"/>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9"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C19" sqref="C19:D19"/>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6" t="s">
        <v>104</v>
      </c>
    </row>
    <row r="2" spans="1:6" ht="39.75" customHeight="1" x14ac:dyDescent="0.2">
      <c r="A2" s="2260" t="s">
        <v>1799</v>
      </c>
      <c r="B2" s="1501" t="s">
        <v>1948</v>
      </c>
      <c r="C2" s="687" t="s">
        <v>1949</v>
      </c>
      <c r="D2" s="687" t="s">
        <v>1950</v>
      </c>
      <c r="E2" s="687" t="s">
        <v>1951</v>
      </c>
      <c r="F2" s="687" t="s">
        <v>1952</v>
      </c>
    </row>
    <row r="3" spans="1:6" ht="12" customHeight="1" x14ac:dyDescent="0.2">
      <c r="A3" s="2261"/>
      <c r="B3" s="1498"/>
      <c r="C3" s="1499"/>
      <c r="D3" s="1500" t="s">
        <v>256</v>
      </c>
      <c r="E3" s="1499"/>
      <c r="F3" s="1500" t="s">
        <v>257</v>
      </c>
    </row>
    <row r="4" spans="1:6" ht="13.7" customHeight="1" x14ac:dyDescent="0.2">
      <c r="A4" s="688" t="s">
        <v>1155</v>
      </c>
      <c r="B4" s="1722">
        <f>'Revenues 9-14'!C5</f>
        <v>13918317</v>
      </c>
      <c r="C4" s="1497">
        <v>7147538</v>
      </c>
      <c r="D4" s="1725">
        <f>B4-C4</f>
        <v>6770779</v>
      </c>
      <c r="E4" s="1497">
        <v>14507105</v>
      </c>
      <c r="F4" s="1725">
        <f>E4-C4</f>
        <v>7359567</v>
      </c>
    </row>
    <row r="5" spans="1:6" ht="13.7" customHeight="1" x14ac:dyDescent="0.2">
      <c r="A5" s="688" t="s">
        <v>870</v>
      </c>
      <c r="B5" s="1723">
        <f>'Revenues 9-14'!D5</f>
        <v>1984451</v>
      </c>
      <c r="C5" s="565">
        <v>1014358</v>
      </c>
      <c r="D5" s="1726">
        <f t="shared" ref="D5:D18" si="0">B5-C5</f>
        <v>970093</v>
      </c>
      <c r="E5" s="565">
        <v>2058806</v>
      </c>
      <c r="F5" s="1726">
        <f>E5-C5</f>
        <v>1044448</v>
      </c>
    </row>
    <row r="6" spans="1:6" ht="13.7" customHeight="1" x14ac:dyDescent="0.2">
      <c r="A6" s="688" t="s">
        <v>411</v>
      </c>
      <c r="B6" s="1723">
        <f>'Revenues 9-14'!E5</f>
        <v>5055250</v>
      </c>
      <c r="C6" s="565">
        <v>2657695</v>
      </c>
      <c r="D6" s="1726">
        <f t="shared" si="0"/>
        <v>2397555</v>
      </c>
      <c r="E6" s="565">
        <v>5394229</v>
      </c>
      <c r="F6" s="1726">
        <f t="shared" ref="F6:F18" si="1">E6-C6</f>
        <v>2736534</v>
      </c>
    </row>
    <row r="7" spans="1:6" ht="13.7" customHeight="1" x14ac:dyDescent="0.2">
      <c r="A7" s="688" t="s">
        <v>155</v>
      </c>
      <c r="B7" s="1723">
        <f>'Revenues 9-14'!F5</f>
        <v>895344</v>
      </c>
      <c r="C7" s="565">
        <v>559118</v>
      </c>
      <c r="D7" s="1726">
        <f t="shared" si="0"/>
        <v>336226</v>
      </c>
      <c r="E7" s="565">
        <v>1134823</v>
      </c>
      <c r="F7" s="1726">
        <f t="shared" si="1"/>
        <v>575705</v>
      </c>
    </row>
    <row r="8" spans="1:6" ht="13.7" customHeight="1" x14ac:dyDescent="0.2">
      <c r="A8" s="688" t="s">
        <v>1179</v>
      </c>
      <c r="B8" s="1723">
        <f>'Revenues 9-14'!G5</f>
        <v>343414</v>
      </c>
      <c r="C8" s="565">
        <v>178720</v>
      </c>
      <c r="D8" s="1726">
        <f t="shared" si="0"/>
        <v>164694</v>
      </c>
      <c r="E8" s="565">
        <v>362742</v>
      </c>
      <c r="F8" s="1726">
        <f t="shared" si="1"/>
        <v>184022</v>
      </c>
    </row>
    <row r="9" spans="1:6" ht="13.7" customHeight="1" x14ac:dyDescent="0.2">
      <c r="A9" s="688" t="s">
        <v>408</v>
      </c>
      <c r="B9" s="1723">
        <f>'Revenues 9-14'!H5</f>
        <v>0</v>
      </c>
      <c r="C9" s="565"/>
      <c r="D9" s="1726">
        <f t="shared" si="0"/>
        <v>0</v>
      </c>
      <c r="E9" s="565"/>
      <c r="F9" s="1726">
        <f t="shared" si="1"/>
        <v>0</v>
      </c>
    </row>
    <row r="10" spans="1:6" ht="13.7" customHeight="1" x14ac:dyDescent="0.2">
      <c r="A10" s="688" t="s">
        <v>407</v>
      </c>
      <c r="B10" s="1723">
        <f>'Revenues 9-14'!I5</f>
        <v>5052</v>
      </c>
      <c r="C10" s="565">
        <v>2657</v>
      </c>
      <c r="D10" s="1726">
        <f t="shared" si="0"/>
        <v>2395</v>
      </c>
      <c r="E10" s="565">
        <v>5392</v>
      </c>
      <c r="F10" s="1726">
        <f t="shared" si="1"/>
        <v>2735</v>
      </c>
    </row>
    <row r="11" spans="1:6" x14ac:dyDescent="0.2">
      <c r="A11" s="688" t="s">
        <v>409</v>
      </c>
      <c r="B11" s="1723">
        <f>'Revenues 9-14'!J5</f>
        <v>191964</v>
      </c>
      <c r="C11" s="565">
        <v>79745</v>
      </c>
      <c r="D11" s="1726">
        <f t="shared" si="0"/>
        <v>112219</v>
      </c>
      <c r="E11" s="565">
        <v>161855</v>
      </c>
      <c r="F11" s="1726">
        <f t="shared" si="1"/>
        <v>82110</v>
      </c>
    </row>
    <row r="12" spans="1:6" ht="13.7" customHeight="1" x14ac:dyDescent="0.2">
      <c r="A12" s="688" t="s">
        <v>157</v>
      </c>
      <c r="B12" s="1723">
        <f>'Revenues 9-14'!K5</f>
        <v>76</v>
      </c>
      <c r="C12" s="565"/>
      <c r="D12" s="1726">
        <f t="shared" si="0"/>
        <v>76</v>
      </c>
      <c r="E12" s="565"/>
      <c r="F12" s="1726">
        <f t="shared" si="1"/>
        <v>0</v>
      </c>
    </row>
    <row r="13" spans="1:6" ht="13.7" customHeight="1" x14ac:dyDescent="0.2">
      <c r="A13" s="688" t="s">
        <v>936</v>
      </c>
      <c r="B13" s="1723">
        <f>SUM('Revenues 9-14'!C6:D6)</f>
        <v>0</v>
      </c>
      <c r="C13" s="565"/>
      <c r="D13" s="1726">
        <f t="shared" si="0"/>
        <v>0</v>
      </c>
      <c r="E13" s="565"/>
      <c r="F13" s="1726">
        <f t="shared" si="1"/>
        <v>0</v>
      </c>
    </row>
    <row r="14" spans="1:6" ht="13.7" customHeight="1" x14ac:dyDescent="0.2">
      <c r="A14" s="688" t="s">
        <v>410</v>
      </c>
      <c r="B14" s="1723">
        <f>SUM('Revenues 9-14'!C7:D7,'Revenues 9-14'!F7:H7)</f>
        <v>76190</v>
      </c>
      <c r="C14" s="565">
        <v>39611</v>
      </c>
      <c r="D14" s="1726">
        <f t="shared" si="0"/>
        <v>36579</v>
      </c>
      <c r="E14" s="565">
        <v>80397</v>
      </c>
      <c r="F14" s="1726">
        <f t="shared" si="1"/>
        <v>40786</v>
      </c>
    </row>
    <row r="15" spans="1:6" ht="13.7" customHeight="1" x14ac:dyDescent="0.2">
      <c r="A15" s="688" t="s">
        <v>1158</v>
      </c>
      <c r="B15" s="1723">
        <f>SUM('Revenues 9-14'!D9:E9,'Revenues 9-14'!H9)</f>
        <v>0</v>
      </c>
      <c r="C15" s="565"/>
      <c r="D15" s="1726">
        <f t="shared" si="0"/>
        <v>0</v>
      </c>
      <c r="E15" s="565"/>
      <c r="F15" s="1726">
        <f t="shared" si="1"/>
        <v>0</v>
      </c>
    </row>
    <row r="16" spans="1:6" ht="13.7" customHeight="1" x14ac:dyDescent="0.2">
      <c r="A16" s="688" t="s">
        <v>1159</v>
      </c>
      <c r="B16" s="1723">
        <f>'Revenues 9-14'!G8</f>
        <v>343325</v>
      </c>
      <c r="C16" s="565">
        <v>178720</v>
      </c>
      <c r="D16" s="1726">
        <f t="shared" si="0"/>
        <v>164605</v>
      </c>
      <c r="E16" s="565">
        <v>362742</v>
      </c>
      <c r="F16" s="1726">
        <f t="shared" si="1"/>
        <v>184022</v>
      </c>
    </row>
    <row r="17" spans="1:6" ht="13.7" customHeight="1" x14ac:dyDescent="0.2">
      <c r="A17" s="688" t="s">
        <v>1160</v>
      </c>
      <c r="B17" s="1723">
        <f>'Revenues 9-14'!C10</f>
        <v>0</v>
      </c>
      <c r="C17" s="565"/>
      <c r="D17" s="1726">
        <f t="shared" si="0"/>
        <v>0</v>
      </c>
      <c r="E17" s="565"/>
      <c r="F17" s="1726">
        <f t="shared" si="1"/>
        <v>0</v>
      </c>
    </row>
    <row r="18" spans="1:6" ht="13.7" customHeight="1" x14ac:dyDescent="0.2">
      <c r="A18" s="688" t="s">
        <v>762</v>
      </c>
      <c r="B18" s="1723">
        <f>SUM('Revenues 9-14'!C11:K11)</f>
        <v>32999</v>
      </c>
      <c r="C18" s="565">
        <v>15728</v>
      </c>
      <c r="D18" s="1726">
        <f t="shared" si="0"/>
        <v>17271</v>
      </c>
      <c r="E18" s="565">
        <v>31922</v>
      </c>
      <c r="F18" s="1726">
        <f t="shared" si="1"/>
        <v>16194</v>
      </c>
    </row>
    <row r="19" spans="1:6" ht="13.7" customHeight="1" thickBot="1" x14ac:dyDescent="0.25">
      <c r="A19" s="1727" t="s">
        <v>1161</v>
      </c>
      <c r="B19" s="1724">
        <f>SUM(B4:B18)</f>
        <v>22846382</v>
      </c>
      <c r="C19" s="1724">
        <f>SUM(C4:C18)</f>
        <v>11873890</v>
      </c>
      <c r="D19" s="1724">
        <f>SUM(D4:D18)</f>
        <v>10972492</v>
      </c>
      <c r="E19" s="1724">
        <f>SUM(E4:E18)</f>
        <v>24100013</v>
      </c>
      <c r="F19" s="1724">
        <f>SUM(F4:F18)</f>
        <v>12226123</v>
      </c>
    </row>
    <row r="20" spans="1:6" ht="13.5" thickTop="1" x14ac:dyDescent="0.2">
      <c r="B20" s="686"/>
      <c r="F20" s="689"/>
    </row>
    <row r="21" spans="1:6" x14ac:dyDescent="0.2">
      <c r="A21" s="690" t="s">
        <v>1805</v>
      </c>
      <c r="B21" s="691"/>
      <c r="F21" s="689"/>
    </row>
    <row r="22" spans="1:6" x14ac:dyDescent="0.2">
      <c r="A22" s="692" t="s">
        <v>628</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0" colorId="8" zoomScale="110" zoomScaleNormal="110" workbookViewId="0">
      <selection activeCell="J49" sqref="J49"/>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82" t="s">
        <v>629</v>
      </c>
      <c r="B1" s="2280"/>
      <c r="C1" s="694"/>
    </row>
    <row r="2" spans="1:7" ht="33.75" x14ac:dyDescent="0.2">
      <c r="A2" s="2287" t="s">
        <v>1799</v>
      </c>
      <c r="B2" s="2288"/>
      <c r="C2" s="1857" t="s">
        <v>1953</v>
      </c>
      <c r="D2" s="696" t="s">
        <v>1954</v>
      </c>
      <c r="E2" s="696" t="s">
        <v>1955</v>
      </c>
      <c r="F2" s="1857" t="s">
        <v>1956</v>
      </c>
    </row>
    <row r="3" spans="1:7" ht="15.75" customHeight="1" x14ac:dyDescent="0.2">
      <c r="A3" s="2289" t="s">
        <v>1114</v>
      </c>
      <c r="B3" s="2290"/>
      <c r="C3" s="2283"/>
      <c r="D3" s="2284"/>
      <c r="E3" s="2284"/>
      <c r="F3" s="2285"/>
    </row>
    <row r="4" spans="1:7" ht="12.75" customHeight="1" thickBot="1" x14ac:dyDescent="0.25">
      <c r="A4" s="2277" t="s">
        <v>630</v>
      </c>
      <c r="B4" s="2278"/>
      <c r="C4" s="562"/>
      <c r="D4" s="562"/>
      <c r="E4" s="562"/>
      <c r="F4" s="1728">
        <f>SUM(C4+D4)-E4</f>
        <v>0</v>
      </c>
    </row>
    <row r="5" spans="1:7" ht="15.75" customHeight="1" thickTop="1" x14ac:dyDescent="0.2">
      <c r="A5" s="2281" t="s">
        <v>1110</v>
      </c>
      <c r="B5" s="2276"/>
      <c r="C5" s="2270"/>
      <c r="D5" s="2271"/>
      <c r="E5" s="2271"/>
      <c r="F5" s="2272"/>
    </row>
    <row r="6" spans="1:7" ht="12.75" customHeight="1" thickBot="1" x14ac:dyDescent="0.25">
      <c r="A6" s="697" t="s">
        <v>64</v>
      </c>
      <c r="B6" s="698"/>
      <c r="C6" s="699"/>
      <c r="D6" s="565"/>
      <c r="E6" s="699"/>
      <c r="F6" s="1728">
        <f t="shared" ref="F6:F14" si="0">SUM(C6+D6)-E6</f>
        <v>0</v>
      </c>
    </row>
    <row r="7" spans="1:7" ht="12.75" customHeight="1" thickTop="1" thickBot="1" x14ac:dyDescent="0.25">
      <c r="A7" s="697" t="s">
        <v>6</v>
      </c>
      <c r="B7" s="698"/>
      <c r="C7" s="699"/>
      <c r="D7" s="565"/>
      <c r="E7" s="699"/>
      <c r="F7" s="1728">
        <f t="shared" si="0"/>
        <v>0</v>
      </c>
    </row>
    <row r="8" spans="1:7" ht="12.75" customHeight="1" thickTop="1" thickBot="1" x14ac:dyDescent="0.25">
      <c r="A8" s="697" t="s">
        <v>508</v>
      </c>
      <c r="B8" s="698"/>
      <c r="C8" s="699"/>
      <c r="D8" s="565"/>
      <c r="E8" s="699"/>
      <c r="F8" s="1728">
        <f t="shared" si="0"/>
        <v>0</v>
      </c>
    </row>
    <row r="9" spans="1:7" ht="12.75" customHeight="1" thickTop="1" thickBot="1" x14ac:dyDescent="0.25">
      <c r="A9" s="697" t="s">
        <v>509</v>
      </c>
      <c r="B9" s="698"/>
      <c r="C9" s="699"/>
      <c r="D9" s="565"/>
      <c r="E9" s="699"/>
      <c r="F9" s="1728">
        <f t="shared" si="0"/>
        <v>0</v>
      </c>
    </row>
    <row r="10" spans="1:7" ht="12.75" customHeight="1" thickTop="1" thickBot="1" x14ac:dyDescent="0.25">
      <c r="A10" s="697" t="s">
        <v>510</v>
      </c>
      <c r="B10" s="698"/>
      <c r="C10" s="699"/>
      <c r="D10" s="565"/>
      <c r="E10" s="699"/>
      <c r="F10" s="1728">
        <f t="shared" si="0"/>
        <v>0</v>
      </c>
    </row>
    <row r="11" spans="1:7" ht="12.75" customHeight="1" thickTop="1" thickBot="1" x14ac:dyDescent="0.25">
      <c r="A11" s="697" t="s">
        <v>341</v>
      </c>
      <c r="B11" s="698"/>
      <c r="C11" s="699"/>
      <c r="D11" s="565"/>
      <c r="E11" s="699"/>
      <c r="F11" s="1728">
        <f t="shared" si="0"/>
        <v>0</v>
      </c>
    </row>
    <row r="12" spans="1:7" ht="12.75" customHeight="1" thickTop="1" thickBot="1" x14ac:dyDescent="0.25">
      <c r="A12" s="697" t="s">
        <v>1157</v>
      </c>
      <c r="B12" s="698"/>
      <c r="C12" s="699"/>
      <c r="D12" s="565"/>
      <c r="E12" s="699"/>
      <c r="F12" s="1728">
        <f t="shared" si="0"/>
        <v>0</v>
      </c>
    </row>
    <row r="13" spans="1:7" ht="12.75" customHeight="1" thickTop="1" thickBot="1" x14ac:dyDescent="0.25">
      <c r="A13" s="697" t="s">
        <v>388</v>
      </c>
      <c r="B13" s="698"/>
      <c r="C13" s="699"/>
      <c r="D13" s="565"/>
      <c r="E13" s="699"/>
      <c r="F13" s="1728">
        <f t="shared" si="0"/>
        <v>0</v>
      </c>
    </row>
    <row r="14" spans="1:7" ht="12.75" customHeight="1" thickTop="1" thickBot="1" x14ac:dyDescent="0.25">
      <c r="A14" s="697" t="s">
        <v>448</v>
      </c>
      <c r="B14" s="698"/>
      <c r="C14" s="699"/>
      <c r="D14" s="565"/>
      <c r="E14" s="699"/>
      <c r="F14" s="1728">
        <f t="shared" si="0"/>
        <v>0</v>
      </c>
    </row>
    <row r="15" spans="1:7" ht="14.25" thickTop="1" thickBot="1" x14ac:dyDescent="0.25">
      <c r="A15" s="2273" t="s">
        <v>631</v>
      </c>
      <c r="B15" s="2274"/>
      <c r="C15" s="1728">
        <f>SUM(C6:C14)</f>
        <v>0</v>
      </c>
      <c r="D15" s="1728">
        <f>SUM(D6:D14)</f>
        <v>0</v>
      </c>
      <c r="E15" s="1728">
        <f>SUM(E6:E14)</f>
        <v>0</v>
      </c>
      <c r="F15" s="1728">
        <f>SUM(F6:F14)</f>
        <v>0</v>
      </c>
      <c r="G15" s="540"/>
    </row>
    <row r="16" spans="1:7" s="202" customFormat="1" ht="15.75" customHeight="1" thickTop="1" x14ac:dyDescent="0.2">
      <c r="A16" s="2286" t="s">
        <v>1111</v>
      </c>
      <c r="B16" s="2276"/>
      <c r="C16" s="2270"/>
      <c r="D16" s="2271"/>
      <c r="E16" s="2271"/>
      <c r="F16" s="2272"/>
    </row>
    <row r="17" spans="1:11" ht="12.75" customHeight="1" thickBot="1" x14ac:dyDescent="0.25">
      <c r="A17" s="2268" t="s">
        <v>64</v>
      </c>
      <c r="B17" s="2269"/>
      <c r="C17" s="699"/>
      <c r="D17" s="565"/>
      <c r="E17" s="699"/>
      <c r="F17" s="1728">
        <f>SUM(C17+D17)-E17</f>
        <v>0</v>
      </c>
    </row>
    <row r="18" spans="1:11" ht="12.75" customHeight="1" thickTop="1" thickBot="1" x14ac:dyDescent="0.25">
      <c r="A18" s="2268" t="s">
        <v>6</v>
      </c>
      <c r="B18" s="2269"/>
      <c r="C18" s="699"/>
      <c r="D18" s="565"/>
      <c r="E18" s="699"/>
      <c r="F18" s="1728">
        <f>SUM(C18+D18)-E18</f>
        <v>0</v>
      </c>
    </row>
    <row r="19" spans="1:11" ht="12.75" customHeight="1" thickTop="1" thickBot="1" x14ac:dyDescent="0.25">
      <c r="A19" s="2268" t="s">
        <v>388</v>
      </c>
      <c r="B19" s="2269"/>
      <c r="C19" s="699"/>
      <c r="D19" s="565"/>
      <c r="E19" s="699"/>
      <c r="F19" s="1728">
        <f>SUM(C19+D19)-E19</f>
        <v>0</v>
      </c>
    </row>
    <row r="20" spans="1:11" ht="12.75" customHeight="1" thickTop="1" thickBot="1" x14ac:dyDescent="0.25">
      <c r="A20" s="2268" t="s">
        <v>448</v>
      </c>
      <c r="B20" s="2269"/>
      <c r="C20" s="699"/>
      <c r="D20" s="565"/>
      <c r="E20" s="699"/>
      <c r="F20" s="1728">
        <f>SUM(C20+D20)-E20</f>
        <v>0</v>
      </c>
    </row>
    <row r="21" spans="1:11" ht="14.25" thickTop="1" thickBot="1" x14ac:dyDescent="0.25">
      <c r="A21" s="2273" t="s">
        <v>632</v>
      </c>
      <c r="B21" s="2274"/>
      <c r="C21" s="1728">
        <f>SUM(C17:C20)</f>
        <v>0</v>
      </c>
      <c r="D21" s="1728">
        <f>SUM(D17:D20)</f>
        <v>0</v>
      </c>
      <c r="E21" s="1728">
        <f>SUM(E17:E20)</f>
        <v>0</v>
      </c>
      <c r="F21" s="1728">
        <f>SUM(F17:F20)</f>
        <v>0</v>
      </c>
      <c r="G21" s="540"/>
    </row>
    <row r="22" spans="1:11" ht="15.75" customHeight="1" thickTop="1" x14ac:dyDescent="0.2">
      <c r="A22" s="2275" t="s">
        <v>1112</v>
      </c>
      <c r="B22" s="2276"/>
      <c r="C22" s="2270"/>
      <c r="D22" s="2271"/>
      <c r="E22" s="2271"/>
      <c r="F22" s="2272"/>
    </row>
    <row r="23" spans="1:11" ht="13.5" thickBot="1" x14ac:dyDescent="0.25">
      <c r="A23" s="2277" t="s">
        <v>633</v>
      </c>
      <c r="B23" s="2278"/>
      <c r="C23" s="562"/>
      <c r="D23" s="562"/>
      <c r="E23" s="562"/>
      <c r="F23" s="1728">
        <f>SUM(C23+D23)-E23</f>
        <v>0</v>
      </c>
      <c r="G23" s="540"/>
    </row>
    <row r="24" spans="1:11" ht="15.75" customHeight="1" thickTop="1" x14ac:dyDescent="0.2">
      <c r="A24" s="2275" t="s">
        <v>1113</v>
      </c>
      <c r="B24" s="2276"/>
      <c r="C24" s="2270"/>
      <c r="D24" s="2271"/>
      <c r="E24" s="2271"/>
      <c r="F24" s="2272"/>
    </row>
    <row r="25" spans="1:11" ht="13.5" thickBot="1" x14ac:dyDescent="0.25">
      <c r="A25" s="2277" t="s">
        <v>634</v>
      </c>
      <c r="B25" s="2278"/>
      <c r="C25" s="562"/>
      <c r="D25" s="562"/>
      <c r="E25" s="562"/>
      <c r="F25" s="1728">
        <f>SUM(C25+D25)-E25</f>
        <v>0</v>
      </c>
      <c r="G25" s="540"/>
    </row>
    <row r="26" spans="1:11" ht="15.75" customHeight="1" thickTop="1" x14ac:dyDescent="0.2">
      <c r="A26" s="2281" t="s">
        <v>657</v>
      </c>
      <c r="B26" s="2276"/>
      <c r="C26" s="700"/>
      <c r="D26" s="700"/>
      <c r="E26" s="700"/>
      <c r="F26" s="701"/>
    </row>
    <row r="27" spans="1:11" ht="13.5" thickBot="1" x14ac:dyDescent="0.25">
      <c r="A27" s="2273" t="s">
        <v>1070</v>
      </c>
      <c r="B27" s="2274"/>
      <c r="C27" s="565"/>
      <c r="D27" s="565"/>
      <c r="E27" s="565"/>
      <c r="F27" s="1728">
        <f>SUM(C27+D27)-E27</f>
        <v>0</v>
      </c>
      <c r="G27" s="540"/>
    </row>
    <row r="28" spans="1:11" ht="7.5" customHeight="1" thickTop="1" x14ac:dyDescent="0.2">
      <c r="A28" s="570"/>
    </row>
    <row r="29" spans="1:11" ht="23.25" customHeight="1" x14ac:dyDescent="0.2">
      <c r="A29" s="2279" t="s">
        <v>582</v>
      </c>
      <c r="B29" s="2280"/>
      <c r="C29" s="702"/>
      <c r="D29" s="702"/>
      <c r="E29" s="702"/>
      <c r="F29" s="702"/>
      <c r="G29" s="702"/>
      <c r="H29" s="702"/>
      <c r="I29" s="702"/>
      <c r="J29" s="702"/>
    </row>
    <row r="30" spans="1:11" ht="33.75" x14ac:dyDescent="0.2">
      <c r="A30" s="1502" t="s">
        <v>1071</v>
      </c>
      <c r="B30" s="703" t="s">
        <v>1124</v>
      </c>
      <c r="C30" s="1858" t="s">
        <v>583</v>
      </c>
      <c r="D30" s="1858" t="s">
        <v>1673</v>
      </c>
      <c r="E30" s="1858" t="s">
        <v>1957</v>
      </c>
      <c r="F30" s="1858" t="s">
        <v>1958</v>
      </c>
      <c r="G30" s="1858" t="s">
        <v>1908</v>
      </c>
      <c r="H30" s="1858" t="s">
        <v>1959</v>
      </c>
      <c r="I30" s="1858" t="s">
        <v>1960</v>
      </c>
      <c r="J30" s="1859" t="s">
        <v>2</v>
      </c>
      <c r="K30" s="704"/>
    </row>
    <row r="31" spans="1:11" ht="12" customHeight="1" x14ac:dyDescent="0.2">
      <c r="A31" s="2011" t="s">
        <v>2139</v>
      </c>
      <c r="B31" s="2012">
        <v>36861</v>
      </c>
      <c r="C31" s="2013">
        <v>7542968</v>
      </c>
      <c r="D31" s="2014">
        <v>6</v>
      </c>
      <c r="E31" s="707">
        <v>4903650</v>
      </c>
      <c r="F31" s="707"/>
      <c r="G31" s="707"/>
      <c r="H31" s="707">
        <v>1738980</v>
      </c>
      <c r="I31" s="1729">
        <f>((E31+F31)-H31)+G31</f>
        <v>3164670</v>
      </c>
      <c r="J31" s="707">
        <v>643605</v>
      </c>
      <c r="K31" s="709"/>
    </row>
    <row r="32" spans="1:11" ht="12" customHeight="1" x14ac:dyDescent="0.2">
      <c r="A32" s="2011" t="s">
        <v>2140</v>
      </c>
      <c r="B32" s="2012">
        <v>39427</v>
      </c>
      <c r="C32" s="2013">
        <v>3080000</v>
      </c>
      <c r="D32" s="2014">
        <v>3</v>
      </c>
      <c r="E32" s="707">
        <v>1170000</v>
      </c>
      <c r="F32" s="707"/>
      <c r="G32" s="707"/>
      <c r="H32" s="707">
        <v>100000</v>
      </c>
      <c r="I32" s="1729">
        <f>((E32+F32)-H32)+G32</f>
        <v>1070000</v>
      </c>
      <c r="J32" s="707">
        <v>793487</v>
      </c>
      <c r="K32" s="709"/>
    </row>
    <row r="33" spans="1:11" ht="12" customHeight="1" x14ac:dyDescent="0.2">
      <c r="A33" s="2011" t="s">
        <v>2141</v>
      </c>
      <c r="B33" s="2012">
        <v>42142</v>
      </c>
      <c r="C33" s="2013">
        <v>129552</v>
      </c>
      <c r="D33" s="2014">
        <v>7</v>
      </c>
      <c r="E33" s="707">
        <v>49661</v>
      </c>
      <c r="F33" s="707"/>
      <c r="G33" s="707"/>
      <c r="H33" s="707">
        <v>25910</v>
      </c>
      <c r="I33" s="1729">
        <f t="shared" ref="I33:I48" si="1">((E33+F33)-H33)+G33</f>
        <v>23751</v>
      </c>
      <c r="J33" s="707">
        <v>23751</v>
      </c>
      <c r="K33" s="709"/>
    </row>
    <row r="34" spans="1:11" ht="12" customHeight="1" x14ac:dyDescent="0.2">
      <c r="A34" s="2011" t="s">
        <v>2142</v>
      </c>
      <c r="B34" s="2012">
        <v>43013</v>
      </c>
      <c r="C34" s="2015">
        <v>1200000</v>
      </c>
      <c r="D34" s="2014">
        <v>6</v>
      </c>
      <c r="E34" s="707">
        <v>1200000</v>
      </c>
      <c r="F34" s="707"/>
      <c r="G34" s="707"/>
      <c r="H34" s="707">
        <v>400000</v>
      </c>
      <c r="I34" s="1729">
        <f t="shared" si="1"/>
        <v>800000</v>
      </c>
      <c r="J34" s="707">
        <v>564000</v>
      </c>
      <c r="K34" s="710"/>
    </row>
    <row r="35" spans="1:11" ht="12" customHeight="1" x14ac:dyDescent="0.2">
      <c r="A35" s="2011" t="s">
        <v>2143</v>
      </c>
      <c r="B35" s="2012">
        <v>42948</v>
      </c>
      <c r="C35" s="2013">
        <v>57000</v>
      </c>
      <c r="D35" s="2014">
        <v>7</v>
      </c>
      <c r="E35" s="711">
        <v>45138</v>
      </c>
      <c r="F35" s="711"/>
      <c r="G35" s="711"/>
      <c r="H35" s="711">
        <v>13720</v>
      </c>
      <c r="I35" s="1729">
        <f t="shared" si="1"/>
        <v>31418</v>
      </c>
      <c r="J35" s="711">
        <v>31418</v>
      </c>
      <c r="K35" s="710"/>
    </row>
    <row r="36" spans="1:11" ht="12" customHeight="1" x14ac:dyDescent="0.2">
      <c r="A36" s="2011" t="s">
        <v>2144</v>
      </c>
      <c r="B36" s="2012">
        <v>43003</v>
      </c>
      <c r="C36" s="2010">
        <v>2031</v>
      </c>
      <c r="D36" s="2016">
        <v>7</v>
      </c>
      <c r="E36" s="707">
        <v>1772</v>
      </c>
      <c r="F36" s="707"/>
      <c r="G36" s="707"/>
      <c r="H36" s="707">
        <v>519</v>
      </c>
      <c r="I36" s="1729">
        <f t="shared" si="1"/>
        <v>1253</v>
      </c>
      <c r="J36" s="707">
        <v>1253</v>
      </c>
      <c r="K36" s="712"/>
    </row>
    <row r="37" spans="1:11" ht="12" customHeight="1" x14ac:dyDescent="0.2">
      <c r="A37" s="2008" t="s">
        <v>2146</v>
      </c>
      <c r="B37" s="2009">
        <v>43319</v>
      </c>
      <c r="C37" s="2007">
        <v>129631</v>
      </c>
      <c r="D37" s="713">
        <v>7</v>
      </c>
      <c r="E37" s="466"/>
      <c r="F37" s="466"/>
      <c r="G37" s="466">
        <v>129631</v>
      </c>
      <c r="H37" s="466">
        <v>26365</v>
      </c>
      <c r="I37" s="1729">
        <f t="shared" si="1"/>
        <v>103266</v>
      </c>
      <c r="J37" s="466">
        <v>103266</v>
      </c>
      <c r="K37" s="710"/>
    </row>
    <row r="38" spans="1:11" ht="12" customHeight="1" x14ac:dyDescent="0.2">
      <c r="A38" s="705"/>
      <c r="B38" s="706"/>
      <c r="C38" s="707"/>
      <c r="D38" s="714"/>
      <c r="E38" s="715"/>
      <c r="F38" s="715"/>
      <c r="G38" s="715"/>
      <c r="H38" s="715"/>
      <c r="I38" s="1729">
        <f t="shared" si="1"/>
        <v>0</v>
      </c>
      <c r="J38" s="716" t="s">
        <v>264</v>
      </c>
      <c r="K38" s="717"/>
    </row>
    <row r="39" spans="1:11" ht="12" customHeight="1" x14ac:dyDescent="0.2">
      <c r="A39" s="705"/>
      <c r="B39" s="706"/>
      <c r="C39" s="707"/>
      <c r="D39" s="714"/>
      <c r="E39" s="715"/>
      <c r="F39" s="715"/>
      <c r="G39" s="715"/>
      <c r="H39" s="715"/>
      <c r="I39" s="1729">
        <f t="shared" si="1"/>
        <v>0</v>
      </c>
      <c r="J39" s="716"/>
      <c r="K39" s="717"/>
    </row>
    <row r="40" spans="1:11" ht="12" customHeight="1" x14ac:dyDescent="0.2">
      <c r="A40" s="705"/>
      <c r="B40" s="706"/>
      <c r="C40" s="707"/>
      <c r="D40" s="714"/>
      <c r="E40" s="715"/>
      <c r="F40" s="715"/>
      <c r="G40" s="715"/>
      <c r="H40" s="715"/>
      <c r="I40" s="1729">
        <f t="shared" si="1"/>
        <v>0</v>
      </c>
      <c r="J40" s="716"/>
      <c r="K40" s="717"/>
    </row>
    <row r="41" spans="1:11" ht="12" customHeight="1" x14ac:dyDescent="0.2">
      <c r="A41" s="705"/>
      <c r="B41" s="706"/>
      <c r="C41" s="707"/>
      <c r="D41" s="714"/>
      <c r="E41" s="715"/>
      <c r="F41" s="715"/>
      <c r="G41" s="715"/>
      <c r="H41" s="715"/>
      <c r="I41" s="1729">
        <f t="shared" si="1"/>
        <v>0</v>
      </c>
      <c r="J41" s="716"/>
      <c r="K41" s="717"/>
    </row>
    <row r="42" spans="1:11" ht="12" customHeight="1" x14ac:dyDescent="0.2">
      <c r="A42" s="705"/>
      <c r="B42" s="706"/>
      <c r="C42" s="707"/>
      <c r="D42" s="714"/>
      <c r="E42" s="715"/>
      <c r="F42" s="715"/>
      <c r="G42" s="715"/>
      <c r="H42" s="715"/>
      <c r="I42" s="1729">
        <f t="shared" si="1"/>
        <v>0</v>
      </c>
      <c r="J42" s="716"/>
      <c r="K42" s="717"/>
    </row>
    <row r="43" spans="1:11" ht="12" customHeight="1" x14ac:dyDescent="0.2">
      <c r="A43" s="705"/>
      <c r="B43" s="706"/>
      <c r="C43" s="707"/>
      <c r="D43" s="714"/>
      <c r="E43" s="715"/>
      <c r="F43" s="715"/>
      <c r="G43" s="715"/>
      <c r="H43" s="715"/>
      <c r="I43" s="1729">
        <f t="shared" si="1"/>
        <v>0</v>
      </c>
      <c r="J43" s="716"/>
      <c r="K43" s="717"/>
    </row>
    <row r="44" spans="1:11" ht="12" customHeight="1" x14ac:dyDescent="0.2">
      <c r="A44" s="705"/>
      <c r="B44" s="706"/>
      <c r="C44" s="707"/>
      <c r="D44" s="708"/>
      <c r="E44" s="707"/>
      <c r="F44" s="707"/>
      <c r="G44" s="707"/>
      <c r="H44" s="707"/>
      <c r="I44" s="1729">
        <f t="shared" si="1"/>
        <v>0</v>
      </c>
      <c r="J44" s="707"/>
      <c r="K44" s="710"/>
    </row>
    <row r="45" spans="1:11" ht="12" customHeight="1" x14ac:dyDescent="0.2">
      <c r="A45" s="705"/>
      <c r="B45" s="706"/>
      <c r="C45" s="707"/>
      <c r="D45" s="708"/>
      <c r="E45" s="707"/>
      <c r="F45" s="707"/>
      <c r="G45" s="707"/>
      <c r="H45" s="707"/>
      <c r="I45" s="1729">
        <f t="shared" si="1"/>
        <v>0</v>
      </c>
      <c r="J45" s="707"/>
      <c r="K45" s="710"/>
    </row>
    <row r="46" spans="1:11" ht="12" customHeight="1" x14ac:dyDescent="0.2">
      <c r="A46" s="705"/>
      <c r="B46" s="706"/>
      <c r="C46" s="707"/>
      <c r="D46" s="708"/>
      <c r="E46" s="707"/>
      <c r="F46" s="707"/>
      <c r="G46" s="707"/>
      <c r="H46" s="707"/>
      <c r="I46" s="1729">
        <f t="shared" si="1"/>
        <v>0</v>
      </c>
      <c r="J46" s="707"/>
      <c r="K46" s="710"/>
    </row>
    <row r="47" spans="1:11" ht="12" customHeight="1" x14ac:dyDescent="0.2">
      <c r="A47" s="705"/>
      <c r="B47" s="706"/>
      <c r="C47" s="711"/>
      <c r="D47" s="708"/>
      <c r="E47" s="711"/>
      <c r="F47" s="711"/>
      <c r="G47" s="711"/>
      <c r="H47" s="711"/>
      <c r="I47" s="1729">
        <f t="shared" si="1"/>
        <v>0</v>
      </c>
      <c r="J47" s="711"/>
      <c r="K47" s="710"/>
    </row>
    <row r="48" spans="1:11" ht="12" customHeight="1" x14ac:dyDescent="0.2">
      <c r="A48" s="705"/>
      <c r="B48" s="706"/>
      <c r="C48" s="707"/>
      <c r="D48" s="708"/>
      <c r="E48" s="707"/>
      <c r="F48" s="707"/>
      <c r="G48" s="707"/>
      <c r="H48" s="707"/>
      <c r="I48" s="1729">
        <f t="shared" si="1"/>
        <v>0</v>
      </c>
      <c r="J48" s="707"/>
      <c r="K48" s="710"/>
    </row>
    <row r="49" spans="1:11" ht="12" customHeight="1" x14ac:dyDescent="0.2">
      <c r="A49" s="705"/>
      <c r="B49" s="706"/>
      <c r="C49" s="1729">
        <f>SUM(C31:C48)</f>
        <v>12141182</v>
      </c>
      <c r="D49" s="718"/>
      <c r="E49" s="1729">
        <f t="shared" ref="E49:J49" si="2">SUM(E31:E48)</f>
        <v>7370221</v>
      </c>
      <c r="F49" s="1729">
        <f t="shared" si="2"/>
        <v>0</v>
      </c>
      <c r="G49" s="1729">
        <f t="shared" si="2"/>
        <v>129631</v>
      </c>
      <c r="H49" s="1729">
        <f t="shared" si="2"/>
        <v>2305494</v>
      </c>
      <c r="I49" s="1729">
        <f t="shared" si="2"/>
        <v>5194358</v>
      </c>
      <c r="J49" s="1729">
        <f t="shared" si="2"/>
        <v>2160780</v>
      </c>
      <c r="K49" s="710"/>
    </row>
    <row r="50" spans="1:11" ht="6" customHeight="1" x14ac:dyDescent="0.2">
      <c r="A50" s="719"/>
      <c r="B50" s="709"/>
      <c r="C50" s="709"/>
      <c r="D50" s="709"/>
      <c r="E50" s="709"/>
      <c r="F50" s="709"/>
      <c r="G50" s="709"/>
      <c r="H50" s="709"/>
      <c r="I50" s="709"/>
      <c r="J50" s="719"/>
    </row>
    <row r="51" spans="1:11" x14ac:dyDescent="0.2">
      <c r="A51" s="720" t="s">
        <v>1804</v>
      </c>
      <c r="B51" s="719"/>
      <c r="C51" s="710"/>
      <c r="D51" s="710"/>
      <c r="E51" s="710"/>
      <c r="F51" s="710"/>
      <c r="G51" s="710"/>
      <c r="H51" s="709"/>
      <c r="I51" s="709"/>
      <c r="J51" s="719"/>
    </row>
    <row r="52" spans="1:11" ht="11.25" customHeight="1" x14ac:dyDescent="0.2">
      <c r="A52" s="721" t="s">
        <v>912</v>
      </c>
      <c r="B52" s="2262" t="s">
        <v>584</v>
      </c>
      <c r="C52" s="2263"/>
      <c r="D52" s="2263"/>
      <c r="E52" s="722" t="s">
        <v>845</v>
      </c>
      <c r="F52" s="2264" t="s">
        <v>2145</v>
      </c>
      <c r="G52" s="2265"/>
      <c r="H52" s="709"/>
      <c r="I52" s="709"/>
      <c r="J52" s="719"/>
    </row>
    <row r="53" spans="1:11" ht="11.25" customHeight="1" x14ac:dyDescent="0.2">
      <c r="A53" s="723" t="s">
        <v>913</v>
      </c>
      <c r="B53" s="724" t="s">
        <v>951</v>
      </c>
      <c r="C53" s="719"/>
      <c r="D53" s="710"/>
      <c r="E53" s="722" t="s">
        <v>497</v>
      </c>
      <c r="F53" s="2266"/>
      <c r="G53" s="2267"/>
      <c r="H53" s="709"/>
      <c r="I53" s="709"/>
      <c r="J53" s="719"/>
    </row>
    <row r="54" spans="1:11" ht="11.25" customHeight="1" x14ac:dyDescent="0.2">
      <c r="A54" s="725" t="s">
        <v>914</v>
      </c>
      <c r="B54" s="720" t="s">
        <v>952</v>
      </c>
      <c r="C54" s="719"/>
      <c r="D54" s="710"/>
      <c r="E54" s="722" t="s">
        <v>498</v>
      </c>
      <c r="F54" s="2266"/>
      <c r="G54" s="2267"/>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9"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1" t="s">
        <v>856</v>
      </c>
      <c r="B1" s="2292"/>
      <c r="C1" s="2292"/>
      <c r="D1" s="2292"/>
      <c r="E1" s="2292"/>
      <c r="F1" s="2292"/>
      <c r="G1" s="2293"/>
      <c r="H1" s="1503"/>
      <c r="I1" s="733"/>
      <c r="J1" s="433"/>
    </row>
    <row r="2" spans="1:11" ht="26.25" x14ac:dyDescent="0.2">
      <c r="A2" s="2310" t="s">
        <v>1677</v>
      </c>
      <c r="B2" s="2311"/>
      <c r="C2" s="2311"/>
      <c r="D2" s="2311"/>
      <c r="E2" s="2312"/>
      <c r="F2" s="734" t="s">
        <v>904</v>
      </c>
      <c r="G2" s="735" t="s">
        <v>1674</v>
      </c>
      <c r="H2" s="735" t="s">
        <v>410</v>
      </c>
      <c r="I2" s="735" t="s">
        <v>1158</v>
      </c>
      <c r="J2" s="735" t="s">
        <v>1809</v>
      </c>
      <c r="K2" s="735" t="s">
        <v>138</v>
      </c>
    </row>
    <row r="3" spans="1:11" x14ac:dyDescent="0.2">
      <c r="A3" s="2313" t="s">
        <v>1961</v>
      </c>
      <c r="B3" s="2314"/>
      <c r="C3" s="2314"/>
      <c r="D3" s="2314"/>
      <c r="E3" s="2315"/>
      <c r="F3" s="736"/>
      <c r="G3" s="737"/>
      <c r="H3" s="737"/>
      <c r="I3" s="737"/>
      <c r="J3" s="738"/>
      <c r="K3" s="738"/>
    </row>
    <row r="4" spans="1:11" x14ac:dyDescent="0.2">
      <c r="A4" s="2316" t="s">
        <v>369</v>
      </c>
      <c r="B4" s="2317"/>
      <c r="C4" s="2317"/>
      <c r="D4" s="2317"/>
      <c r="E4" s="2263"/>
      <c r="F4" s="739"/>
      <c r="G4" s="740"/>
      <c r="H4" s="741"/>
      <c r="I4" s="740"/>
      <c r="J4" s="742"/>
      <c r="K4" s="742"/>
    </row>
    <row r="5" spans="1:11" x14ac:dyDescent="0.2">
      <c r="A5" s="2294" t="s">
        <v>1069</v>
      </c>
      <c r="B5" s="2295"/>
      <c r="C5" s="2295"/>
      <c r="D5" s="2295"/>
      <c r="E5" s="2296"/>
      <c r="F5" s="743" t="s">
        <v>848</v>
      </c>
      <c r="G5" s="744"/>
      <c r="H5" s="737">
        <v>76190</v>
      </c>
      <c r="I5" s="745"/>
      <c r="J5" s="746"/>
      <c r="K5" s="746"/>
    </row>
    <row r="6" spans="1:11" x14ac:dyDescent="0.2">
      <c r="A6" s="747" t="s">
        <v>720</v>
      </c>
      <c r="B6" s="748"/>
      <c r="C6" s="748"/>
      <c r="D6" s="748"/>
      <c r="E6" s="749"/>
      <c r="F6" s="750" t="s">
        <v>849</v>
      </c>
      <c r="G6" s="737"/>
      <c r="H6" s="737"/>
      <c r="I6" s="737"/>
      <c r="J6" s="738"/>
      <c r="K6" s="738"/>
    </row>
    <row r="7" spans="1:11" x14ac:dyDescent="0.2">
      <c r="A7" s="751" t="s">
        <v>246</v>
      </c>
      <c r="B7" s="752"/>
      <c r="C7" s="752"/>
      <c r="D7" s="752"/>
      <c r="E7" s="753"/>
      <c r="F7" s="743" t="s">
        <v>850</v>
      </c>
      <c r="G7" s="740"/>
      <c r="H7" s="740"/>
      <c r="I7" s="740"/>
      <c r="J7" s="754"/>
      <c r="K7" s="738"/>
    </row>
    <row r="8" spans="1:11" x14ac:dyDescent="0.2">
      <c r="A8" s="751" t="s">
        <v>345</v>
      </c>
      <c r="B8" s="752"/>
      <c r="C8" s="752"/>
      <c r="D8" s="752"/>
      <c r="E8" s="753"/>
      <c r="F8" s="743" t="s">
        <v>851</v>
      </c>
      <c r="G8" s="755"/>
      <c r="H8" s="755"/>
      <c r="I8" s="755"/>
      <c r="J8" s="738"/>
      <c r="K8" s="742"/>
    </row>
    <row r="9" spans="1:11" x14ac:dyDescent="0.2">
      <c r="A9" s="751" t="s">
        <v>138</v>
      </c>
      <c r="B9" s="752"/>
      <c r="C9" s="752"/>
      <c r="D9" s="752"/>
      <c r="E9" s="753"/>
      <c r="F9" s="750" t="s">
        <v>853</v>
      </c>
      <c r="G9" s="755"/>
      <c r="H9" s="744"/>
      <c r="I9" s="744"/>
      <c r="J9" s="754"/>
      <c r="K9" s="738"/>
    </row>
    <row r="10" spans="1:11" x14ac:dyDescent="0.2">
      <c r="A10" s="2294" t="s">
        <v>1810</v>
      </c>
      <c r="B10" s="2295"/>
      <c r="C10" s="2295"/>
      <c r="D10" s="2295"/>
      <c r="E10" s="2297"/>
      <c r="F10" s="756" t="s">
        <v>862</v>
      </c>
      <c r="G10" s="755"/>
      <c r="H10" s="757"/>
      <c r="I10" s="737"/>
      <c r="J10" s="738"/>
      <c r="K10" s="738"/>
    </row>
    <row r="11" spans="1:11" x14ac:dyDescent="0.2">
      <c r="A11" s="2294" t="s">
        <v>160</v>
      </c>
      <c r="B11" s="2295"/>
      <c r="C11" s="2295"/>
      <c r="D11" s="2295"/>
      <c r="E11" s="2296"/>
      <c r="F11" s="743" t="s">
        <v>852</v>
      </c>
      <c r="G11" s="744"/>
      <c r="H11" s="737"/>
      <c r="I11" s="737"/>
      <c r="J11" s="738"/>
      <c r="K11" s="746"/>
    </row>
    <row r="12" spans="1:11" ht="13.5" thickBot="1" x14ac:dyDescent="0.25">
      <c r="A12" s="2321" t="s">
        <v>905</v>
      </c>
      <c r="B12" s="2322"/>
      <c r="C12" s="2322"/>
      <c r="D12" s="2322"/>
      <c r="E12" s="2323"/>
      <c r="F12" s="1730"/>
      <c r="G12" s="1731">
        <f>SUM(G5:G11)</f>
        <v>0</v>
      </c>
      <c r="H12" s="1731">
        <f>SUM(H5:H11)</f>
        <v>76190</v>
      </c>
      <c r="I12" s="1731">
        <f>SUM(I5:I11)</f>
        <v>0</v>
      </c>
      <c r="J12" s="1731">
        <f>SUM(J5:J11)</f>
        <v>0</v>
      </c>
      <c r="K12" s="1731">
        <f>SUM(K5:K11)</f>
        <v>0</v>
      </c>
    </row>
    <row r="13" spans="1:11" ht="13.5" thickTop="1" x14ac:dyDescent="0.2">
      <c r="A13" s="2318" t="s">
        <v>370</v>
      </c>
      <c r="B13" s="2319"/>
      <c r="C13" s="2319"/>
      <c r="D13" s="2319"/>
      <c r="E13" s="2320"/>
      <c r="F13" s="758"/>
      <c r="G13" s="759"/>
      <c r="H13" s="760"/>
      <c r="I13" s="761"/>
      <c r="J13" s="761"/>
      <c r="K13" s="761"/>
    </row>
    <row r="14" spans="1:11" x14ac:dyDescent="0.2">
      <c r="A14" s="2301" t="s">
        <v>456</v>
      </c>
      <c r="B14" s="2301"/>
      <c r="C14" s="2301"/>
      <c r="D14" s="2301"/>
      <c r="E14" s="2302"/>
      <c r="F14" s="762" t="s">
        <v>854</v>
      </c>
      <c r="G14" s="755"/>
      <c r="H14" s="737">
        <v>76190</v>
      </c>
      <c r="I14" s="744"/>
      <c r="J14" s="746"/>
      <c r="K14" s="738"/>
    </row>
    <row r="15" spans="1:11" x14ac:dyDescent="0.2">
      <c r="A15" s="2295" t="s">
        <v>4</v>
      </c>
      <c r="B15" s="2295"/>
      <c r="C15" s="2295"/>
      <c r="D15" s="2295"/>
      <c r="E15" s="2296"/>
      <c r="F15" s="762" t="s">
        <v>855</v>
      </c>
      <c r="G15" s="744"/>
      <c r="H15" s="737"/>
      <c r="I15" s="737"/>
      <c r="J15" s="738"/>
      <c r="K15" s="738"/>
    </row>
    <row r="16" spans="1:11" x14ac:dyDescent="0.2">
      <c r="A16" s="2295" t="s">
        <v>298</v>
      </c>
      <c r="B16" s="2295"/>
      <c r="C16" s="2295"/>
      <c r="D16" s="2295"/>
      <c r="E16" s="2296"/>
      <c r="F16" s="762" t="s">
        <v>923</v>
      </c>
      <c r="G16" s="745"/>
      <c r="H16" s="740"/>
      <c r="I16" s="740"/>
      <c r="J16" s="742"/>
      <c r="K16" s="742"/>
    </row>
    <row r="17" spans="1:11" x14ac:dyDescent="0.2">
      <c r="A17" s="2326" t="s">
        <v>935</v>
      </c>
      <c r="B17" s="2326"/>
      <c r="C17" s="2326"/>
      <c r="D17" s="2326"/>
      <c r="E17" s="2327"/>
      <c r="F17" s="763"/>
      <c r="G17" s="764"/>
      <c r="H17" s="765"/>
      <c r="I17" s="765"/>
      <c r="J17" s="766"/>
      <c r="K17" s="767"/>
    </row>
    <row r="18" spans="1:11" x14ac:dyDescent="0.2">
      <c r="A18" s="2305" t="s">
        <v>368</v>
      </c>
      <c r="B18" s="2306"/>
      <c r="C18" s="2306"/>
      <c r="D18" s="2306"/>
      <c r="E18" s="2307"/>
      <c r="F18" s="762" t="s">
        <v>932</v>
      </c>
      <c r="G18" s="755"/>
      <c r="H18" s="755"/>
      <c r="I18" s="755"/>
      <c r="J18" s="738"/>
      <c r="K18" s="768"/>
    </row>
    <row r="19" spans="1:11" ht="21.75" customHeight="1" x14ac:dyDescent="0.2">
      <c r="A19" s="2303" t="s">
        <v>1806</v>
      </c>
      <c r="B19" s="2303"/>
      <c r="C19" s="2303"/>
      <c r="D19" s="2303"/>
      <c r="E19" s="2304"/>
      <c r="F19" s="762" t="s">
        <v>933</v>
      </c>
      <c r="G19" s="755"/>
      <c r="H19" s="755"/>
      <c r="I19" s="755"/>
      <c r="J19" s="738"/>
      <c r="K19" s="768"/>
    </row>
    <row r="20" spans="1:11" x14ac:dyDescent="0.2">
      <c r="A20" s="2305" t="s">
        <v>1811</v>
      </c>
      <c r="B20" s="2306"/>
      <c r="C20" s="2306"/>
      <c r="D20" s="2306"/>
      <c r="E20" s="2307"/>
      <c r="F20" s="762" t="s">
        <v>934</v>
      </c>
      <c r="G20" s="755"/>
      <c r="H20" s="755"/>
      <c r="I20" s="755"/>
      <c r="J20" s="738"/>
      <c r="K20" s="768"/>
    </row>
    <row r="21" spans="1:11" ht="13.5" thickBot="1" x14ac:dyDescent="0.25">
      <c r="A21" s="2324" t="s">
        <v>638</v>
      </c>
      <c r="B21" s="2324"/>
      <c r="C21" s="2324"/>
      <c r="D21" s="2324"/>
      <c r="E21" s="2324"/>
      <c r="F21" s="1732"/>
      <c r="G21" s="765"/>
      <c r="H21" s="769"/>
      <c r="I21" s="769"/>
      <c r="J21" s="1733">
        <f>SUM(J18:J20)</f>
        <v>0</v>
      </c>
      <c r="K21" s="766"/>
    </row>
    <row r="22" spans="1:11" ht="13.5" thickTop="1" x14ac:dyDescent="0.2">
      <c r="A22" s="2295" t="s">
        <v>1812</v>
      </c>
      <c r="B22" s="2295"/>
      <c r="C22" s="2295"/>
      <c r="D22" s="2295"/>
      <c r="E22" s="2296"/>
      <c r="F22" s="762" t="s">
        <v>862</v>
      </c>
      <c r="G22" s="755"/>
      <c r="H22" s="737"/>
      <c r="I22" s="737"/>
      <c r="J22" s="770"/>
      <c r="K22" s="738"/>
    </row>
    <row r="23" spans="1:11" ht="13.5" thickBot="1" x14ac:dyDescent="0.25">
      <c r="A23" s="2325" t="s">
        <v>906</v>
      </c>
      <c r="B23" s="2324"/>
      <c r="C23" s="2324"/>
      <c r="D23" s="2324"/>
      <c r="E23" s="2324"/>
      <c r="F23" s="1734"/>
      <c r="G23" s="1731">
        <f>SUM(G14:G16,G21,G22)</f>
        <v>0</v>
      </c>
      <c r="H23" s="1731">
        <f>SUM(H14:H16,H21,H22)</f>
        <v>76190</v>
      </c>
      <c r="I23" s="1731">
        <f>SUM(I14:I16,I21,I22)</f>
        <v>0</v>
      </c>
      <c r="J23" s="1731">
        <f>SUM(J14:J16,J21,J22)</f>
        <v>0</v>
      </c>
      <c r="K23" s="1731">
        <f>SUM(K14:K16,K21,K22)</f>
        <v>0</v>
      </c>
    </row>
    <row r="24" spans="1:11" ht="14.25" thickTop="1" thickBot="1" x14ac:dyDescent="0.25">
      <c r="A24" s="2325" t="s">
        <v>1962</v>
      </c>
      <c r="B24" s="2324"/>
      <c r="C24" s="2324"/>
      <c r="D24" s="2324"/>
      <c r="E24" s="2324"/>
      <c r="F24" s="1735"/>
      <c r="G24" s="1736">
        <f>SUM(G3,G12)-G23</f>
        <v>0</v>
      </c>
      <c r="H24" s="1736">
        <f>SUM(H3,H12)-H23</f>
        <v>0</v>
      </c>
      <c r="I24" s="1736">
        <f>SUM(I3,I12)-I23</f>
        <v>0</v>
      </c>
      <c r="J24" s="1736">
        <f>SUM(J3,J12)-J23</f>
        <v>0</v>
      </c>
      <c r="K24" s="1736">
        <f>SUM(K3,K12)-K23</f>
        <v>0</v>
      </c>
    </row>
    <row r="25" spans="1:11" ht="13.5" thickTop="1" x14ac:dyDescent="0.2">
      <c r="A25" s="771" t="s">
        <v>420</v>
      </c>
      <c r="B25" s="772"/>
      <c r="C25" s="772"/>
      <c r="D25" s="772"/>
      <c r="E25" s="773"/>
      <c r="F25" s="774">
        <v>714</v>
      </c>
      <c r="G25" s="775"/>
      <c r="H25" s="775"/>
      <c r="I25" s="775"/>
      <c r="J25" s="770"/>
      <c r="K25" s="770"/>
    </row>
    <row r="26" spans="1:11" ht="13.5" thickBot="1" x14ac:dyDescent="0.25">
      <c r="A26" s="771" t="s">
        <v>342</v>
      </c>
      <c r="B26" s="772"/>
      <c r="C26" s="772"/>
      <c r="D26" s="772"/>
      <c r="E26" s="773"/>
      <c r="F26" s="774">
        <v>730</v>
      </c>
      <c r="G26" s="1731">
        <f>G24-G25</f>
        <v>0</v>
      </c>
      <c r="H26" s="1731">
        <f>H24-H25</f>
        <v>0</v>
      </c>
      <c r="I26" s="1731">
        <f>I24-I25</f>
        <v>0</v>
      </c>
      <c r="J26" s="1731">
        <f>J24-J25</f>
        <v>0</v>
      </c>
      <c r="K26" s="1731">
        <f>K24-K25</f>
        <v>0</v>
      </c>
    </row>
    <row r="27" spans="1:11" ht="5.25" customHeight="1" thickTop="1" x14ac:dyDescent="0.2">
      <c r="I27" s="202"/>
      <c r="J27" s="202"/>
    </row>
    <row r="28" spans="1:11" ht="29.25" customHeight="1" x14ac:dyDescent="0.2">
      <c r="A28" s="1853" t="s">
        <v>1907</v>
      </c>
      <c r="B28" s="1854"/>
      <c r="C28" s="1854"/>
      <c r="D28" s="1854"/>
      <c r="E28" s="1855"/>
      <c r="F28" s="776"/>
      <c r="G28" s="777"/>
    </row>
    <row r="29" spans="1:11" x14ac:dyDescent="0.2">
      <c r="B29" s="494"/>
      <c r="C29" s="494"/>
      <c r="D29" s="494"/>
      <c r="F29" s="202"/>
      <c r="G29" s="778"/>
    </row>
    <row r="30" spans="1:11" x14ac:dyDescent="0.2">
      <c r="A30" s="779" t="s">
        <v>572</v>
      </c>
      <c r="B30" s="780"/>
      <c r="C30" s="779" t="s">
        <v>383</v>
      </c>
      <c r="D30" s="780"/>
      <c r="E30" s="781" t="s">
        <v>768</v>
      </c>
      <c r="F30" s="202"/>
      <c r="G30" s="778"/>
    </row>
    <row r="31" spans="1:11" x14ac:dyDescent="0.2">
      <c r="A31" s="782"/>
      <c r="D31" s="237"/>
      <c r="E31" s="783" t="s">
        <v>769</v>
      </c>
      <c r="F31" s="784" t="s">
        <v>539</v>
      </c>
      <c r="G31" s="737"/>
      <c r="H31" s="2298"/>
      <c r="I31" s="2299"/>
      <c r="J31" s="2299"/>
      <c r="K31" s="2299"/>
    </row>
    <row r="32" spans="1:11" x14ac:dyDescent="0.2">
      <c r="A32" s="782"/>
      <c r="B32" s="237"/>
      <c r="C32" s="237"/>
      <c r="D32" s="237"/>
      <c r="E32" s="778"/>
      <c r="F32" s="784" t="s">
        <v>540</v>
      </c>
      <c r="G32" s="737"/>
      <c r="H32" s="2300"/>
      <c r="I32" s="2299"/>
      <c r="J32" s="2299"/>
      <c r="K32" s="2299"/>
    </row>
    <row r="33" spans="1:11" ht="1.5" customHeight="1" x14ac:dyDescent="0.2">
      <c r="A33" s="785" t="s">
        <v>1169</v>
      </c>
      <c r="B33" s="364"/>
      <c r="C33" s="364"/>
      <c r="D33" s="364"/>
      <c r="E33" s="364"/>
      <c r="F33" s="364"/>
      <c r="G33" s="786"/>
      <c r="H33" s="2300"/>
      <c r="I33" s="2299"/>
      <c r="J33" s="2299"/>
      <c r="K33" s="2299"/>
    </row>
    <row r="34" spans="1:11" x14ac:dyDescent="0.2">
      <c r="A34" s="787" t="s">
        <v>1813</v>
      </c>
      <c r="B34" s="364"/>
      <c r="C34" s="364"/>
      <c r="D34" s="364"/>
      <c r="E34" s="364"/>
      <c r="F34" s="364"/>
      <c r="G34" s="786"/>
    </row>
    <row r="35" spans="1:11" ht="15" x14ac:dyDescent="0.2">
      <c r="A35" s="798" t="s">
        <v>907</v>
      </c>
      <c r="B35" s="788"/>
      <c r="C35" s="788"/>
      <c r="D35" s="788"/>
      <c r="E35" s="788"/>
      <c r="F35" s="788"/>
      <c r="G35" s="789"/>
      <c r="H35" s="790"/>
    </row>
    <row r="36" spans="1:11" x14ac:dyDescent="0.2">
      <c r="A36" s="751" t="s">
        <v>1109</v>
      </c>
      <c r="B36" s="791"/>
      <c r="C36" s="791"/>
      <c r="D36" s="791"/>
      <c r="E36" s="791"/>
      <c r="F36" s="792"/>
      <c r="G36" s="738"/>
    </row>
    <row r="37" spans="1:11" x14ac:dyDescent="0.2">
      <c r="A37" s="793" t="s">
        <v>896</v>
      </c>
      <c r="B37" s="791"/>
      <c r="C37" s="791"/>
      <c r="D37" s="791"/>
      <c r="E37" s="791"/>
      <c r="F37" s="792"/>
      <c r="G37" s="738"/>
    </row>
    <row r="38" spans="1:11" x14ac:dyDescent="0.2">
      <c r="A38" s="793" t="s">
        <v>993</v>
      </c>
      <c r="B38" s="791"/>
      <c r="C38" s="791"/>
      <c r="D38" s="791"/>
      <c r="E38" s="791"/>
      <c r="F38" s="792"/>
      <c r="G38" s="738"/>
    </row>
    <row r="39" spans="1:11" x14ac:dyDescent="0.2">
      <c r="A39" s="793" t="s">
        <v>994</v>
      </c>
      <c r="B39" s="791"/>
      <c r="C39" s="791"/>
      <c r="D39" s="791"/>
      <c r="E39" s="791"/>
      <c r="F39" s="792"/>
      <c r="G39" s="738"/>
    </row>
    <row r="40" spans="1:11" x14ac:dyDescent="0.2">
      <c r="A40" s="793" t="s">
        <v>995</v>
      </c>
      <c r="B40" s="791"/>
      <c r="C40" s="791"/>
      <c r="D40" s="791"/>
      <c r="E40" s="791"/>
      <c r="F40" s="792"/>
      <c r="G40" s="738"/>
    </row>
    <row r="41" spans="1:11" x14ac:dyDescent="0.2">
      <c r="A41" s="2295" t="s">
        <v>541</v>
      </c>
      <c r="B41" s="2308"/>
      <c r="C41" s="2308"/>
      <c r="D41" s="2308"/>
      <c r="E41" s="2308"/>
      <c r="F41" s="2309"/>
      <c r="G41" s="738"/>
    </row>
    <row r="42" spans="1:11" x14ac:dyDescent="0.2">
      <c r="A42" s="793" t="s">
        <v>970</v>
      </c>
      <c r="B42" s="791"/>
      <c r="C42" s="791"/>
      <c r="D42" s="791"/>
      <c r="E42" s="791"/>
      <c r="F42" s="792"/>
      <c r="G42" s="738"/>
    </row>
    <row r="43" spans="1:11" x14ac:dyDescent="0.2">
      <c r="A43" s="793" t="s">
        <v>971</v>
      </c>
      <c r="B43" s="791"/>
      <c r="C43" s="791"/>
      <c r="D43" s="791"/>
      <c r="E43" s="791"/>
      <c r="F43" s="792"/>
      <c r="G43" s="738"/>
    </row>
    <row r="44" spans="1:11" x14ac:dyDescent="0.2">
      <c r="A44" s="793" t="s">
        <v>972</v>
      </c>
      <c r="B44" s="791"/>
      <c r="C44" s="791"/>
      <c r="D44" s="791"/>
      <c r="E44" s="791"/>
      <c r="F44" s="792"/>
      <c r="G44" s="738"/>
    </row>
    <row r="45" spans="1:11" ht="6.75" customHeight="1" x14ac:dyDescent="0.2"/>
    <row r="46" spans="1:11" ht="15" x14ac:dyDescent="0.2">
      <c r="A46" s="1504" t="s">
        <v>1807</v>
      </c>
      <c r="B46" s="408" t="s">
        <v>1675</v>
      </c>
    </row>
    <row r="47" spans="1:11" s="796" customFormat="1" ht="12.75" customHeight="1" x14ac:dyDescent="0.2">
      <c r="A47" s="794"/>
      <c r="B47" s="795" t="s">
        <v>1676</v>
      </c>
      <c r="E47" s="795"/>
      <c r="K47" s="797"/>
    </row>
    <row r="48" spans="1:11" ht="12.75" customHeight="1" x14ac:dyDescent="0.2">
      <c r="A48" s="1505"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9"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view="pageBreakPreview" colorId="8" zoomScale="60" zoomScaleNormal="110" workbookViewId="0">
      <selection activeCell="F19" sqref="F19"/>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0" t="s">
        <v>1906</v>
      </c>
      <c r="B1" s="2331"/>
      <c r="C1" s="2332"/>
      <c r="D1" s="799"/>
      <c r="E1" s="800"/>
      <c r="F1" s="800"/>
      <c r="G1" s="801"/>
      <c r="H1" s="802"/>
      <c r="I1" s="803"/>
      <c r="J1" s="2328"/>
      <c r="K1" s="2329"/>
      <c r="L1" s="2329"/>
    </row>
    <row r="2" spans="1:14" ht="69.75" customHeight="1" x14ac:dyDescent="0.2">
      <c r="A2" s="804" t="s">
        <v>1678</v>
      </c>
      <c r="B2" s="805" t="s">
        <v>378</v>
      </c>
      <c r="C2" s="806" t="s">
        <v>1963</v>
      </c>
      <c r="D2" s="806" t="s">
        <v>1964</v>
      </c>
      <c r="E2" s="806" t="s">
        <v>1965</v>
      </c>
      <c r="F2" s="806" t="s">
        <v>1966</v>
      </c>
      <c r="G2" s="806" t="s">
        <v>605</v>
      </c>
      <c r="H2" s="806" t="s">
        <v>1967</v>
      </c>
      <c r="I2" s="806" t="s">
        <v>1968</v>
      </c>
      <c r="J2" s="806" t="s">
        <v>1969</v>
      </c>
      <c r="K2" s="806" t="s">
        <v>1970</v>
      </c>
      <c r="L2" s="806" t="s">
        <v>1971</v>
      </c>
      <c r="M2" s="807"/>
      <c r="N2" s="807"/>
    </row>
    <row r="3" spans="1:14" ht="13.5" thickBot="1" x14ac:dyDescent="0.25">
      <c r="A3" s="1602" t="s">
        <v>892</v>
      </c>
      <c r="B3" s="1603">
        <v>210</v>
      </c>
      <c r="C3" s="808"/>
      <c r="D3" s="808"/>
      <c r="E3" s="808"/>
      <c r="F3" s="1733">
        <f>(C3+D3)-E3</f>
        <v>0</v>
      </c>
      <c r="G3" s="809"/>
      <c r="H3" s="808"/>
      <c r="I3" s="808"/>
      <c r="J3" s="808"/>
      <c r="K3" s="1742">
        <f>(H3+I3)-J3</f>
        <v>0</v>
      </c>
      <c r="L3" s="1742">
        <f>F3-K3</f>
        <v>0</v>
      </c>
      <c r="M3" s="807"/>
      <c r="N3" s="807"/>
    </row>
    <row r="4" spans="1:14" ht="15" customHeight="1" thickTop="1" x14ac:dyDescent="0.2">
      <c r="A4" s="1604" t="s">
        <v>158</v>
      </c>
      <c r="B4" s="1603">
        <v>220</v>
      </c>
      <c r="C4" s="754"/>
      <c r="D4" s="754"/>
      <c r="E4" s="754"/>
      <c r="F4" s="746"/>
      <c r="G4" s="810"/>
      <c r="H4" s="811"/>
      <c r="I4" s="811"/>
      <c r="J4" s="811"/>
      <c r="K4" s="812"/>
      <c r="L4" s="746"/>
    </row>
    <row r="5" spans="1:14" ht="13.5" thickBot="1" x14ac:dyDescent="0.25">
      <c r="A5" s="751" t="s">
        <v>893</v>
      </c>
      <c r="B5" s="813">
        <v>221</v>
      </c>
      <c r="C5" s="814">
        <v>6064657</v>
      </c>
      <c r="D5" s="814"/>
      <c r="E5" s="814"/>
      <c r="F5" s="1733">
        <f>(C5+D5)-E5</f>
        <v>6064657</v>
      </c>
      <c r="G5" s="810"/>
      <c r="H5" s="815"/>
      <c r="I5" s="815"/>
      <c r="J5" s="815"/>
      <c r="K5" s="766"/>
      <c r="L5" s="1742">
        <f>F5-K5</f>
        <v>6064657</v>
      </c>
    </row>
    <row r="6" spans="1:14" ht="14.25" thickTop="1" thickBot="1" x14ac:dyDescent="0.25">
      <c r="A6" s="751" t="s">
        <v>1117</v>
      </c>
      <c r="B6" s="813">
        <v>222</v>
      </c>
      <c r="C6" s="738"/>
      <c r="D6" s="738"/>
      <c r="E6" s="738"/>
      <c r="F6" s="1733">
        <f>(C6+D6)-E6</f>
        <v>0</v>
      </c>
      <c r="G6" s="810">
        <v>50</v>
      </c>
      <c r="H6" s="738"/>
      <c r="I6" s="738"/>
      <c r="J6" s="738"/>
      <c r="K6" s="1742">
        <f>(H6+I6)-J6</f>
        <v>0</v>
      </c>
      <c r="L6" s="1742">
        <f>F6-K6</f>
        <v>0</v>
      </c>
    </row>
    <row r="7" spans="1:14" ht="15" customHeight="1" thickTop="1" x14ac:dyDescent="0.2">
      <c r="A7" s="1604" t="s">
        <v>159</v>
      </c>
      <c r="B7" s="1603">
        <v>230</v>
      </c>
      <c r="C7" s="754"/>
      <c r="D7" s="754"/>
      <c r="E7" s="754"/>
      <c r="F7" s="746"/>
      <c r="G7" s="816"/>
      <c r="H7" s="754"/>
      <c r="I7" s="754"/>
      <c r="J7" s="754"/>
      <c r="K7" s="746"/>
      <c r="L7" s="746"/>
    </row>
    <row r="8" spans="1:14" ht="13.5" thickBot="1" x14ac:dyDescent="0.25">
      <c r="A8" s="751" t="s">
        <v>1118</v>
      </c>
      <c r="B8" s="813">
        <v>231</v>
      </c>
      <c r="C8" s="817">
        <v>42509646</v>
      </c>
      <c r="D8" s="817">
        <v>1996202</v>
      </c>
      <c r="E8" s="817"/>
      <c r="F8" s="1733">
        <f>(C8+D8)-E8</f>
        <v>44505848</v>
      </c>
      <c r="G8" s="816">
        <v>50</v>
      </c>
      <c r="H8" s="738">
        <v>16796005</v>
      </c>
      <c r="I8" s="738">
        <v>870155</v>
      </c>
      <c r="J8" s="738"/>
      <c r="K8" s="1742">
        <f>(H8+I8)-J8</f>
        <v>17666160</v>
      </c>
      <c r="L8" s="1742">
        <f>F8-K8</f>
        <v>26839688</v>
      </c>
    </row>
    <row r="9" spans="1:14" ht="14.25" thickTop="1" thickBot="1" x14ac:dyDescent="0.25">
      <c r="A9" s="751" t="s">
        <v>1119</v>
      </c>
      <c r="B9" s="813">
        <v>232</v>
      </c>
      <c r="C9" s="738"/>
      <c r="D9" s="738"/>
      <c r="E9" s="738"/>
      <c r="F9" s="1733">
        <f>(C9+D9)-E9</f>
        <v>0</v>
      </c>
      <c r="G9" s="816">
        <v>20</v>
      </c>
      <c r="H9" s="738"/>
      <c r="I9" s="738"/>
      <c r="J9" s="738"/>
      <c r="K9" s="1742">
        <f>(H9+I9)-J9</f>
        <v>0</v>
      </c>
      <c r="L9" s="1742">
        <f>F9-K9</f>
        <v>0</v>
      </c>
    </row>
    <row r="10" spans="1:14" ht="24" thickTop="1" thickBot="1" x14ac:dyDescent="0.25">
      <c r="A10" s="818" t="s">
        <v>1120</v>
      </c>
      <c r="B10" s="813">
        <v>240</v>
      </c>
      <c r="C10" s="819">
        <v>2199485</v>
      </c>
      <c r="D10" s="819">
        <v>104534</v>
      </c>
      <c r="E10" s="819"/>
      <c r="F10" s="1737">
        <f>(C10+D10)-E10</f>
        <v>2304019</v>
      </c>
      <c r="G10" s="816">
        <v>20</v>
      </c>
      <c r="H10" s="820">
        <v>1625451</v>
      </c>
      <c r="I10" s="820">
        <v>69896</v>
      </c>
      <c r="J10" s="820"/>
      <c r="K10" s="1742">
        <f>(H10+I10)-J10</f>
        <v>1695347</v>
      </c>
      <c r="L10" s="1742">
        <f>F10-K10</f>
        <v>608672</v>
      </c>
    </row>
    <row r="11" spans="1:14" ht="13.5" thickTop="1" x14ac:dyDescent="0.2">
      <c r="A11" s="1605" t="s">
        <v>1136</v>
      </c>
      <c r="B11" s="1603">
        <v>250</v>
      </c>
      <c r="C11" s="754"/>
      <c r="D11" s="754"/>
      <c r="E11" s="754"/>
      <c r="F11" s="746"/>
      <c r="G11" s="816"/>
      <c r="H11" s="754"/>
      <c r="I11" s="754"/>
      <c r="J11" s="754"/>
      <c r="K11" s="746"/>
      <c r="L11" s="746"/>
    </row>
    <row r="12" spans="1:14" ht="13.5" thickBot="1" x14ac:dyDescent="0.25">
      <c r="A12" s="821" t="s">
        <v>1121</v>
      </c>
      <c r="B12" s="813">
        <v>251</v>
      </c>
      <c r="C12" s="817">
        <v>9564172</v>
      </c>
      <c r="D12" s="817">
        <v>35637</v>
      </c>
      <c r="E12" s="817"/>
      <c r="F12" s="1733">
        <f>(C12+D12)-E12</f>
        <v>9599809</v>
      </c>
      <c r="G12" s="816">
        <v>10</v>
      </c>
      <c r="H12" s="738">
        <v>8952140</v>
      </c>
      <c r="I12" s="738">
        <v>186122</v>
      </c>
      <c r="J12" s="738"/>
      <c r="K12" s="1742">
        <f>(H12+I12)-J12</f>
        <v>9138262</v>
      </c>
      <c r="L12" s="1742">
        <f>F12-K12</f>
        <v>461547</v>
      </c>
    </row>
    <row r="13" spans="1:14" ht="14.25" thickTop="1" thickBot="1" x14ac:dyDescent="0.25">
      <c r="A13" s="821" t="s">
        <v>1122</v>
      </c>
      <c r="B13" s="813">
        <v>252</v>
      </c>
      <c r="C13" s="817"/>
      <c r="D13" s="817"/>
      <c r="E13" s="817"/>
      <c r="F13" s="1733">
        <f>(C13+D13)-E13</f>
        <v>0</v>
      </c>
      <c r="G13" s="816">
        <v>5</v>
      </c>
      <c r="H13" s="738"/>
      <c r="I13" s="738"/>
      <c r="J13" s="738"/>
      <c r="K13" s="1742">
        <f>(H13+I13)-J13</f>
        <v>0</v>
      </c>
      <c r="L13" s="1742">
        <f>F13-K13</f>
        <v>0</v>
      </c>
    </row>
    <row r="14" spans="1:14" ht="14.25" thickTop="1" thickBot="1" x14ac:dyDescent="0.25">
      <c r="A14" s="821" t="s">
        <v>1123</v>
      </c>
      <c r="B14" s="813">
        <v>253</v>
      </c>
      <c r="C14" s="738"/>
      <c r="D14" s="738"/>
      <c r="E14" s="738"/>
      <c r="F14" s="1733">
        <f>(C14+D14)-E14</f>
        <v>0</v>
      </c>
      <c r="G14" s="816">
        <v>3</v>
      </c>
      <c r="H14" s="738"/>
      <c r="I14" s="738"/>
      <c r="J14" s="738"/>
      <c r="K14" s="1742">
        <f>(H14+I14)-J14</f>
        <v>0</v>
      </c>
      <c r="L14" s="1742">
        <f>F14-K14</f>
        <v>0</v>
      </c>
    </row>
    <row r="15" spans="1:14" ht="15" customHeight="1" thickTop="1" thickBot="1" x14ac:dyDescent="0.25">
      <c r="A15" s="1604" t="s">
        <v>528</v>
      </c>
      <c r="B15" s="1603">
        <v>260</v>
      </c>
      <c r="C15" s="817">
        <v>1138030</v>
      </c>
      <c r="D15" s="817">
        <v>1156922</v>
      </c>
      <c r="E15" s="817">
        <v>1138030</v>
      </c>
      <c r="F15" s="1733">
        <f>(C15+D15)-E15</f>
        <v>1156922</v>
      </c>
      <c r="G15" s="822" t="s">
        <v>862</v>
      </c>
      <c r="H15" s="754"/>
      <c r="I15" s="754"/>
      <c r="J15" s="754"/>
      <c r="K15" s="754"/>
      <c r="L15" s="1742">
        <f>F15-K15</f>
        <v>1156922</v>
      </c>
    </row>
    <row r="16" spans="1:14" ht="15" customHeight="1" thickTop="1" thickBot="1" x14ac:dyDescent="0.25">
      <c r="A16" s="1738" t="s">
        <v>643</v>
      </c>
      <c r="B16" s="1739">
        <v>200</v>
      </c>
      <c r="C16" s="1733">
        <f>SUM(C3,C5:C6,C8:C10,C12:C15)</f>
        <v>61475990</v>
      </c>
      <c r="D16" s="1733">
        <f>SUM(D3,D5:D6,D8:D10,D12:D15)</f>
        <v>3293295</v>
      </c>
      <c r="E16" s="1733">
        <f>SUM(E3,E5:E6,E8:E10,E12:E15)</f>
        <v>1138030</v>
      </c>
      <c r="F16" s="1733">
        <f>SUM(F3,F5:F6,F8:F10,F12:F15)</f>
        <v>63631255</v>
      </c>
      <c r="G16" s="816"/>
      <c r="H16" s="1733">
        <f>SUM(H3,H6,H8:H10,H12:H14,)</f>
        <v>27373596</v>
      </c>
      <c r="I16" s="1733">
        <f>SUM(I3,I6,I8:I10,I12:I14,)</f>
        <v>1126173</v>
      </c>
      <c r="J16" s="1733">
        <f>SUM(J3,J6,J8:J10,J12:J14,)</f>
        <v>0</v>
      </c>
      <c r="K16" s="1733">
        <f>(H16+I16)-J16</f>
        <v>28499769</v>
      </c>
      <c r="L16" s="1733">
        <f>F16-K16</f>
        <v>35131486</v>
      </c>
    </row>
    <row r="17" spans="1:12" ht="15" customHeight="1" thickTop="1" thickBot="1" x14ac:dyDescent="0.25">
      <c r="A17" s="1606" t="s">
        <v>291</v>
      </c>
      <c r="B17" s="1603">
        <v>700</v>
      </c>
      <c r="C17" s="742"/>
      <c r="D17" s="742"/>
      <c r="E17" s="742"/>
      <c r="F17" s="1733">
        <f>SUM('Expenditures 15-22'!I114,'Expenditures 15-22'!I151,'Expenditures 15-22'!I210,'Expenditures 15-22'!I312,'Expenditures 15-22'!I342,'Expenditures 15-22'!I367)</f>
        <v>72603</v>
      </c>
      <c r="G17" s="810">
        <v>10</v>
      </c>
      <c r="H17" s="742"/>
      <c r="I17" s="1742">
        <f>F17/G17</f>
        <v>7260.3</v>
      </c>
      <c r="J17" s="742"/>
      <c r="K17" s="768"/>
      <c r="L17" s="768"/>
    </row>
    <row r="18" spans="1:12" ht="14.25" thickTop="1" thickBot="1" x14ac:dyDescent="0.25">
      <c r="A18" s="1740" t="s">
        <v>685</v>
      </c>
      <c r="B18" s="1741"/>
      <c r="C18" s="744"/>
      <c r="D18" s="744"/>
      <c r="E18" s="744"/>
      <c r="F18" s="823"/>
      <c r="G18" s="824"/>
      <c r="H18" s="746"/>
      <c r="I18" s="1733">
        <f>SUM(I16,I17)</f>
        <v>1133433.3</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32" activePane="bottomLeft" state="frozen"/>
      <selection activeCell="AF22" sqref="AF22"/>
      <selection pane="bottomLeft" activeCell="B193" sqref="B193"/>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36" t="s">
        <v>1972</v>
      </c>
      <c r="B1" s="2337"/>
      <c r="C1" s="2337"/>
      <c r="D1" s="2337"/>
      <c r="E1" s="2337"/>
      <c r="F1" s="2338"/>
      <c r="G1" s="828"/>
    </row>
    <row r="2" spans="1:7" ht="15" customHeight="1" thickBot="1" x14ac:dyDescent="0.25">
      <c r="A2" s="2339" t="s">
        <v>477</v>
      </c>
      <c r="B2" s="2340"/>
      <c r="C2" s="2340"/>
      <c r="D2" s="2340"/>
      <c r="E2" s="2340"/>
      <c r="F2" s="2341"/>
      <c r="G2" s="830"/>
    </row>
    <row r="3" spans="1:7" ht="5.25" customHeight="1" thickTop="1" x14ac:dyDescent="0.2">
      <c r="A3" s="831"/>
      <c r="B3" s="832"/>
      <c r="C3" s="833"/>
      <c r="D3" s="832"/>
      <c r="E3" s="833"/>
      <c r="F3" s="832"/>
      <c r="G3" s="832"/>
    </row>
    <row r="4" spans="1:7" ht="12.2" customHeight="1" x14ac:dyDescent="0.2">
      <c r="A4" s="834" t="s">
        <v>1077</v>
      </c>
      <c r="B4" s="835" t="s">
        <v>115</v>
      </c>
      <c r="D4" s="837" t="s">
        <v>511</v>
      </c>
      <c r="F4" s="835" t="s">
        <v>865</v>
      </c>
    </row>
    <row r="5" spans="1:7" ht="7.5" customHeight="1" x14ac:dyDescent="0.2">
      <c r="A5" s="2342"/>
      <c r="B5" s="2343"/>
      <c r="C5" s="2343"/>
      <c r="D5" s="2343"/>
      <c r="E5" s="2343"/>
      <c r="F5" s="2343"/>
    </row>
    <row r="6" spans="1:7" ht="13.5" customHeight="1" thickBot="1" x14ac:dyDescent="0.25">
      <c r="A6" s="2333" t="s">
        <v>1104</v>
      </c>
      <c r="B6" s="2334"/>
      <c r="C6" s="2334"/>
      <c r="D6" s="2334"/>
      <c r="E6" s="2334"/>
      <c r="F6" s="2335"/>
      <c r="G6" s="838"/>
    </row>
    <row r="7" spans="1:7" s="838" customFormat="1" ht="12" thickTop="1" x14ac:dyDescent="0.2">
      <c r="A7" s="839" t="s">
        <v>502</v>
      </c>
      <c r="B7" s="840"/>
      <c r="C7" s="841"/>
      <c r="D7" s="840"/>
      <c r="E7" s="841"/>
      <c r="F7" s="840"/>
    </row>
    <row r="8" spans="1:7" x14ac:dyDescent="0.2">
      <c r="A8" s="842" t="s">
        <v>459</v>
      </c>
      <c r="B8" s="843" t="s">
        <v>1468</v>
      </c>
      <c r="C8" s="844"/>
      <c r="D8" s="842" t="s">
        <v>501</v>
      </c>
      <c r="E8" s="841" t="s">
        <v>958</v>
      </c>
      <c r="F8" s="1881">
        <f>'Expenditures 15-22'!K114</f>
        <v>23826366</v>
      </c>
      <c r="G8" s="838"/>
    </row>
    <row r="9" spans="1:7" x14ac:dyDescent="0.2">
      <c r="A9" s="842" t="s">
        <v>460</v>
      </c>
      <c r="B9" s="843" t="s">
        <v>1874</v>
      </c>
      <c r="C9" s="844"/>
      <c r="D9" s="842" t="s">
        <v>501</v>
      </c>
      <c r="E9" s="841"/>
      <c r="F9" s="1882">
        <f>'Expenditures 15-22'!K151</f>
        <v>2155009</v>
      </c>
      <c r="G9" s="845"/>
    </row>
    <row r="10" spans="1:7" x14ac:dyDescent="0.2">
      <c r="A10" s="842" t="s">
        <v>499</v>
      </c>
      <c r="B10" s="843" t="s">
        <v>1875</v>
      </c>
      <c r="C10" s="844"/>
      <c r="D10" s="842" t="s">
        <v>501</v>
      </c>
      <c r="E10" s="841"/>
      <c r="F10" s="1882">
        <f>'Expenditures 15-22'!K174</f>
        <v>5137928</v>
      </c>
      <c r="G10" s="845"/>
    </row>
    <row r="11" spans="1:7" x14ac:dyDescent="0.2">
      <c r="A11" s="842" t="s">
        <v>461</v>
      </c>
      <c r="B11" s="843" t="s">
        <v>1876</v>
      </c>
      <c r="C11" s="844"/>
      <c r="D11" s="842" t="s">
        <v>501</v>
      </c>
      <c r="E11" s="841"/>
      <c r="F11" s="1882">
        <f>'Expenditures 15-22'!K210</f>
        <v>2457280</v>
      </c>
      <c r="G11" s="845"/>
    </row>
    <row r="12" spans="1:7" x14ac:dyDescent="0.2">
      <c r="A12" s="842" t="s">
        <v>462</v>
      </c>
      <c r="B12" s="843" t="s">
        <v>1877</v>
      </c>
      <c r="C12" s="844"/>
      <c r="D12" s="842" t="s">
        <v>501</v>
      </c>
      <c r="E12" s="841"/>
      <c r="F12" s="1882">
        <f>'Expenditures 15-22'!K295</f>
        <v>668058</v>
      </c>
      <c r="G12" s="845"/>
    </row>
    <row r="13" spans="1:7" x14ac:dyDescent="0.2">
      <c r="A13" s="842" t="s">
        <v>106</v>
      </c>
      <c r="B13" s="843" t="s">
        <v>1878</v>
      </c>
      <c r="C13" s="844"/>
      <c r="D13" s="842" t="s">
        <v>501</v>
      </c>
      <c r="E13" s="841"/>
      <c r="F13" s="1882">
        <f>'Expenditures 15-22'!K342</f>
        <v>129633</v>
      </c>
      <c r="G13" s="846"/>
    </row>
    <row r="14" spans="1:7" ht="12" customHeight="1" thickBot="1" x14ac:dyDescent="0.25">
      <c r="A14" s="1743"/>
      <c r="B14" s="1744"/>
      <c r="C14" s="1745"/>
      <c r="D14" s="1746" t="s">
        <v>501</v>
      </c>
      <c r="E14" s="1747" t="s">
        <v>958</v>
      </c>
      <c r="F14" s="1748">
        <f>SUM(F8:F13)</f>
        <v>34374274</v>
      </c>
      <c r="G14" s="838"/>
    </row>
    <row r="15" spans="1:7" ht="3.75" customHeight="1" thickTop="1" x14ac:dyDescent="0.2">
      <c r="A15" s="838"/>
      <c r="B15" s="838"/>
      <c r="C15" s="844"/>
      <c r="D15" s="838"/>
      <c r="E15" s="841"/>
      <c r="F15" s="838"/>
      <c r="G15" s="838"/>
    </row>
    <row r="16" spans="1:7" ht="12" customHeight="1" x14ac:dyDescent="0.2">
      <c r="A16" s="847" t="s">
        <v>512</v>
      </c>
      <c r="B16" s="231"/>
      <c r="C16" s="231"/>
      <c r="D16" s="840"/>
      <c r="E16" s="841"/>
      <c r="F16" s="840"/>
      <c r="G16" s="838"/>
    </row>
    <row r="17" spans="1:7" ht="4.5" customHeight="1" x14ac:dyDescent="0.2">
      <c r="A17" s="847"/>
      <c r="B17" s="231"/>
      <c r="C17" s="231"/>
      <c r="D17" s="840"/>
      <c r="E17" s="841"/>
      <c r="F17" s="840"/>
      <c r="G17" s="838"/>
    </row>
    <row r="18" spans="1:7" x14ac:dyDescent="0.2">
      <c r="A18" s="842" t="s">
        <v>461</v>
      </c>
      <c r="B18" s="843" t="s">
        <v>1010</v>
      </c>
      <c r="C18" s="848">
        <f>'Revenues 9-14'!B43</f>
        <v>1412</v>
      </c>
      <c r="D18" s="849" t="str">
        <f>'Revenues 9-14'!A43</f>
        <v>Regular - Transp Fees from Other Districts (In State)</v>
      </c>
      <c r="E18" s="841" t="s">
        <v>958</v>
      </c>
      <c r="F18" s="1883">
        <f>'Revenues 9-14'!F43</f>
        <v>0</v>
      </c>
      <c r="G18" s="838"/>
    </row>
    <row r="19" spans="1:7" x14ac:dyDescent="0.2">
      <c r="A19" s="842" t="s">
        <v>461</v>
      </c>
      <c r="B19" s="843" t="s">
        <v>1011</v>
      </c>
      <c r="C19" s="850">
        <f>'Revenues 9-14'!B47</f>
        <v>1421</v>
      </c>
      <c r="D19" s="851" t="str">
        <f>'Revenues 9-14'!A47</f>
        <v>Summer Sch - Transp. Fees from Pupils or Parents (In State)</v>
      </c>
      <c r="E19" s="852"/>
      <c r="F19" s="1884">
        <f>'Revenues 9-14'!F47</f>
        <v>0</v>
      </c>
      <c r="G19" s="838"/>
    </row>
    <row r="20" spans="1:7" x14ac:dyDescent="0.2">
      <c r="A20" s="842" t="s">
        <v>461</v>
      </c>
      <c r="B20" s="843" t="s">
        <v>1012</v>
      </c>
      <c r="C20" s="848">
        <f>'Revenues 9-14'!B48</f>
        <v>1422</v>
      </c>
      <c r="D20" s="849" t="str">
        <f>'Revenues 9-14'!A48</f>
        <v>Summer Sch - Transp. Fees from Other Districts (In State)</v>
      </c>
      <c r="E20" s="841"/>
      <c r="F20" s="1885">
        <f>'Revenues 9-14'!F48</f>
        <v>0</v>
      </c>
      <c r="G20" s="838"/>
    </row>
    <row r="21" spans="1:7" x14ac:dyDescent="0.2">
      <c r="A21" s="842" t="s">
        <v>461</v>
      </c>
      <c r="B21" s="843" t="s">
        <v>1013</v>
      </c>
      <c r="C21" s="850">
        <f>'Revenues 9-14'!B49</f>
        <v>1423</v>
      </c>
      <c r="D21" s="849" t="str">
        <f>'Revenues 9-14'!A49</f>
        <v>Summer Sch - Transp. Fees from Other Sources (In State)</v>
      </c>
      <c r="E21" s="841"/>
      <c r="F21" s="1886">
        <f>'Revenues 9-14'!F49</f>
        <v>0</v>
      </c>
      <c r="G21" s="838"/>
    </row>
    <row r="22" spans="1:7" x14ac:dyDescent="0.2">
      <c r="A22" s="842" t="s">
        <v>461</v>
      </c>
      <c r="B22" s="843" t="s">
        <v>1014</v>
      </c>
      <c r="C22" s="850">
        <f>'Revenues 9-14'!B50</f>
        <v>1424</v>
      </c>
      <c r="D22" s="849" t="str">
        <f>'Revenues 9-14'!A50</f>
        <v>Summer Sch - Transp. Fees from Other Sources (Out of State)</v>
      </c>
      <c r="E22" s="841"/>
      <c r="F22" s="1886">
        <f>'Revenues 9-14'!F50</f>
        <v>0</v>
      </c>
      <c r="G22" s="838"/>
    </row>
    <row r="23" spans="1:7" x14ac:dyDescent="0.2">
      <c r="A23" s="842" t="s">
        <v>461</v>
      </c>
      <c r="B23" s="843" t="s">
        <v>1015</v>
      </c>
      <c r="C23" s="848">
        <f>'Revenues 9-14'!B52</f>
        <v>1432</v>
      </c>
      <c r="D23" s="849" t="str">
        <f>'Revenues 9-14'!A52</f>
        <v>CTE - Transp Fees from Other Districts (In State)</v>
      </c>
      <c r="E23" s="841"/>
      <c r="F23" s="1886">
        <f>'Revenues 9-14'!F52</f>
        <v>0</v>
      </c>
      <c r="G23" s="838"/>
    </row>
    <row r="24" spans="1:7" x14ac:dyDescent="0.2">
      <c r="A24" s="842" t="s">
        <v>461</v>
      </c>
      <c r="B24" s="843" t="s">
        <v>1016</v>
      </c>
      <c r="C24" s="848">
        <f>'Revenues 9-14'!B56</f>
        <v>1442</v>
      </c>
      <c r="D24" s="849" t="str">
        <f>'Revenues 9-14'!A56</f>
        <v>Special Ed - Transp Fees from Other Districts (In State)</v>
      </c>
      <c r="E24" s="841"/>
      <c r="F24" s="1886">
        <f>'Revenues 9-14'!F56</f>
        <v>0</v>
      </c>
      <c r="G24" s="838"/>
    </row>
    <row r="25" spans="1:7" x14ac:dyDescent="0.2">
      <c r="A25" s="842" t="s">
        <v>461</v>
      </c>
      <c r="B25" s="843" t="s">
        <v>1017</v>
      </c>
      <c r="C25" s="848">
        <f>'Revenues 9-14'!B59</f>
        <v>1451</v>
      </c>
      <c r="D25" s="849" t="str">
        <f>'Revenues 9-14'!A59</f>
        <v>Adult - Transp Fees from Pupils or Parents (In State)</v>
      </c>
      <c r="E25" s="841"/>
      <c r="F25" s="1886">
        <f>'Revenues 9-14'!F59</f>
        <v>0</v>
      </c>
      <c r="G25" s="838"/>
    </row>
    <row r="26" spans="1:7" x14ac:dyDescent="0.2">
      <c r="A26" s="842" t="s">
        <v>461</v>
      </c>
      <c r="B26" s="843" t="s">
        <v>1018</v>
      </c>
      <c r="C26" s="848">
        <f>'Revenues 9-14'!B60</f>
        <v>1452</v>
      </c>
      <c r="D26" s="849" t="str">
        <f>'Revenues 9-14'!A60</f>
        <v>Adult - Transp Fees from Other Districts (In State)</v>
      </c>
      <c r="E26" s="841"/>
      <c r="F26" s="1886">
        <f>'Revenues 9-14'!F60</f>
        <v>0</v>
      </c>
      <c r="G26" s="838"/>
    </row>
    <row r="27" spans="1:7" x14ac:dyDescent="0.2">
      <c r="A27" s="842" t="s">
        <v>461</v>
      </c>
      <c r="B27" s="843" t="s">
        <v>1019</v>
      </c>
      <c r="C27" s="848">
        <f>'Revenues 9-14'!B61</f>
        <v>1453</v>
      </c>
      <c r="D27" s="849" t="str">
        <f>'Revenues 9-14'!A61</f>
        <v>Adult - Transp Fees from Other Sources (In State)</v>
      </c>
      <c r="E27" s="841"/>
      <c r="F27" s="1886">
        <f>'Revenues 9-14'!F61</f>
        <v>0</v>
      </c>
      <c r="G27" s="838"/>
    </row>
    <row r="28" spans="1:7" x14ac:dyDescent="0.2">
      <c r="A28" s="842" t="s">
        <v>461</v>
      </c>
      <c r="B28" s="843" t="s">
        <v>1020</v>
      </c>
      <c r="C28" s="848">
        <f>'Revenues 9-14'!B62</f>
        <v>1454</v>
      </c>
      <c r="D28" s="849" t="str">
        <f>'Revenues 9-14'!A62</f>
        <v>Adult - Transp Fees from Other Sources (Out of State)</v>
      </c>
      <c r="E28" s="841"/>
      <c r="F28" s="1886">
        <f>'Revenues 9-14'!F62</f>
        <v>0</v>
      </c>
      <c r="G28" s="838"/>
    </row>
    <row r="29" spans="1:7" x14ac:dyDescent="0.2">
      <c r="A29" s="842" t="s">
        <v>1097</v>
      </c>
      <c r="B29" s="843" t="s">
        <v>810</v>
      </c>
      <c r="C29" s="853">
        <f>'Revenues 9-14'!B149</f>
        <v>3410</v>
      </c>
      <c r="D29" s="854" t="str">
        <f>'Revenues 9-14'!A149</f>
        <v>Adult Ed (from ICCB)</v>
      </c>
      <c r="E29" s="841"/>
      <c r="F29" s="1886">
        <f>SUM('Revenues 9-14'!D149,'Revenues 9-14'!F149)</f>
        <v>0</v>
      </c>
      <c r="G29" s="838"/>
    </row>
    <row r="30" spans="1:7" x14ac:dyDescent="0.2">
      <c r="A30" s="842" t="s">
        <v>1097</v>
      </c>
      <c r="B30" s="843" t="s">
        <v>1996</v>
      </c>
      <c r="C30" s="853">
        <f>'Revenues 9-14'!B150</f>
        <v>3499</v>
      </c>
      <c r="D30" s="854" t="str">
        <f>'Revenues 9-14'!A150</f>
        <v>Adult Ed - Other (Describe &amp; Itemize)</v>
      </c>
      <c r="E30" s="841"/>
      <c r="F30" s="1887">
        <f>('Revenues 9-14'!D150+'Revenues 9-14'!F150)</f>
        <v>0</v>
      </c>
      <c r="G30" s="838"/>
    </row>
    <row r="31" spans="1:7" x14ac:dyDescent="0.2">
      <c r="A31" s="842" t="s">
        <v>1097</v>
      </c>
      <c r="B31" s="843" t="s">
        <v>1997</v>
      </c>
      <c r="C31" s="848">
        <f>'Revenues 9-14'!B211</f>
        <v>4600</v>
      </c>
      <c r="D31" s="856" t="str">
        <f>'Revenues 9-14'!A211</f>
        <v>Fed - Spec Education - Preschool Flow-Through</v>
      </c>
      <c r="E31" s="857"/>
      <c r="F31" s="1886">
        <f>SUM('Revenues 9-14'!D211,'Revenues 9-14'!F211)</f>
        <v>0</v>
      </c>
      <c r="G31" s="838"/>
    </row>
    <row r="32" spans="1:7" x14ac:dyDescent="0.2">
      <c r="A32" s="842" t="s">
        <v>1097</v>
      </c>
      <c r="B32" s="843" t="s">
        <v>1998</v>
      </c>
      <c r="C32" s="848">
        <f>'Revenues 9-14'!B212</f>
        <v>4605</v>
      </c>
      <c r="D32" s="858" t="str">
        <f>'Revenues 9-14'!A212</f>
        <v>Fed - Spec Education - Preschool Discretionary</v>
      </c>
      <c r="E32" s="857"/>
      <c r="F32" s="1886">
        <f>SUM('Revenues 9-14'!D212,'Revenues 9-14'!F212)</f>
        <v>0</v>
      </c>
      <c r="G32" s="838"/>
    </row>
    <row r="33" spans="1:7" x14ac:dyDescent="0.2">
      <c r="A33" s="842" t="s">
        <v>460</v>
      </c>
      <c r="B33" s="843" t="s">
        <v>1999</v>
      </c>
      <c r="C33" s="848">
        <f>'Revenues 9-14'!B222</f>
        <v>4810</v>
      </c>
      <c r="D33" s="856" t="str">
        <f>'Revenues 9-14'!A222</f>
        <v>Federal - Adult Education</v>
      </c>
      <c r="E33" s="841"/>
      <c r="F33" s="1886">
        <f>'Revenues 9-14'!D222</f>
        <v>0</v>
      </c>
      <c r="G33" s="838"/>
    </row>
    <row r="34" spans="1:7" x14ac:dyDescent="0.2">
      <c r="A34" s="842" t="s">
        <v>459</v>
      </c>
      <c r="B34" s="842" t="s">
        <v>1469</v>
      </c>
      <c r="C34" s="859" t="str">
        <f>'Expenditures 15-22'!B7</f>
        <v>1125</v>
      </c>
      <c r="D34" s="860" t="str">
        <f>'Expenditures 15-22'!A7</f>
        <v>Pre-K Programs</v>
      </c>
      <c r="E34" s="841"/>
      <c r="F34" s="1886">
        <f>'Expenditures 15-22'!K7-SUM('Expenditures 15-22'!G7,'Expenditures 15-22'!I7)</f>
        <v>0</v>
      </c>
      <c r="G34" s="838"/>
    </row>
    <row r="35" spans="1:7" x14ac:dyDescent="0.2">
      <c r="A35" s="842" t="s">
        <v>459</v>
      </c>
      <c r="B35" s="842" t="s">
        <v>1470</v>
      </c>
      <c r="C35" s="859" t="str">
        <f>'Expenditures 15-22'!B9</f>
        <v>1225</v>
      </c>
      <c r="D35" s="860" t="str">
        <f>'Expenditures 15-22'!A9</f>
        <v>Special Education Programs Pre-K</v>
      </c>
      <c r="E35" s="841"/>
      <c r="F35" s="1886">
        <f>'Expenditures 15-22'!K9-SUM('Expenditures 15-22'!G9+'Expenditures 15-22'!I9)</f>
        <v>186142</v>
      </c>
      <c r="G35" s="838"/>
    </row>
    <row r="36" spans="1:7" x14ac:dyDescent="0.2">
      <c r="A36" s="842" t="s">
        <v>459</v>
      </c>
      <c r="B36" s="842" t="s">
        <v>116</v>
      </c>
      <c r="C36" s="859" t="str">
        <f>'Expenditures 15-22'!B11</f>
        <v>1275</v>
      </c>
      <c r="D36" s="860" t="str">
        <f>'Expenditures 15-22'!A11</f>
        <v>Remedial and Supplemental Programs Pre-K</v>
      </c>
      <c r="E36" s="841"/>
      <c r="F36" s="1886">
        <f>'Expenditures 15-22'!K11-SUM('Expenditures 15-22'!G11,'Expenditures 15-22'!I11)</f>
        <v>0</v>
      </c>
      <c r="G36" s="838"/>
    </row>
    <row r="37" spans="1:7" x14ac:dyDescent="0.2">
      <c r="A37" s="842" t="s">
        <v>459</v>
      </c>
      <c r="B37" s="842" t="s">
        <v>1471</v>
      </c>
      <c r="C37" s="859">
        <f>'Expenditures 15-22'!B12</f>
        <v>1300</v>
      </c>
      <c r="D37" s="861" t="str">
        <f>'Expenditures 15-22'!A12</f>
        <v>Adult/Continuing Education Programs</v>
      </c>
      <c r="E37" s="841"/>
      <c r="F37" s="1886">
        <f>'Expenditures 15-22'!K12-SUM('Expenditures 15-22'!G12+'Expenditures 15-22'!I12)</f>
        <v>0</v>
      </c>
      <c r="G37" s="838"/>
    </row>
    <row r="38" spans="1:7" x14ac:dyDescent="0.2">
      <c r="A38" s="842" t="s">
        <v>459</v>
      </c>
      <c r="B38" s="842" t="s">
        <v>1472</v>
      </c>
      <c r="C38" s="859">
        <f>'Expenditures 15-22'!B15</f>
        <v>1600</v>
      </c>
      <c r="D38" s="861" t="str">
        <f>'Expenditures 15-22'!A15</f>
        <v>Summer School Programs</v>
      </c>
      <c r="E38" s="841"/>
      <c r="F38" s="1886">
        <f>'Expenditures 15-22'!K15-SUM('Expenditures 15-22'!G15,'Expenditures 15-22'!I15)</f>
        <v>146857</v>
      </c>
      <c r="G38" s="838"/>
    </row>
    <row r="39" spans="1:7" x14ac:dyDescent="0.2">
      <c r="A39" s="842" t="s">
        <v>459</v>
      </c>
      <c r="B39" s="842" t="s">
        <v>117</v>
      </c>
      <c r="C39" s="859" t="str">
        <f>'Expenditures 15-22'!B20</f>
        <v>1910</v>
      </c>
      <c r="D39" s="861" t="str">
        <f>'Expenditures 15-22'!A20</f>
        <v>Pre-K Programs - Private Tuition</v>
      </c>
      <c r="E39" s="841"/>
      <c r="F39" s="1886">
        <f>'Expenditures 15-22'!K20</f>
        <v>0</v>
      </c>
      <c r="G39" s="838"/>
    </row>
    <row r="40" spans="1:7" x14ac:dyDescent="0.2">
      <c r="A40" s="842" t="s">
        <v>459</v>
      </c>
      <c r="B40" s="842" t="s">
        <v>118</v>
      </c>
      <c r="C40" s="859" t="str">
        <f>'Expenditures 15-22'!B21</f>
        <v>1911</v>
      </c>
      <c r="D40" s="861" t="str">
        <f>'Expenditures 15-22'!A21</f>
        <v>Regular K-12 Programs - Private Tuition</v>
      </c>
      <c r="E40" s="841"/>
      <c r="F40" s="1886">
        <f>'Expenditures 15-22'!K21</f>
        <v>0</v>
      </c>
      <c r="G40" s="838"/>
    </row>
    <row r="41" spans="1:7" x14ac:dyDescent="0.2">
      <c r="A41" s="842" t="s">
        <v>459</v>
      </c>
      <c r="B41" s="842" t="s">
        <v>119</v>
      </c>
      <c r="C41" s="859" t="str">
        <f>'Expenditures 15-22'!B22</f>
        <v>1912</v>
      </c>
      <c r="D41" s="861" t="str">
        <f>'Expenditures 15-22'!A22</f>
        <v>Special Education Programs K-12 - Private Tuition</v>
      </c>
      <c r="E41" s="841"/>
      <c r="F41" s="1886">
        <f>'Expenditures 15-22'!K22</f>
        <v>818168</v>
      </c>
      <c r="G41" s="838"/>
    </row>
    <row r="42" spans="1:7" x14ac:dyDescent="0.2">
      <c r="A42" s="842" t="s">
        <v>459</v>
      </c>
      <c r="B42" s="842" t="s">
        <v>120</v>
      </c>
      <c r="C42" s="862" t="str">
        <f>'Expenditures 15-22'!B23</f>
        <v>1913</v>
      </c>
      <c r="D42" s="861" t="str">
        <f>'Expenditures 15-22'!A23</f>
        <v>Special Education Programs Pre-K - Tuition</v>
      </c>
      <c r="E42" s="841"/>
      <c r="F42" s="1886">
        <f>'Expenditures 15-22'!K23</f>
        <v>0</v>
      </c>
      <c r="G42" s="838"/>
    </row>
    <row r="43" spans="1:7" x14ac:dyDescent="0.2">
      <c r="A43" s="842" t="s">
        <v>459</v>
      </c>
      <c r="B43" s="842" t="s">
        <v>121</v>
      </c>
      <c r="C43" s="859" t="str">
        <f>'Expenditures 15-22'!B24</f>
        <v>1914</v>
      </c>
      <c r="D43" s="861" t="str">
        <f>'Expenditures 15-22'!A24</f>
        <v>Remedial/Supplemental Programs K-12 - Private Tuition</v>
      </c>
      <c r="E43" s="841"/>
      <c r="F43" s="1886">
        <f>'Expenditures 15-22'!K24</f>
        <v>0</v>
      </c>
      <c r="G43" s="838"/>
    </row>
    <row r="44" spans="1:7" x14ac:dyDescent="0.2">
      <c r="A44" s="842" t="s">
        <v>459</v>
      </c>
      <c r="B44" s="842" t="s">
        <v>122</v>
      </c>
      <c r="C44" s="862" t="str">
        <f>'Expenditures 15-22'!B25</f>
        <v>1915</v>
      </c>
      <c r="D44" s="861" t="str">
        <f>'Expenditures 15-22'!A25</f>
        <v>Remedial/Supplemental Programs Pre-K - Private Tuition</v>
      </c>
      <c r="E44" s="841"/>
      <c r="F44" s="1886">
        <f>'Expenditures 15-22'!K25</f>
        <v>0</v>
      </c>
      <c r="G44" s="838"/>
    </row>
    <row r="45" spans="1:7" x14ac:dyDescent="0.2">
      <c r="A45" s="842" t="s">
        <v>459</v>
      </c>
      <c r="B45" s="842" t="s">
        <v>123</v>
      </c>
      <c r="C45" s="862" t="str">
        <f>'Expenditures 15-22'!B26</f>
        <v>1916</v>
      </c>
      <c r="D45" s="861" t="str">
        <f>'Expenditures 15-22'!A26</f>
        <v>Adult/Continuing Education Programs - Private Tuition</v>
      </c>
      <c r="E45" s="841"/>
      <c r="F45" s="1886">
        <f>'Expenditures 15-22'!K26</f>
        <v>0</v>
      </c>
      <c r="G45" s="838"/>
    </row>
    <row r="46" spans="1:7" x14ac:dyDescent="0.2">
      <c r="A46" s="842" t="s">
        <v>459</v>
      </c>
      <c r="B46" s="842" t="s">
        <v>124</v>
      </c>
      <c r="C46" s="859" t="str">
        <f>'Expenditures 15-22'!B27</f>
        <v>1917</v>
      </c>
      <c r="D46" s="861" t="str">
        <f>'Expenditures 15-22'!A27</f>
        <v>CTE Programs - Private Tuition</v>
      </c>
      <c r="E46" s="841"/>
      <c r="F46" s="1886">
        <f>'Expenditures 15-22'!K27</f>
        <v>0</v>
      </c>
      <c r="G46" s="838"/>
    </row>
    <row r="47" spans="1:7" x14ac:dyDescent="0.2">
      <c r="A47" s="842" t="s">
        <v>459</v>
      </c>
      <c r="B47" s="842" t="s">
        <v>125</v>
      </c>
      <c r="C47" s="863" t="str">
        <f>'Expenditures 15-22'!B28</f>
        <v>1918</v>
      </c>
      <c r="D47" s="864" t="str">
        <f>'Expenditures 15-22'!A28</f>
        <v>Interscholastic Programs - Private Tuition</v>
      </c>
      <c r="E47" s="841"/>
      <c r="F47" s="1886">
        <f>'Expenditures 15-22'!K28</f>
        <v>0</v>
      </c>
      <c r="G47" s="838"/>
    </row>
    <row r="48" spans="1:7" x14ac:dyDescent="0.2">
      <c r="A48" s="842" t="s">
        <v>459</v>
      </c>
      <c r="B48" s="842" t="s">
        <v>126</v>
      </c>
      <c r="C48" s="862" t="str">
        <f>'Expenditures 15-22'!B29</f>
        <v>1919</v>
      </c>
      <c r="D48" s="861" t="str">
        <f>'Expenditures 15-22'!A29</f>
        <v>Summer School Programs - Private Tuition</v>
      </c>
      <c r="E48" s="841"/>
      <c r="F48" s="1886">
        <f>'Expenditures 15-22'!K29</f>
        <v>0</v>
      </c>
      <c r="G48" s="838"/>
    </row>
    <row r="49" spans="1:7" x14ac:dyDescent="0.2">
      <c r="A49" s="842" t="s">
        <v>459</v>
      </c>
      <c r="B49" s="842" t="s">
        <v>127</v>
      </c>
      <c r="C49" s="859" t="str">
        <f>'Expenditures 15-22'!B30</f>
        <v>1920</v>
      </c>
      <c r="D49" s="861" t="str">
        <f>'Expenditures 15-22'!A30</f>
        <v>Gifted Programs - Private Tuition</v>
      </c>
      <c r="E49" s="841"/>
      <c r="F49" s="1886">
        <f>'Expenditures 15-22'!K30</f>
        <v>0</v>
      </c>
      <c r="G49" s="838"/>
    </row>
    <row r="50" spans="1:7" x14ac:dyDescent="0.2">
      <c r="A50" s="842" t="s">
        <v>459</v>
      </c>
      <c r="B50" s="842" t="s">
        <v>128</v>
      </c>
      <c r="C50" s="859" t="str">
        <f>'Expenditures 15-22'!B31</f>
        <v>1921</v>
      </c>
      <c r="D50" s="861" t="str">
        <f>'Expenditures 15-22'!A31</f>
        <v>Bilingual Programs - Private Tuition</v>
      </c>
      <c r="E50" s="841"/>
      <c r="F50" s="1886">
        <f>'Expenditures 15-22'!K31</f>
        <v>0</v>
      </c>
      <c r="G50" s="838"/>
    </row>
    <row r="51" spans="1:7" x14ac:dyDescent="0.2">
      <c r="A51" s="842" t="s">
        <v>459</v>
      </c>
      <c r="B51" s="842" t="s">
        <v>1473</v>
      </c>
      <c r="C51" s="859" t="str">
        <f>'Expenditures 15-22'!B32</f>
        <v>1922</v>
      </c>
      <c r="D51" s="861" t="str">
        <f>'Expenditures 15-22'!A32</f>
        <v>Truants Alternative/Optional Ed Progms - Private Tuition</v>
      </c>
      <c r="E51" s="841"/>
      <c r="F51" s="1886">
        <f>'Expenditures 15-22'!K32</f>
        <v>0</v>
      </c>
      <c r="G51" s="838"/>
    </row>
    <row r="52" spans="1:7" x14ac:dyDescent="0.2">
      <c r="A52" s="842" t="s">
        <v>459</v>
      </c>
      <c r="B52" s="842" t="s">
        <v>1474</v>
      </c>
      <c r="C52" s="862" t="str">
        <f>'Expenditures 15-22'!B75</f>
        <v>3000</v>
      </c>
      <c r="D52" s="861" t="s">
        <v>449</v>
      </c>
      <c r="E52" s="841"/>
      <c r="F52" s="1886">
        <f>'Expenditures 15-22'!K75-SUM('Expenditures 15-22'!G75,'Expenditures 15-22'!I75)</f>
        <v>11638</v>
      </c>
      <c r="G52" s="838"/>
    </row>
    <row r="53" spans="1:7" x14ac:dyDescent="0.2">
      <c r="A53" s="842" t="s">
        <v>459</v>
      </c>
      <c r="B53" s="842" t="s">
        <v>1475</v>
      </c>
      <c r="C53" s="862">
        <f>'Expenditures 15-22'!B102</f>
        <v>4000</v>
      </c>
      <c r="D53" s="861" t="str">
        <f>'Expenditures 15-22'!A102</f>
        <v>Total Payments to Other Govt Units</v>
      </c>
      <c r="E53" s="841"/>
      <c r="F53" s="1886">
        <f>'Expenditures 15-22'!K102</f>
        <v>3234139</v>
      </c>
      <c r="G53" s="838"/>
    </row>
    <row r="54" spans="1:7" x14ac:dyDescent="0.2">
      <c r="A54" s="842" t="s">
        <v>459</v>
      </c>
      <c r="B54" s="842" t="s">
        <v>1476</v>
      </c>
      <c r="C54" s="862" t="s">
        <v>982</v>
      </c>
      <c r="D54" s="858" t="s">
        <v>1095</v>
      </c>
      <c r="E54" s="841"/>
      <c r="F54" s="1886">
        <f>'Expenditures 15-22'!G114</f>
        <v>7238</v>
      </c>
      <c r="G54" s="838"/>
    </row>
    <row r="55" spans="1:7" x14ac:dyDescent="0.2">
      <c r="A55" s="842" t="s">
        <v>459</v>
      </c>
      <c r="B55" s="842" t="s">
        <v>1477</v>
      </c>
      <c r="C55" s="862" t="s">
        <v>982</v>
      </c>
      <c r="D55" s="858" t="s">
        <v>291</v>
      </c>
      <c r="E55" s="841"/>
      <c r="F55" s="1886">
        <f>'Expenditures 15-22'!I114</f>
        <v>69045</v>
      </c>
      <c r="G55" s="838"/>
    </row>
    <row r="56" spans="1:7" x14ac:dyDescent="0.2">
      <c r="A56" s="842" t="s">
        <v>460</v>
      </c>
      <c r="B56" s="842" t="s">
        <v>1478</v>
      </c>
      <c r="C56" s="859" t="str">
        <f>'Expenditures 15-22'!B130</f>
        <v>3000</v>
      </c>
      <c r="D56" s="865" t="s">
        <v>449</v>
      </c>
      <c r="E56" s="841"/>
      <c r="F56" s="1886">
        <f>'Expenditures 15-22'!K130-SUM('Expenditures 15-22'!G130+'Expenditures 15-22'!I130)</f>
        <v>0</v>
      </c>
      <c r="G56" s="838"/>
    </row>
    <row r="57" spans="1:7" x14ac:dyDescent="0.2">
      <c r="A57" s="842" t="s">
        <v>460</v>
      </c>
      <c r="B57" s="842" t="s">
        <v>1879</v>
      </c>
      <c r="C57" s="862">
        <f>'Expenditures 15-22'!B139</f>
        <v>4000</v>
      </c>
      <c r="D57" s="860" t="str">
        <f>'Expenditures 15-22'!A139</f>
        <v>Total Payments to Other Govt Units</v>
      </c>
      <c r="E57" s="841"/>
      <c r="F57" s="1886">
        <f>'Expenditures 15-22'!K139</f>
        <v>72448</v>
      </c>
      <c r="G57" s="838"/>
    </row>
    <row r="58" spans="1:7" x14ac:dyDescent="0.2">
      <c r="A58" s="842" t="s">
        <v>460</v>
      </c>
      <c r="B58" s="842" t="s">
        <v>1880</v>
      </c>
      <c r="C58" s="859" t="s">
        <v>982</v>
      </c>
      <c r="D58" s="858" t="s">
        <v>1095</v>
      </c>
      <c r="E58" s="841"/>
      <c r="F58" s="1888">
        <f>'Expenditures 15-22'!G151</f>
        <v>251156</v>
      </c>
      <c r="G58" s="838"/>
    </row>
    <row r="59" spans="1:7" x14ac:dyDescent="0.2">
      <c r="A59" s="866" t="s">
        <v>460</v>
      </c>
      <c r="B59" s="829" t="s">
        <v>1881</v>
      </c>
      <c r="C59" s="867" t="s">
        <v>982</v>
      </c>
      <c r="D59" s="829" t="s">
        <v>291</v>
      </c>
      <c r="F59" s="1889">
        <f>'Expenditures 15-22'!I151</f>
        <v>3558</v>
      </c>
      <c r="G59" s="838"/>
    </row>
    <row r="60" spans="1:7" x14ac:dyDescent="0.2">
      <c r="A60" s="866" t="s">
        <v>499</v>
      </c>
      <c r="B60" s="829" t="s">
        <v>1882</v>
      </c>
      <c r="C60" s="867">
        <v>4000</v>
      </c>
      <c r="D60" s="829" t="s">
        <v>312</v>
      </c>
      <c r="F60" s="1887">
        <f>'Expenditures 15-22'!K160</f>
        <v>0</v>
      </c>
      <c r="G60" s="838"/>
    </row>
    <row r="61" spans="1:7" x14ac:dyDescent="0.2">
      <c r="A61" s="868" t="s">
        <v>499</v>
      </c>
      <c r="B61" s="868" t="s">
        <v>1883</v>
      </c>
      <c r="C61" s="869" t="str">
        <f>'Expenditures 15-22'!B170</f>
        <v>5300</v>
      </c>
      <c r="D61" s="870" t="s">
        <v>311</v>
      </c>
      <c r="E61" s="852"/>
      <c r="F61" s="1886">
        <f>'Expenditures 15-22'!K170</f>
        <v>2305494</v>
      </c>
      <c r="G61" s="838"/>
    </row>
    <row r="62" spans="1:7" x14ac:dyDescent="0.2">
      <c r="A62" s="842" t="s">
        <v>461</v>
      </c>
      <c r="B62" s="842" t="s">
        <v>1884</v>
      </c>
      <c r="C62" s="859">
        <f>'Expenditures 15-22'!B185</f>
        <v>3000</v>
      </c>
      <c r="D62" s="849" t="s">
        <v>449</v>
      </c>
      <c r="E62" s="841"/>
      <c r="F62" s="1886">
        <f>'Expenditures 15-22'!K185-SUM('Expenditures 15-22'!G185,'Expenditures 15-22'!I185)</f>
        <v>0</v>
      </c>
      <c r="G62" s="838"/>
    </row>
    <row r="63" spans="1:7" x14ac:dyDescent="0.2">
      <c r="A63" s="842" t="s">
        <v>461</v>
      </c>
      <c r="B63" s="842" t="s">
        <v>1885</v>
      </c>
      <c r="C63" s="859" t="str">
        <f>'Expenditures 15-22'!B196</f>
        <v>4000</v>
      </c>
      <c r="D63" s="860" t="str">
        <f>'Expenditures 15-22'!A196</f>
        <v>Total Payments to Other Govt Units</v>
      </c>
      <c r="E63" s="841"/>
      <c r="F63" s="1886">
        <f>'Expenditures 15-22'!K196</f>
        <v>4815</v>
      </c>
      <c r="G63" s="838"/>
    </row>
    <row r="64" spans="1:7" x14ac:dyDescent="0.2">
      <c r="A64" s="868" t="s">
        <v>461</v>
      </c>
      <c r="B64" s="868" t="s">
        <v>1886</v>
      </c>
      <c r="C64" s="869" t="str">
        <f>'Expenditures 15-22'!B206</f>
        <v>5300</v>
      </c>
      <c r="D64" s="865" t="s">
        <v>311</v>
      </c>
      <c r="E64" s="841"/>
      <c r="F64" s="1886">
        <f>'Expenditures 15-22'!K206</f>
        <v>0</v>
      </c>
      <c r="G64" s="838"/>
    </row>
    <row r="65" spans="1:8" x14ac:dyDescent="0.2">
      <c r="A65" s="842" t="s">
        <v>461</v>
      </c>
      <c r="B65" s="842" t="s">
        <v>1887</v>
      </c>
      <c r="C65" s="859" t="s">
        <v>982</v>
      </c>
      <c r="D65" s="858" t="s">
        <v>1095</v>
      </c>
      <c r="E65" s="841"/>
      <c r="F65" s="1886">
        <f>'Expenditures 15-22'!G210</f>
        <v>0</v>
      </c>
      <c r="G65" s="838"/>
    </row>
    <row r="66" spans="1:8" x14ac:dyDescent="0.2">
      <c r="A66" s="842" t="s">
        <v>461</v>
      </c>
      <c r="B66" s="842" t="s">
        <v>1888</v>
      </c>
      <c r="C66" s="859" t="s">
        <v>982</v>
      </c>
      <c r="D66" s="858" t="s">
        <v>291</v>
      </c>
      <c r="E66" s="841"/>
      <c r="F66" s="1886">
        <f>'Expenditures 15-22'!I210</f>
        <v>0</v>
      </c>
      <c r="G66" s="838"/>
    </row>
    <row r="67" spans="1:8" x14ac:dyDescent="0.2">
      <c r="A67" s="842" t="s">
        <v>462</v>
      </c>
      <c r="B67" s="842" t="s">
        <v>1889</v>
      </c>
      <c r="C67" s="859" t="str">
        <f>'Expenditures 15-22'!B216</f>
        <v>1125</v>
      </c>
      <c r="D67" s="865" t="str">
        <f>'Expenditures 15-22'!A216</f>
        <v>Pre-K Programs</v>
      </c>
      <c r="E67" s="841"/>
      <c r="F67" s="1886">
        <f>'Expenditures 15-22'!K216</f>
        <v>0</v>
      </c>
      <c r="G67" s="838"/>
    </row>
    <row r="68" spans="1:8" x14ac:dyDescent="0.2">
      <c r="A68" s="842" t="s">
        <v>462</v>
      </c>
      <c r="B68" s="842" t="s">
        <v>1479</v>
      </c>
      <c r="C68" s="859" t="str">
        <f>'Expenditures 15-22'!B218</f>
        <v>1225</v>
      </c>
      <c r="D68" s="865" t="str">
        <f>'Expenditures 15-22'!A218</f>
        <v>Special Education Programs - Pre-K</v>
      </c>
      <c r="E68" s="841"/>
      <c r="F68" s="1886">
        <f>'Expenditures 15-22'!K218</f>
        <v>5723</v>
      </c>
      <c r="G68" s="838"/>
    </row>
    <row r="69" spans="1:8" x14ac:dyDescent="0.2">
      <c r="A69" s="842" t="s">
        <v>462</v>
      </c>
      <c r="B69" s="842" t="s">
        <v>1890</v>
      </c>
      <c r="C69" s="859" t="str">
        <f>'Expenditures 15-22'!B220</f>
        <v>1275</v>
      </c>
      <c r="D69" s="865" t="str">
        <f>'Expenditures 15-22'!A220</f>
        <v>Remedial and Supplemental Programs - Pre-K</v>
      </c>
      <c r="E69" s="841"/>
      <c r="F69" s="1886">
        <f>'Expenditures 15-22'!K220</f>
        <v>0</v>
      </c>
      <c r="G69" s="838"/>
    </row>
    <row r="70" spans="1:8" x14ac:dyDescent="0.2">
      <c r="A70" s="842" t="s">
        <v>462</v>
      </c>
      <c r="B70" s="842" t="s">
        <v>1891</v>
      </c>
      <c r="C70" s="859">
        <f>'Expenditures 15-22'!B221</f>
        <v>1300</v>
      </c>
      <c r="D70" s="860" t="str">
        <f>'Expenditures 15-22'!A221</f>
        <v>Adult/Continuing Education Programs</v>
      </c>
      <c r="E70" s="841"/>
      <c r="F70" s="1886">
        <f>'Expenditures 15-22'!K221</f>
        <v>0</v>
      </c>
      <c r="G70" s="838"/>
    </row>
    <row r="71" spans="1:8" x14ac:dyDescent="0.2">
      <c r="A71" s="842" t="s">
        <v>462</v>
      </c>
      <c r="B71" s="842" t="s">
        <v>1892</v>
      </c>
      <c r="C71" s="859">
        <f>'Expenditures 15-22'!B224</f>
        <v>1600</v>
      </c>
      <c r="D71" s="860" t="str">
        <f>'Expenditures 15-22'!A224</f>
        <v>Summer School Programs</v>
      </c>
      <c r="E71" s="841"/>
      <c r="F71" s="1886">
        <f>'Expenditures 15-22'!K224</f>
        <v>3839</v>
      </c>
      <c r="G71" s="838"/>
    </row>
    <row r="72" spans="1:8" x14ac:dyDescent="0.2">
      <c r="A72" s="842" t="s">
        <v>462</v>
      </c>
      <c r="B72" s="842" t="s">
        <v>1893</v>
      </c>
      <c r="C72" s="859">
        <f>'Expenditures 15-22'!B280</f>
        <v>3000</v>
      </c>
      <c r="D72" s="849" t="s">
        <v>449</v>
      </c>
      <c r="E72" s="841"/>
      <c r="F72" s="1886">
        <f>'Expenditures 15-22'!K280</f>
        <v>134</v>
      </c>
      <c r="G72" s="838"/>
    </row>
    <row r="73" spans="1:8" x14ac:dyDescent="0.2">
      <c r="A73" s="842" t="s">
        <v>462</v>
      </c>
      <c r="B73" s="842" t="s">
        <v>1894</v>
      </c>
      <c r="C73" s="859" t="str">
        <f>'Expenditures 15-22'!B285</f>
        <v>4000</v>
      </c>
      <c r="D73" s="860" t="str">
        <f>'Expenditures 15-22'!A285</f>
        <v>Total Payments to Other Govt Units</v>
      </c>
      <c r="E73" s="841"/>
      <c r="F73" s="1886">
        <f>'Expenditures 15-22'!K285</f>
        <v>36877</v>
      </c>
      <c r="G73" s="838"/>
    </row>
    <row r="74" spans="1:8" x14ac:dyDescent="0.2">
      <c r="A74" s="842" t="s">
        <v>436</v>
      </c>
      <c r="B74" s="842" t="s">
        <v>1895</v>
      </c>
      <c r="C74" s="859" t="s">
        <v>860</v>
      </c>
      <c r="D74" s="860" t="s">
        <v>1487</v>
      </c>
      <c r="E74" s="841"/>
      <c r="F74" s="1890">
        <f>'Expenditures 15-22'!K334</f>
        <v>0</v>
      </c>
      <c r="G74" s="838"/>
    </row>
    <row r="75" spans="1:8" ht="5.25" customHeight="1" x14ac:dyDescent="0.2">
      <c r="A75" s="838"/>
      <c r="B75" s="848"/>
      <c r="C75" s="848"/>
      <c r="D75" s="838"/>
      <c r="E75" s="841"/>
      <c r="F75" s="855"/>
      <c r="G75" s="840"/>
    </row>
    <row r="76" spans="1:8" ht="12" thickBot="1" x14ac:dyDescent="0.25">
      <c r="A76" s="1743"/>
      <c r="B76" s="1749"/>
      <c r="C76" s="1745"/>
      <c r="D76" s="1750" t="s">
        <v>1896</v>
      </c>
      <c r="E76" s="1747" t="s">
        <v>958</v>
      </c>
      <c r="F76" s="1751">
        <f>SUM(F18:F74)</f>
        <v>7157271</v>
      </c>
      <c r="G76" s="838"/>
    </row>
    <row r="77" spans="1:8" s="866" customFormat="1" ht="12" customHeight="1" thickTop="1" thickBot="1" x14ac:dyDescent="0.25">
      <c r="A77" s="1752"/>
      <c r="B77" s="1749"/>
      <c r="C77" s="1745"/>
      <c r="D77" s="1750" t="s">
        <v>1897</v>
      </c>
      <c r="E77" s="1747"/>
      <c r="F77" s="1753">
        <f>(F14-F76)</f>
        <v>27217003</v>
      </c>
      <c r="G77" s="842"/>
    </row>
    <row r="78" spans="1:8" s="866" customFormat="1" ht="12" customHeight="1" thickTop="1" x14ac:dyDescent="0.2">
      <c r="A78" s="1754"/>
      <c r="B78" s="1749"/>
      <c r="C78" s="1745"/>
      <c r="D78" s="1750" t="s">
        <v>2059</v>
      </c>
      <c r="E78" s="1747"/>
      <c r="F78" s="871">
        <v>2446.6999999999998</v>
      </c>
      <c r="G78" s="872"/>
      <c r="H78" s="842"/>
    </row>
    <row r="79" spans="1:8" s="866" customFormat="1" ht="12" customHeight="1" thickBot="1" x14ac:dyDescent="0.25">
      <c r="A79" s="1755"/>
      <c r="B79" s="1749"/>
      <c r="C79" s="1745"/>
      <c r="D79" s="1750" t="s">
        <v>1898</v>
      </c>
      <c r="E79" s="1747" t="s">
        <v>958</v>
      </c>
      <c r="F79" s="1756">
        <f>IF(F78&gt;0,F77/F78," Complete Line 78")</f>
        <v>11123.964114930315</v>
      </c>
      <c r="G79" s="842"/>
    </row>
    <row r="80" spans="1:8" s="866" customFormat="1" ht="8.25" customHeight="1" thickTop="1" x14ac:dyDescent="0.2">
      <c r="A80" s="873"/>
      <c r="B80" s="842"/>
      <c r="C80" s="844"/>
      <c r="D80" s="874"/>
      <c r="E80" s="841"/>
      <c r="F80" s="875"/>
      <c r="G80" s="842"/>
    </row>
    <row r="81" spans="1:7" s="866" customFormat="1" ht="12" thickBot="1" x14ac:dyDescent="0.25">
      <c r="A81" s="2333" t="s">
        <v>1105</v>
      </c>
      <c r="B81" s="2334"/>
      <c r="C81" s="2334"/>
      <c r="D81" s="2334"/>
      <c r="E81" s="2334"/>
      <c r="F81" s="2335"/>
      <c r="G81" s="842"/>
    </row>
    <row r="82" spans="1:7" s="866" customFormat="1" ht="5.25" customHeight="1" thickTop="1" x14ac:dyDescent="0.2">
      <c r="A82" s="842"/>
      <c r="B82" s="842"/>
      <c r="C82" s="844"/>
      <c r="D82" s="842"/>
      <c r="E82" s="844"/>
      <c r="F82" s="842"/>
      <c r="G82" s="876"/>
    </row>
    <row r="83" spans="1:7" ht="12" customHeight="1" x14ac:dyDescent="0.2">
      <c r="A83" s="877" t="s">
        <v>813</v>
      </c>
      <c r="B83" s="878"/>
      <c r="C83" s="879"/>
      <c r="D83" s="880"/>
      <c r="E83" s="879"/>
      <c r="F83" s="878"/>
      <c r="G83" s="878"/>
    </row>
    <row r="84" spans="1:7" x14ac:dyDescent="0.2">
      <c r="A84" s="881" t="s">
        <v>461</v>
      </c>
      <c r="B84" s="882" t="s">
        <v>146</v>
      </c>
      <c r="C84" s="883">
        <f>'Revenues 9-14'!B42</f>
        <v>1411</v>
      </c>
      <c r="D84" s="884" t="str">
        <f>'Revenues 9-14'!A42</f>
        <v>Regular -Transp Fees from Pupils or Parents (In State)</v>
      </c>
      <c r="E84" s="879" t="s">
        <v>958</v>
      </c>
      <c r="F84" s="1880">
        <f>'Revenues 9-14'!F42</f>
        <v>0</v>
      </c>
      <c r="G84" s="885"/>
    </row>
    <row r="85" spans="1:7" x14ac:dyDescent="0.2">
      <c r="A85" s="881" t="s">
        <v>461</v>
      </c>
      <c r="B85" s="881" t="s">
        <v>183</v>
      </c>
      <c r="C85" s="886">
        <f>'Revenues 9-14'!B44</f>
        <v>1413</v>
      </c>
      <c r="D85" s="884" t="str">
        <f>'Revenues 9-14'!A44</f>
        <v>Regular - Transp Fees from Other Sources (In State)</v>
      </c>
      <c r="E85" s="879"/>
      <c r="F85" s="1762">
        <f>'Revenues 9-14'!F44</f>
        <v>0</v>
      </c>
      <c r="G85" s="887"/>
    </row>
    <row r="86" spans="1:7" x14ac:dyDescent="0.2">
      <c r="A86" s="881" t="s">
        <v>461</v>
      </c>
      <c r="B86" s="881" t="s">
        <v>166</v>
      </c>
      <c r="C86" s="883">
        <f>'Revenues 9-14'!B45</f>
        <v>1415</v>
      </c>
      <c r="D86" s="884" t="str">
        <f>'Revenues 9-14'!A45</f>
        <v>Regular - Transp Fees from Co-curricular Activities (In State)</v>
      </c>
      <c r="E86" s="879"/>
      <c r="F86" s="1762">
        <f>'Revenues 9-14'!F45</f>
        <v>0</v>
      </c>
      <c r="G86" s="887"/>
    </row>
    <row r="87" spans="1:7" x14ac:dyDescent="0.2">
      <c r="A87" s="881" t="s">
        <v>461</v>
      </c>
      <c r="B87" s="881" t="s">
        <v>167</v>
      </c>
      <c r="C87" s="883">
        <v>1416</v>
      </c>
      <c r="D87" s="884" t="str">
        <f>'Revenues 9-14'!A46</f>
        <v>Regular Transp Fees from Other Sources (Out of State)</v>
      </c>
      <c r="E87" s="879"/>
      <c r="F87" s="1762">
        <f>'Revenues 9-14'!F46</f>
        <v>0</v>
      </c>
      <c r="G87" s="887"/>
    </row>
    <row r="88" spans="1:7" x14ac:dyDescent="0.2">
      <c r="A88" s="881" t="s">
        <v>461</v>
      </c>
      <c r="B88" s="881" t="s">
        <v>168</v>
      </c>
      <c r="C88" s="883">
        <f>'Revenues 9-14'!B51</f>
        <v>1431</v>
      </c>
      <c r="D88" s="884" t="str">
        <f>'Revenues 9-14'!A51</f>
        <v>CTE - Transp Fees from Pupils or Parents (In State)</v>
      </c>
      <c r="E88" s="879"/>
      <c r="F88" s="1762">
        <f>'Revenues 9-14'!F51</f>
        <v>0</v>
      </c>
      <c r="G88" s="887"/>
    </row>
    <row r="89" spans="1:7" x14ac:dyDescent="0.2">
      <c r="A89" s="881" t="s">
        <v>461</v>
      </c>
      <c r="B89" s="881" t="s">
        <v>169</v>
      </c>
      <c r="C89" s="883">
        <f>'Revenues 9-14'!B53</f>
        <v>1433</v>
      </c>
      <c r="D89" s="884" t="str">
        <f>'Revenues 9-14'!A53</f>
        <v>CTE - Transp Fees from Other Sources (In State)</v>
      </c>
      <c r="E89" s="879"/>
      <c r="F89" s="1762">
        <f>'Revenues 9-14'!F53</f>
        <v>0</v>
      </c>
      <c r="G89" s="887"/>
    </row>
    <row r="90" spans="1:7" x14ac:dyDescent="0.2">
      <c r="A90" s="881" t="s">
        <v>461</v>
      </c>
      <c r="B90" s="881" t="s">
        <v>170</v>
      </c>
      <c r="C90" s="883">
        <f>'Revenues 9-14'!B54</f>
        <v>1434</v>
      </c>
      <c r="D90" s="884" t="str">
        <f>'Revenues 9-14'!A54</f>
        <v>CTE - Transp Fees from Other Sources (Out of State)</v>
      </c>
      <c r="E90" s="879"/>
      <c r="F90" s="1762">
        <f>'Revenues 9-14'!F54</f>
        <v>0</v>
      </c>
      <c r="G90" s="887"/>
    </row>
    <row r="91" spans="1:7" x14ac:dyDescent="0.2">
      <c r="A91" s="881" t="s">
        <v>461</v>
      </c>
      <c r="B91" s="881" t="s">
        <v>171</v>
      </c>
      <c r="C91" s="888">
        <f>'Revenues 9-14'!B55</f>
        <v>1441</v>
      </c>
      <c r="D91" s="884" t="str">
        <f>'Revenues 9-14'!A55</f>
        <v>Special Ed - Transp Fees from Pupils or Parents (In State)</v>
      </c>
      <c r="E91" s="879"/>
      <c r="F91" s="1762">
        <f>'Revenues 9-14'!F55</f>
        <v>0</v>
      </c>
      <c r="G91" s="887"/>
    </row>
    <row r="92" spans="1:7" x14ac:dyDescent="0.2">
      <c r="A92" s="881" t="s">
        <v>461</v>
      </c>
      <c r="B92" s="881" t="s">
        <v>172</v>
      </c>
      <c r="C92" s="883">
        <f>'Revenues 9-14'!B57</f>
        <v>1443</v>
      </c>
      <c r="D92" s="884" t="str">
        <f>'Revenues 9-14'!A57</f>
        <v>Special Ed - Transp Fees from Other Sources (In State)</v>
      </c>
      <c r="E92" s="879"/>
      <c r="F92" s="1762">
        <f>'Revenues 9-14'!F57</f>
        <v>0</v>
      </c>
      <c r="G92" s="889"/>
    </row>
    <row r="93" spans="1:7" x14ac:dyDescent="0.2">
      <c r="A93" s="881" t="s">
        <v>461</v>
      </c>
      <c r="B93" s="881" t="s">
        <v>173</v>
      </c>
      <c r="C93" s="883">
        <f>'Revenues 9-14'!B58</f>
        <v>1444</v>
      </c>
      <c r="D93" s="884" t="str">
        <f>'Revenues 9-14'!A58</f>
        <v>Special Ed - Transp Fees from Other Sources (Out of State)</v>
      </c>
      <c r="E93" s="879"/>
      <c r="F93" s="1762">
        <f>'Revenues 9-14'!F58</f>
        <v>0</v>
      </c>
      <c r="G93" s="889"/>
    </row>
    <row r="94" spans="1:7" x14ac:dyDescent="0.2">
      <c r="A94" s="881" t="s">
        <v>459</v>
      </c>
      <c r="B94" s="881" t="s">
        <v>174</v>
      </c>
      <c r="C94" s="883">
        <v>1600</v>
      </c>
      <c r="D94" s="890" t="str">
        <f>'Revenues 9-14'!A75</f>
        <v>Total Food Service</v>
      </c>
      <c r="E94" s="879"/>
      <c r="F94" s="1762">
        <f>'Revenues 9-14'!C75</f>
        <v>346770</v>
      </c>
      <c r="G94" s="885"/>
    </row>
    <row r="95" spans="1:7" x14ac:dyDescent="0.2">
      <c r="A95" s="881" t="s">
        <v>140</v>
      </c>
      <c r="B95" s="881" t="s">
        <v>175</v>
      </c>
      <c r="C95" s="883">
        <v>1700</v>
      </c>
      <c r="D95" s="891" t="str">
        <f>'Revenues 9-14'!A82</f>
        <v>Total District/School Activity Income</v>
      </c>
      <c r="E95" s="879"/>
      <c r="F95" s="1762">
        <f>SUM('Revenues 9-14'!C82,'Revenues 9-14'!D82)</f>
        <v>279216</v>
      </c>
      <c r="G95" s="885"/>
    </row>
    <row r="96" spans="1:7" x14ac:dyDescent="0.2">
      <c r="A96" s="881" t="s">
        <v>459</v>
      </c>
      <c r="B96" s="881" t="s">
        <v>176</v>
      </c>
      <c r="C96" s="883">
        <f>'Revenues 9-14'!B84</f>
        <v>1811</v>
      </c>
      <c r="D96" s="884" t="str">
        <f>'Revenues 9-14'!A84</f>
        <v>Rentals - Regular Textbooks</v>
      </c>
      <c r="E96" s="879"/>
      <c r="F96" s="1762">
        <f>'Revenues 9-14'!C84</f>
        <v>222706</v>
      </c>
      <c r="G96" s="885"/>
    </row>
    <row r="97" spans="1:7" x14ac:dyDescent="0.2">
      <c r="A97" s="881" t="s">
        <v>459</v>
      </c>
      <c r="B97" s="881" t="s">
        <v>177</v>
      </c>
      <c r="C97" s="883">
        <f>'Revenues 9-14'!B87</f>
        <v>1819</v>
      </c>
      <c r="D97" s="884" t="str">
        <f>'Revenues 9-14'!A87</f>
        <v>Rentals - Other (Describe &amp; Itemize)</v>
      </c>
      <c r="E97" s="879"/>
      <c r="F97" s="1762">
        <f>'Revenues 9-14'!C87</f>
        <v>0</v>
      </c>
      <c r="G97" s="885"/>
    </row>
    <row r="98" spans="1:7" x14ac:dyDescent="0.2">
      <c r="A98" s="881" t="s">
        <v>459</v>
      </c>
      <c r="B98" s="881" t="s">
        <v>178</v>
      </c>
      <c r="C98" s="883">
        <f>'Revenues 9-14'!B88</f>
        <v>1821</v>
      </c>
      <c r="D98" s="884" t="str">
        <f>'Revenues 9-14'!A88</f>
        <v>Sales - Regular Textbooks</v>
      </c>
      <c r="E98" s="879"/>
      <c r="F98" s="1762">
        <f>'Revenues 9-14'!C88</f>
        <v>7715</v>
      </c>
      <c r="G98" s="885"/>
    </row>
    <row r="99" spans="1:7" x14ac:dyDescent="0.2">
      <c r="A99" s="881" t="s">
        <v>459</v>
      </c>
      <c r="B99" s="881" t="s">
        <v>179</v>
      </c>
      <c r="C99" s="883">
        <f>'Revenues 9-14'!B91</f>
        <v>1829</v>
      </c>
      <c r="D99" s="884" t="str">
        <f>'Revenues 9-14'!A91</f>
        <v>Sales - Other (Describe &amp; Itemize)</v>
      </c>
      <c r="E99" s="879"/>
      <c r="F99" s="1762">
        <f>'Revenues 9-14'!C91</f>
        <v>0</v>
      </c>
      <c r="G99" s="885"/>
    </row>
    <row r="100" spans="1:7" x14ac:dyDescent="0.2">
      <c r="A100" s="881" t="s">
        <v>459</v>
      </c>
      <c r="B100" s="881" t="s">
        <v>180</v>
      </c>
      <c r="C100" s="883">
        <f>'Revenues 9-14'!B92</f>
        <v>1890</v>
      </c>
      <c r="D100" s="884" t="str">
        <f>'Revenues 9-14'!A92</f>
        <v>Other (Describe &amp; Itemize)</v>
      </c>
      <c r="E100" s="879"/>
      <c r="F100" s="1762">
        <f>'Revenues 9-14'!C92</f>
        <v>0</v>
      </c>
      <c r="G100" s="885"/>
    </row>
    <row r="101" spans="1:7" x14ac:dyDescent="0.2">
      <c r="A101" s="881" t="s">
        <v>140</v>
      </c>
      <c r="B101" s="881" t="s">
        <v>181</v>
      </c>
      <c r="C101" s="883">
        <f>'Revenues 9-14'!B95</f>
        <v>1910</v>
      </c>
      <c r="D101" s="884" t="str">
        <f>'Revenues 9-14'!A95</f>
        <v>Rentals</v>
      </c>
      <c r="E101" s="879"/>
      <c r="F101" s="1762">
        <f>SUM('Revenues 9-14'!C95:D95)</f>
        <v>219791</v>
      </c>
      <c r="G101" s="885"/>
    </row>
    <row r="102" spans="1:7" x14ac:dyDescent="0.2">
      <c r="A102" s="881" t="s">
        <v>503</v>
      </c>
      <c r="B102" s="881" t="s">
        <v>182</v>
      </c>
      <c r="C102" s="883">
        <f>'Revenues 9-14'!B98</f>
        <v>1940</v>
      </c>
      <c r="D102" s="884" t="str">
        <f>'Revenues 9-14'!A98</f>
        <v>Services Provided Other Districts</v>
      </c>
      <c r="E102" s="879"/>
      <c r="F102" s="1762">
        <f>SUM('Revenues 9-14'!C98,'Revenues 9-14'!D98,'Revenues 9-14'!F98)</f>
        <v>0</v>
      </c>
      <c r="G102" s="885"/>
    </row>
    <row r="103" spans="1:7" x14ac:dyDescent="0.2">
      <c r="A103" s="881" t="s">
        <v>1009</v>
      </c>
      <c r="B103" s="881" t="s">
        <v>801</v>
      </c>
      <c r="C103" s="883">
        <f>'Revenues 9-14'!B104</f>
        <v>1991</v>
      </c>
      <c r="D103" s="892" t="str">
        <f>'Revenues 9-14'!A104</f>
        <v>Payment from Other Districts</v>
      </c>
      <c r="E103" s="879"/>
      <c r="F103" s="1762">
        <f>SUM('Revenues 9-14'!C104,'Revenues 9-14'!D104,'Revenues 9-14'!E104,'Revenues 9-14'!F104,'Revenues 9-14'!G104)</f>
        <v>1954</v>
      </c>
      <c r="G103" s="885"/>
    </row>
    <row r="104" spans="1:7" x14ac:dyDescent="0.2">
      <c r="A104" s="881" t="s">
        <v>459</v>
      </c>
      <c r="B104" s="881" t="s">
        <v>808</v>
      </c>
      <c r="C104" s="883">
        <f>'Revenues 9-14'!B106</f>
        <v>1993</v>
      </c>
      <c r="D104" s="884" t="str">
        <f>'Revenues 9-14'!A106</f>
        <v>Other Local Fees (Describe &amp; Itemize)</v>
      </c>
      <c r="E104" s="879"/>
      <c r="F104" s="1762">
        <f>('Revenues 9-14'!C106)</f>
        <v>0</v>
      </c>
      <c r="G104" s="885"/>
    </row>
    <row r="105" spans="1:7" x14ac:dyDescent="0.2">
      <c r="A105" s="881" t="s">
        <v>503</v>
      </c>
      <c r="B105" s="881" t="s">
        <v>2000</v>
      </c>
      <c r="C105" s="886">
        <v>3100</v>
      </c>
      <c r="D105" s="892" t="str">
        <f>'Revenues 9-14'!A132</f>
        <v>Total Special Education</v>
      </c>
      <c r="E105" s="879"/>
      <c r="F105" s="1762">
        <f>SUM('Revenues 9-14'!C132:D132,'Revenues 9-14'!F132)</f>
        <v>393218</v>
      </c>
      <c r="G105" s="885"/>
    </row>
    <row r="106" spans="1:7" x14ac:dyDescent="0.2">
      <c r="A106" s="881" t="s">
        <v>673</v>
      </c>
      <c r="B106" s="881" t="s">
        <v>2001</v>
      </c>
      <c r="C106" s="893">
        <v>3200</v>
      </c>
      <c r="D106" s="884" t="str">
        <f>'Revenues 9-14'!A141</f>
        <v>Total Career and Technical Education</v>
      </c>
      <c r="E106" s="879"/>
      <c r="F106" s="1762">
        <f>SUM('Revenues 9-14'!C141,'Revenues 9-14'!D141,'Revenues 9-14'!G141)</f>
        <v>0</v>
      </c>
      <c r="G106" s="885"/>
    </row>
    <row r="107" spans="1:7" x14ac:dyDescent="0.2">
      <c r="A107" s="894" t="s">
        <v>664</v>
      </c>
      <c r="B107" s="881" t="s">
        <v>2002</v>
      </c>
      <c r="C107" s="893">
        <v>3300</v>
      </c>
      <c r="D107" s="884" t="str">
        <f>'Revenues 9-14'!A145</f>
        <v>Total Bilingual Ed</v>
      </c>
      <c r="E107" s="879"/>
      <c r="F107" s="1762">
        <f>SUM('Revenues 9-14'!C145,'Revenues 9-14'!G145)</f>
        <v>0</v>
      </c>
      <c r="G107" s="885"/>
    </row>
    <row r="108" spans="1:7" x14ac:dyDescent="0.2">
      <c r="A108" s="881" t="s">
        <v>459</v>
      </c>
      <c r="B108" s="881" t="s">
        <v>2003</v>
      </c>
      <c r="C108" s="893">
        <f>'Revenues 9-14'!B146</f>
        <v>3360</v>
      </c>
      <c r="D108" s="884" t="str">
        <f>'Revenues 9-14'!A146</f>
        <v>State Free Lunch &amp; Breakfast</v>
      </c>
      <c r="E108" s="879"/>
      <c r="F108" s="1762">
        <f>'Revenues 9-14'!C146</f>
        <v>4525</v>
      </c>
      <c r="G108" s="885"/>
    </row>
    <row r="109" spans="1:7" x14ac:dyDescent="0.2">
      <c r="A109" s="881" t="s">
        <v>673</v>
      </c>
      <c r="B109" s="881" t="s">
        <v>2004</v>
      </c>
      <c r="C109" s="893">
        <f>'Revenues 9-14'!B147</f>
        <v>3365</v>
      </c>
      <c r="D109" s="884" t="str">
        <f>'Revenues 9-14'!A147</f>
        <v>School Breakfast Initiative</v>
      </c>
      <c r="E109" s="879"/>
      <c r="F109" s="1762">
        <f>SUM('Revenues 9-14'!C147,'Revenues 9-14'!D147,'Revenues 9-14'!G147)</f>
        <v>0</v>
      </c>
      <c r="G109" s="885"/>
    </row>
    <row r="110" spans="1:7" x14ac:dyDescent="0.2">
      <c r="A110" s="881" t="s">
        <v>140</v>
      </c>
      <c r="B110" s="881" t="s">
        <v>2005</v>
      </c>
      <c r="C110" s="893">
        <f>'Revenues 9-14'!B148</f>
        <v>3370</v>
      </c>
      <c r="D110" s="884" t="str">
        <f>'Revenues 9-14'!A148</f>
        <v>Driver Education</v>
      </c>
      <c r="E110" s="879"/>
      <c r="F110" s="1762">
        <f>SUM('Revenues 9-14'!C148,'Revenues 9-14'!D148)</f>
        <v>0</v>
      </c>
      <c r="G110" s="885"/>
    </row>
    <row r="111" spans="1:7" x14ac:dyDescent="0.2">
      <c r="A111" s="881" t="s">
        <v>668</v>
      </c>
      <c r="B111" s="881" t="s">
        <v>2006</v>
      </c>
      <c r="C111" s="895">
        <v>3500</v>
      </c>
      <c r="D111" s="884" t="str">
        <f>'Revenues 9-14'!A155</f>
        <v>Total Transportation</v>
      </c>
      <c r="E111" s="879"/>
      <c r="F111" s="1762">
        <f>SUM('Revenues 9-14'!C155,'Revenues 9-14'!D155,'Revenues 9-14'!F155,'Revenues 9-14'!G155)</f>
        <v>1412083</v>
      </c>
      <c r="G111" s="885"/>
    </row>
    <row r="112" spans="1:7" x14ac:dyDescent="0.2">
      <c r="A112" s="881" t="s">
        <v>459</v>
      </c>
      <c r="B112" s="881" t="s">
        <v>2007</v>
      </c>
      <c r="C112" s="893">
        <f>'Revenues 9-14'!B156</f>
        <v>3610</v>
      </c>
      <c r="D112" s="884" t="str">
        <f>'Revenues 9-14'!A156</f>
        <v>Learning Improvement - Change Grants</v>
      </c>
      <c r="E112" s="879"/>
      <c r="F112" s="1762">
        <f>'Revenues 9-14'!C156</f>
        <v>0</v>
      </c>
      <c r="G112" s="885"/>
    </row>
    <row r="113" spans="1:7" x14ac:dyDescent="0.2">
      <c r="A113" s="881" t="s">
        <v>668</v>
      </c>
      <c r="B113" s="881" t="s">
        <v>2008</v>
      </c>
      <c r="C113" s="893">
        <f>'Revenues 9-14'!B157</f>
        <v>3660</v>
      </c>
      <c r="D113" s="884" t="str">
        <f>'Revenues 9-14'!A157</f>
        <v>Scientific Literacy</v>
      </c>
      <c r="E113" s="879"/>
      <c r="F113" s="1762">
        <f>SUM('Revenues 9-14'!C157,'Revenues 9-14'!D157,'Revenues 9-14'!F157,'Revenues 9-14'!G157)</f>
        <v>0</v>
      </c>
      <c r="G113" s="885"/>
    </row>
    <row r="114" spans="1:7" x14ac:dyDescent="0.2">
      <c r="A114" s="881" t="s">
        <v>5</v>
      </c>
      <c r="B114" s="881" t="s">
        <v>2009</v>
      </c>
      <c r="C114" s="893">
        <f>'Revenues 9-14'!B158</f>
        <v>3695</v>
      </c>
      <c r="D114" s="884" t="str">
        <f>'Revenues 9-14'!A158</f>
        <v>Truant Alternative/Optional Education</v>
      </c>
      <c r="E114" s="879"/>
      <c r="F114" s="1762">
        <f>SUM('Revenues 9-14'!C158,'Revenues 9-14'!F158,'Revenues 9-14'!G158)</f>
        <v>0</v>
      </c>
      <c r="G114" s="885"/>
    </row>
    <row r="115" spans="1:7" x14ac:dyDescent="0.2">
      <c r="A115" s="881" t="s">
        <v>668</v>
      </c>
      <c r="B115" s="881" t="s">
        <v>2010</v>
      </c>
      <c r="C115" s="893">
        <f>'Revenues 9-14'!B160</f>
        <v>3766</v>
      </c>
      <c r="D115" s="884" t="str">
        <f>'Revenues 9-14'!A160</f>
        <v>Chicago General Education Block Grant</v>
      </c>
      <c r="E115" s="879"/>
      <c r="F115" s="1762">
        <f>SUM('Revenues 9-14'!C160,'Revenues 9-14'!D160,'Revenues 9-14'!F160,'Revenues 9-14'!G160)</f>
        <v>0</v>
      </c>
      <c r="G115" s="885"/>
    </row>
    <row r="116" spans="1:7" x14ac:dyDescent="0.2">
      <c r="A116" s="881" t="s">
        <v>668</v>
      </c>
      <c r="B116" s="881" t="s">
        <v>2011</v>
      </c>
      <c r="C116" s="893">
        <f>'Revenues 9-14'!B161</f>
        <v>3767</v>
      </c>
      <c r="D116" s="884" t="str">
        <f>'Revenues 9-14'!A161</f>
        <v>Chicago Educational Services Block Grant</v>
      </c>
      <c r="E116" s="879"/>
      <c r="F116" s="1762">
        <f>SUM('Revenues 9-14'!C161,'Revenues 9-14'!D161,'Revenues 9-14'!F161,'Revenues 9-14'!G161)</f>
        <v>0</v>
      </c>
      <c r="G116" s="885"/>
    </row>
    <row r="117" spans="1:7" x14ac:dyDescent="0.2">
      <c r="A117" s="896" t="s">
        <v>1009</v>
      </c>
      <c r="B117" s="896" t="s">
        <v>2012</v>
      </c>
      <c r="C117" s="897">
        <f>'Revenues 9-14'!B162</f>
        <v>3775</v>
      </c>
      <c r="D117" s="898" t="str">
        <f>'Revenues 9-14'!A162</f>
        <v>School Safety &amp; Educational Improvement Block Grant</v>
      </c>
      <c r="E117" s="879"/>
      <c r="F117" s="1880">
        <f>SUM('Revenues 9-14'!C162,'Revenues 9-14'!D162,'Revenues 9-14'!E162,'Revenues 9-14'!F162,'Revenues 9-14'!G162)</f>
        <v>0</v>
      </c>
      <c r="G117" s="885"/>
    </row>
    <row r="118" spans="1:7" x14ac:dyDescent="0.2">
      <c r="A118" s="896" t="s">
        <v>1009</v>
      </c>
      <c r="B118" s="896" t="s">
        <v>2013</v>
      </c>
      <c r="C118" s="897">
        <f>'Revenues 9-14'!B163</f>
        <v>3780</v>
      </c>
      <c r="D118" s="898" t="str">
        <f>'Revenues 9-14'!A163</f>
        <v>Technology - Technology for Success</v>
      </c>
      <c r="E118" s="879"/>
      <c r="F118" s="1880">
        <f>SUM('Revenues 9-14'!C163:G163)</f>
        <v>0</v>
      </c>
      <c r="G118" s="885"/>
    </row>
    <row r="119" spans="1:7" x14ac:dyDescent="0.2">
      <c r="A119" s="896" t="s">
        <v>504</v>
      </c>
      <c r="B119" s="896" t="s">
        <v>2014</v>
      </c>
      <c r="C119" s="897">
        <f>'Revenues 9-14'!B164</f>
        <v>3815</v>
      </c>
      <c r="D119" s="898" t="str">
        <f>'Revenues 9-14'!A164</f>
        <v>State Charter Schools</v>
      </c>
      <c r="E119" s="879"/>
      <c r="F119" s="1880">
        <f>SUM('Revenues 9-14'!C164,'Revenues 9-14'!F164)</f>
        <v>0</v>
      </c>
      <c r="G119" s="885"/>
    </row>
    <row r="120" spans="1:7" x14ac:dyDescent="0.2">
      <c r="A120" s="900" t="s">
        <v>460</v>
      </c>
      <c r="B120" s="900" t="s">
        <v>2015</v>
      </c>
      <c r="C120" s="901">
        <f>'Revenues 9-14'!B167</f>
        <v>3925</v>
      </c>
      <c r="D120" s="902" t="str">
        <f>'Revenues 9-14'!A167</f>
        <v>School Infrastructure - Maintenance Projects</v>
      </c>
      <c r="E120" s="879"/>
      <c r="F120" s="1762">
        <f>'Revenues 9-14'!D167</f>
        <v>0</v>
      </c>
      <c r="G120" s="903"/>
    </row>
    <row r="121" spans="1:7" x14ac:dyDescent="0.2">
      <c r="A121" s="900" t="s">
        <v>500</v>
      </c>
      <c r="B121" s="900" t="s">
        <v>2016</v>
      </c>
      <c r="C121" s="901">
        <f>'Revenues 9-14'!B168</f>
        <v>3999</v>
      </c>
      <c r="D121" s="902" t="s">
        <v>543</v>
      </c>
      <c r="E121" s="904"/>
      <c r="F121" s="1762">
        <f>SUM('Revenues 9-14'!C168:G168,'Revenues 9-14'!J168)</f>
        <v>1890</v>
      </c>
      <c r="G121" s="903"/>
    </row>
    <row r="122" spans="1:7" x14ac:dyDescent="0.2">
      <c r="A122" s="900" t="s">
        <v>459</v>
      </c>
      <c r="B122" s="900" t="s">
        <v>2017</v>
      </c>
      <c r="C122" s="905">
        <f>'Revenues 9-14'!B177</f>
        <v>4045</v>
      </c>
      <c r="D122" s="902" t="str">
        <f>'Revenues 9-14'!A177 &amp; " (Subtract)"</f>
        <v>Head Start (Subtract)</v>
      </c>
      <c r="E122" s="879"/>
      <c r="F122" s="1762">
        <f>SUM(-'Revenues 9-14'!C177)</f>
        <v>0</v>
      </c>
      <c r="G122" s="903"/>
    </row>
    <row r="123" spans="1:7" x14ac:dyDescent="0.2">
      <c r="A123" s="900" t="s">
        <v>668</v>
      </c>
      <c r="B123" s="900" t="s">
        <v>2018</v>
      </c>
      <c r="C123" s="905" t="s">
        <v>982</v>
      </c>
      <c r="D123" s="902" t="str">
        <f>('Revenues 9-14'!A181)</f>
        <v>Total Restricted Grants-In-Aid Received Directly from Federal Govt</v>
      </c>
      <c r="E123" s="879"/>
      <c r="F123" s="1762">
        <f>SUM('Revenues 9-14'!C181,'Revenues 9-14'!D181,'Revenues 9-14'!F181,'Revenues 9-14'!G181)</f>
        <v>0</v>
      </c>
      <c r="G123" s="903"/>
    </row>
    <row r="124" spans="1:7" x14ac:dyDescent="0.2">
      <c r="A124" s="900" t="s">
        <v>668</v>
      </c>
      <c r="B124" s="900" t="s">
        <v>2019</v>
      </c>
      <c r="C124" s="905">
        <v>4100</v>
      </c>
      <c r="D124" s="906" t="str">
        <f>'Revenues 9-14'!A188</f>
        <v>Total Title V</v>
      </c>
      <c r="E124" s="879"/>
      <c r="F124" s="1762">
        <f>SUM('Revenues 9-14'!C188,'Revenues 9-14'!D188,'Revenues 9-14'!F188,'Revenues 9-14'!G188)</f>
        <v>0</v>
      </c>
      <c r="G124" s="903"/>
    </row>
    <row r="125" spans="1:7" x14ac:dyDescent="0.2">
      <c r="A125" s="900" t="s">
        <v>664</v>
      </c>
      <c r="B125" s="900" t="s">
        <v>2020</v>
      </c>
      <c r="C125" s="905">
        <v>4200</v>
      </c>
      <c r="D125" s="902" t="str">
        <f>'Revenues 9-14'!A198</f>
        <v>Total Food Service</v>
      </c>
      <c r="E125" s="879"/>
      <c r="F125" s="1762">
        <f>SUM('Revenues 9-14'!C198,'Revenues 9-14'!G198)</f>
        <v>332811</v>
      </c>
      <c r="G125" s="903"/>
    </row>
    <row r="126" spans="1:7" x14ac:dyDescent="0.2">
      <c r="A126" s="900" t="s">
        <v>668</v>
      </c>
      <c r="B126" s="900" t="s">
        <v>2021</v>
      </c>
      <c r="C126" s="905">
        <v>4300</v>
      </c>
      <c r="D126" s="906" t="str">
        <f>'Revenues 9-14'!A204</f>
        <v>Total Title I</v>
      </c>
      <c r="E126" s="879"/>
      <c r="F126" s="1762">
        <f>SUM('Revenues 9-14'!C204,'Revenues 9-14'!D204,'Revenues 9-14'!F204,'Revenues 9-14'!G204)</f>
        <v>160508</v>
      </c>
      <c r="G126" s="903"/>
    </row>
    <row r="127" spans="1:7" x14ac:dyDescent="0.2">
      <c r="A127" s="900" t="s">
        <v>668</v>
      </c>
      <c r="B127" s="900" t="s">
        <v>2022</v>
      </c>
      <c r="C127" s="905">
        <v>4400</v>
      </c>
      <c r="D127" s="906" t="str">
        <f>'Revenues 9-14'!A209</f>
        <v>Total Title IV</v>
      </c>
      <c r="E127" s="879"/>
      <c r="F127" s="1762">
        <f>SUM('Revenues 9-14'!C209,'Revenues 9-14'!D209,'Revenues 9-14'!F209,'Revenues 9-14'!G209)</f>
        <v>21860</v>
      </c>
      <c r="G127" s="903"/>
    </row>
    <row r="128" spans="1:7" x14ac:dyDescent="0.2">
      <c r="A128" s="900" t="s">
        <v>668</v>
      </c>
      <c r="B128" s="900" t="s">
        <v>2023</v>
      </c>
      <c r="C128" s="905">
        <f>'Revenues 9-14'!B213</f>
        <v>4620</v>
      </c>
      <c r="D128" s="906" t="str">
        <f>'Revenues 9-14'!A213</f>
        <v>Fed - Spec Education - IDEA - Flow Through</v>
      </c>
      <c r="E128" s="879"/>
      <c r="F128" s="1762">
        <f>SUM('Revenues 9-14'!C213:D213,'Revenues 9-14'!F213:G213)</f>
        <v>376666</v>
      </c>
      <c r="G128" s="903"/>
    </row>
    <row r="129" spans="1:7" x14ac:dyDescent="0.2">
      <c r="A129" s="900" t="s">
        <v>668</v>
      </c>
      <c r="B129" s="900" t="s">
        <v>2024</v>
      </c>
      <c r="C129" s="905">
        <f>'Revenues 9-14'!B214</f>
        <v>4625</v>
      </c>
      <c r="D129" s="906" t="str">
        <f>'Revenues 9-14'!A214</f>
        <v>Fed - Spec Education - IDEA - Room &amp; Board</v>
      </c>
      <c r="E129" s="879"/>
      <c r="F129" s="1762">
        <f>SUM('Revenues 9-14'!C214,'Revenues 9-14'!D214,'Revenues 9-14'!F214,'Revenues 9-14'!G214)</f>
        <v>5543</v>
      </c>
      <c r="G129" s="903"/>
    </row>
    <row r="130" spans="1:7" x14ac:dyDescent="0.2">
      <c r="A130" s="900" t="s">
        <v>668</v>
      </c>
      <c r="B130" s="900" t="s">
        <v>2025</v>
      </c>
      <c r="C130" s="905">
        <f>'Revenues 9-14'!B215</f>
        <v>4630</v>
      </c>
      <c r="D130" s="906" t="str">
        <f>'Revenues 9-14'!A215</f>
        <v>Fed - Spec Education - IDEA - Discretionary</v>
      </c>
      <c r="E130" s="879"/>
      <c r="F130" s="1762">
        <f>SUM('Revenues 9-14'!C215:D215,'Revenues 9-14'!F215:G215)</f>
        <v>0</v>
      </c>
      <c r="G130" s="903">
        <v>6297</v>
      </c>
    </row>
    <row r="131" spans="1:7" x14ac:dyDescent="0.2">
      <c r="A131" s="900" t="s">
        <v>668</v>
      </c>
      <c r="B131" s="900" t="s">
        <v>776</v>
      </c>
      <c r="C131" s="905">
        <f>'Revenues 9-14'!B216</f>
        <v>4699</v>
      </c>
      <c r="D131" s="906" t="str">
        <f>'Revenues 9-14'!A216</f>
        <v>Fed - Spec Education - IDEA - Other (Describe &amp; Itemize)</v>
      </c>
      <c r="E131" s="879"/>
      <c r="F131" s="1762">
        <f>SUM('Revenues 9-14'!C216:D216,'Revenues 9-14'!F216:G216)</f>
        <v>0</v>
      </c>
      <c r="G131" s="903"/>
    </row>
    <row r="132" spans="1:7" x14ac:dyDescent="0.2">
      <c r="A132" s="900" t="s">
        <v>673</v>
      </c>
      <c r="B132" s="900" t="s">
        <v>2026</v>
      </c>
      <c r="C132" s="905">
        <v>4700</v>
      </c>
      <c r="D132" s="902" t="str">
        <f>'Revenues 9-14'!A221</f>
        <v>Total CTE - Perkins</v>
      </c>
      <c r="E132" s="879"/>
      <c r="F132" s="1762">
        <f>SUM('Revenues 9-14'!C221,'Revenues 9-14'!D221,'Revenues 9-14'!G221)</f>
        <v>0</v>
      </c>
      <c r="G132" s="903">
        <v>6303</v>
      </c>
    </row>
    <row r="133" spans="1:7" s="840" customFormat="1" hidden="1" x14ac:dyDescent="0.2">
      <c r="A133" s="907" t="s">
        <v>206</v>
      </c>
      <c r="B133" s="907" t="s">
        <v>2027</v>
      </c>
      <c r="C133" s="908" t="s">
        <v>207</v>
      </c>
      <c r="D133" s="909" t="str">
        <f>'Revenues 9-14'!A224</f>
        <v>ARRA - Title I - Low Income</v>
      </c>
      <c r="E133" s="910"/>
      <c r="F133" s="1880">
        <f>SUM('Revenues 9-14'!$C$224:$D$224,'Revenues 9-14'!$F$224:$G$224)</f>
        <v>0</v>
      </c>
      <c r="G133" s="878"/>
    </row>
    <row r="134" spans="1:7" s="840" customFormat="1" hidden="1" x14ac:dyDescent="0.2">
      <c r="A134" s="907" t="s">
        <v>206</v>
      </c>
      <c r="B134" s="907" t="s">
        <v>2028</v>
      </c>
      <c r="C134" s="908" t="s">
        <v>208</v>
      </c>
      <c r="D134" s="909" t="str">
        <f>'Revenues 9-14'!A225</f>
        <v>ARRA - Title I - Neglected, Private</v>
      </c>
      <c r="E134" s="910"/>
      <c r="F134" s="1762">
        <f>SUM('Revenues 9-14'!C225:G225,'Revenues 9-14'!J225)</f>
        <v>0</v>
      </c>
      <c r="G134" s="878"/>
    </row>
    <row r="135" spans="1:7" s="840" customFormat="1" hidden="1" x14ac:dyDescent="0.2">
      <c r="A135" s="907" t="s">
        <v>206</v>
      </c>
      <c r="B135" s="907" t="s">
        <v>2029</v>
      </c>
      <c r="C135" s="908" t="s">
        <v>209</v>
      </c>
      <c r="D135" s="909" t="str">
        <f>'Revenues 9-14'!A226</f>
        <v>ARRA - Title I - Delinquent, Private</v>
      </c>
      <c r="E135" s="910"/>
      <c r="F135" s="1762">
        <f>SUM('Revenues 9-14'!C226:G226,'Revenues 9-14'!J226)</f>
        <v>0</v>
      </c>
      <c r="G135" s="878"/>
    </row>
    <row r="136" spans="1:7" s="840" customFormat="1" hidden="1" x14ac:dyDescent="0.2">
      <c r="A136" s="907" t="s">
        <v>206</v>
      </c>
      <c r="B136" s="907" t="s">
        <v>2030</v>
      </c>
      <c r="C136" s="908" t="s">
        <v>210</v>
      </c>
      <c r="D136" s="909" t="str">
        <f>'Revenues 9-14'!A227</f>
        <v>ARRA - Title I - School Improvement (Part A)</v>
      </c>
      <c r="E136" s="910"/>
      <c r="F136" s="1762">
        <f>SUM('Revenues 9-14'!C227:G227,'Revenues 9-14'!J227)</f>
        <v>0</v>
      </c>
      <c r="G136" s="878"/>
    </row>
    <row r="137" spans="1:7" s="840" customFormat="1" hidden="1" x14ac:dyDescent="0.2">
      <c r="A137" s="907" t="s">
        <v>206</v>
      </c>
      <c r="B137" s="907" t="s">
        <v>2031</v>
      </c>
      <c r="C137" s="908" t="s">
        <v>211</v>
      </c>
      <c r="D137" s="909" t="str">
        <f>'Revenues 9-14'!A228</f>
        <v>ARRA - Title I - School Improvement (Section 1003g)</v>
      </c>
      <c r="E137" s="910"/>
      <c r="F137" s="1762">
        <f>SUM('Revenues 9-14'!C228:G228,'Revenues 9-14'!J228)</f>
        <v>0</v>
      </c>
      <c r="G137" s="878"/>
    </row>
    <row r="138" spans="1:7" s="840" customFormat="1" hidden="1" x14ac:dyDescent="0.2">
      <c r="A138" s="907" t="s">
        <v>206</v>
      </c>
      <c r="B138" s="907" t="s">
        <v>2032</v>
      </c>
      <c r="C138" s="908" t="s">
        <v>212</v>
      </c>
      <c r="D138" s="909" t="str">
        <f>'Revenues 9-14'!A229</f>
        <v>ARRA - IDEA - Part B - Preschool</v>
      </c>
      <c r="E138" s="910"/>
      <c r="F138" s="1762">
        <v>0</v>
      </c>
      <c r="G138" s="878"/>
    </row>
    <row r="139" spans="1:7" s="840" customFormat="1" hidden="1" x14ac:dyDescent="0.2">
      <c r="A139" s="907" t="s">
        <v>206</v>
      </c>
      <c r="B139" s="907" t="s">
        <v>2033</v>
      </c>
      <c r="C139" s="908" t="s">
        <v>213</v>
      </c>
      <c r="D139" s="909" t="str">
        <f>'Revenues 9-14'!A230</f>
        <v>ARRA - IDEA - Part B - Flow-Through</v>
      </c>
      <c r="E139" s="910"/>
      <c r="F139" s="1762">
        <f>SUM('Revenues 9-14'!C230:G230,'Revenues 9-14'!J230)</f>
        <v>0</v>
      </c>
      <c r="G139" s="878"/>
    </row>
    <row r="140" spans="1:7" s="840" customFormat="1" hidden="1" x14ac:dyDescent="0.2">
      <c r="A140" s="907" t="s">
        <v>206</v>
      </c>
      <c r="B140" s="907" t="s">
        <v>2034</v>
      </c>
      <c r="C140" s="908" t="s">
        <v>214</v>
      </c>
      <c r="D140" s="909" t="str">
        <f>'Revenues 9-14'!A231</f>
        <v>ARRA - Title IID - Technology-Formula</v>
      </c>
      <c r="E140" s="910"/>
      <c r="F140" s="1762">
        <f>SUM('Revenues 9-14'!C231:G231,'Revenues 9-14'!J231)</f>
        <v>0</v>
      </c>
      <c r="G140" s="878"/>
    </row>
    <row r="141" spans="1:7" s="840" customFormat="1" hidden="1" x14ac:dyDescent="0.2">
      <c r="A141" s="907" t="s">
        <v>206</v>
      </c>
      <c r="B141" s="907" t="s">
        <v>2035</v>
      </c>
      <c r="C141" s="908" t="s">
        <v>216</v>
      </c>
      <c r="D141" s="909" t="str">
        <f>'Revenues 9-14'!A232</f>
        <v>ARRA - Title IID - Technology-Competitive</v>
      </c>
      <c r="E141" s="910"/>
      <c r="F141" s="1762">
        <f>SUM('Revenues 9-14'!C232:G232,'Revenues 9-14'!J232)</f>
        <v>0</v>
      </c>
      <c r="G141" s="878"/>
    </row>
    <row r="142" spans="1:7" s="840" customFormat="1" hidden="1" x14ac:dyDescent="0.2">
      <c r="A142" s="907" t="s">
        <v>668</v>
      </c>
      <c r="B142" s="907" t="s">
        <v>2036</v>
      </c>
      <c r="C142" s="908" t="s">
        <v>217</v>
      </c>
      <c r="D142" s="909" t="str">
        <f>'Revenues 9-14'!A233</f>
        <v>ARRA - McKinney - Vento Homeless Education</v>
      </c>
      <c r="E142" s="910"/>
      <c r="F142" s="1762">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2">
        <f>SUM('Revenues 9-14'!C237:G237,'Revenues 9-14'!J237)</f>
        <v>0</v>
      </c>
      <c r="G143" s="878"/>
    </row>
    <row r="144" spans="1:7" s="840" customFormat="1" hidden="1" x14ac:dyDescent="0.2">
      <c r="A144" s="907" t="s">
        <v>206</v>
      </c>
      <c r="B144" s="907" t="s">
        <v>809</v>
      </c>
      <c r="C144" s="908" t="s">
        <v>219</v>
      </c>
      <c r="D144" s="909" t="str">
        <f>'Revenues 9-14'!A238</f>
        <v>Qualified School Construction Bond Credits</v>
      </c>
      <c r="E144" s="910"/>
      <c r="F144" s="1762">
        <f>SUM('Revenues 9-14'!C238:G238,'Revenues 9-14'!J238)</f>
        <v>0</v>
      </c>
      <c r="G144" s="878"/>
    </row>
    <row r="145" spans="1:7" s="840" customFormat="1" hidden="1" x14ac:dyDescent="0.2">
      <c r="A145" s="907" t="s">
        <v>206</v>
      </c>
      <c r="B145" s="907" t="s">
        <v>1416</v>
      </c>
      <c r="C145" s="908" t="s">
        <v>221</v>
      </c>
      <c r="D145" s="909" t="str">
        <f>'Revenues 9-14'!A239</f>
        <v>Build America Bond Tax Credits</v>
      </c>
      <c r="E145" s="910"/>
      <c r="F145" s="1762">
        <f>SUM('Revenues 9-14'!C239:G239,'Revenues 9-14'!J239)</f>
        <v>0</v>
      </c>
      <c r="G145" s="878"/>
    </row>
    <row r="146" spans="1:7" s="840" customFormat="1" hidden="1" x14ac:dyDescent="0.2">
      <c r="A146" s="907" t="s">
        <v>206</v>
      </c>
      <c r="B146" s="907" t="s">
        <v>2037</v>
      </c>
      <c r="C146" s="908" t="s">
        <v>223</v>
      </c>
      <c r="D146" s="909" t="str">
        <f>'Revenues 9-14'!A240</f>
        <v>Build America Bond Interest Reimbursement</v>
      </c>
      <c r="E146" s="910"/>
      <c r="F146" s="1762">
        <f>SUM('Revenues 9-14'!C240:G240,'Revenues 9-14'!J240)</f>
        <v>0</v>
      </c>
      <c r="G146" s="878"/>
    </row>
    <row r="147" spans="1:7" s="840" customFormat="1" hidden="1" x14ac:dyDescent="0.2">
      <c r="A147" s="907" t="s">
        <v>206</v>
      </c>
      <c r="B147" s="907" t="s">
        <v>2038</v>
      </c>
      <c r="C147" s="908" t="s">
        <v>225</v>
      </c>
      <c r="D147" s="909" t="str">
        <f>'Revenues 9-14'!A242</f>
        <v>Other ARRA Funds - II</v>
      </c>
      <c r="E147" s="910"/>
      <c r="F147" s="1762">
        <f>SUM('Revenues 9-14'!C242:G242,'Revenues 9-14'!J242)</f>
        <v>0</v>
      </c>
      <c r="G147" s="878"/>
    </row>
    <row r="148" spans="1:7" s="840" customFormat="1" hidden="1" x14ac:dyDescent="0.2">
      <c r="A148" s="907" t="s">
        <v>206</v>
      </c>
      <c r="B148" s="907" t="s">
        <v>2039</v>
      </c>
      <c r="C148" s="908" t="s">
        <v>226</v>
      </c>
      <c r="D148" s="909" t="str">
        <f>'Revenues 9-14'!A243</f>
        <v>Other ARRA Funds - III</v>
      </c>
      <c r="E148" s="910"/>
      <c r="F148" s="1762">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2">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2">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2">
        <v>0</v>
      </c>
      <c r="G151" s="878"/>
    </row>
    <row r="152" spans="1:7" s="840" customFormat="1" hidden="1" x14ac:dyDescent="0.2">
      <c r="A152" s="907" t="s">
        <v>206</v>
      </c>
      <c r="B152" s="907" t="s">
        <v>1417</v>
      </c>
      <c r="C152" s="908" t="s">
        <v>233</v>
      </c>
      <c r="D152" s="909" t="str">
        <f>'Revenues 9-14'!A247</f>
        <v>Other ARRA Funds VII</v>
      </c>
      <c r="E152" s="910"/>
      <c r="F152" s="1762">
        <f>SUM('Revenues 9-14'!C247:G247,'Revenues 9-14'!J247)</f>
        <v>0</v>
      </c>
      <c r="G152" s="878"/>
    </row>
    <row r="153" spans="1:7" s="840" customFormat="1" hidden="1" x14ac:dyDescent="0.2">
      <c r="A153" s="907" t="s">
        <v>206</v>
      </c>
      <c r="B153" s="907" t="s">
        <v>2040</v>
      </c>
      <c r="C153" s="908" t="s">
        <v>234</v>
      </c>
      <c r="D153" s="909" t="str">
        <f>'Revenues 9-14'!A248</f>
        <v>Other ARRA Funds VIII</v>
      </c>
      <c r="E153" s="910"/>
      <c r="F153" s="1762">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2">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2">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2">
        <f>SUM('Revenues 9-14'!C251:G251,'Revenues 9-14'!J251)</f>
        <v>0</v>
      </c>
      <c r="G156" s="878"/>
    </row>
    <row r="157" spans="1:7" s="840" customFormat="1" x14ac:dyDescent="0.2">
      <c r="A157" s="911" t="s">
        <v>500</v>
      </c>
      <c r="B157" s="912" t="s">
        <v>2041</v>
      </c>
      <c r="C157" s="913" t="s">
        <v>841</v>
      </c>
      <c r="D157" s="914" t="s">
        <v>777</v>
      </c>
      <c r="E157" s="915"/>
      <c r="F157" s="1762">
        <f>SUM(F133:F156)</f>
        <v>0</v>
      </c>
      <c r="G157" s="878"/>
    </row>
    <row r="158" spans="1:7" s="840" customFormat="1" x14ac:dyDescent="0.2">
      <c r="A158" s="911" t="s">
        <v>459</v>
      </c>
      <c r="B158" s="912" t="s">
        <v>2042</v>
      </c>
      <c r="C158" s="913" t="s">
        <v>1427</v>
      </c>
      <c r="D158" s="914" t="s">
        <v>1428</v>
      </c>
      <c r="E158" s="915"/>
      <c r="F158" s="1762">
        <f>SUM('Revenues 9-14'!C253)</f>
        <v>0</v>
      </c>
      <c r="G158" s="878"/>
    </row>
    <row r="159" spans="1:7" s="840" customFormat="1" x14ac:dyDescent="0.2">
      <c r="A159" s="911" t="s">
        <v>500</v>
      </c>
      <c r="B159" s="912" t="s">
        <v>2043</v>
      </c>
      <c r="C159" s="913" t="s">
        <v>1466</v>
      </c>
      <c r="D159" s="914" t="s">
        <v>1467</v>
      </c>
      <c r="E159" s="915"/>
      <c r="F159" s="1762">
        <f>SUM('Revenues 9-14'!C254:H254,'Revenues 9-14'!J254:K254)</f>
        <v>0</v>
      </c>
      <c r="G159" s="878"/>
    </row>
    <row r="160" spans="1:7" x14ac:dyDescent="0.2">
      <c r="A160" s="900" t="s">
        <v>5</v>
      </c>
      <c r="B160" s="900" t="s">
        <v>2044</v>
      </c>
      <c r="C160" s="905">
        <f>'Revenues 9-14'!B255</f>
        <v>4905</v>
      </c>
      <c r="D160" s="902" t="str">
        <f>'Revenues 9-14'!A255</f>
        <v>Title III - Immigrant Education Program (IEP)</v>
      </c>
      <c r="E160" s="879"/>
      <c r="F160" s="1762">
        <f>SUM('Revenues 9-14'!C255,'Revenues 9-14'!F255,'Revenues 9-14'!G255)</f>
        <v>0</v>
      </c>
      <c r="G160" s="916">
        <v>6306</v>
      </c>
    </row>
    <row r="161" spans="1:7" x14ac:dyDescent="0.2">
      <c r="A161" s="900" t="s">
        <v>5</v>
      </c>
      <c r="B161" s="900" t="s">
        <v>2045</v>
      </c>
      <c r="C161" s="905">
        <f>'Revenues 9-14'!B256</f>
        <v>4909</v>
      </c>
      <c r="D161" s="902" t="str">
        <f>'Revenues 9-14'!A256</f>
        <v>Title III - Language Inst Program - Limited Eng (LIPLEP)</v>
      </c>
      <c r="E161" s="879"/>
      <c r="F161" s="1762">
        <f>SUM('Revenues 9-14'!C256,'Revenues 9-14'!F256,'Revenues 9-14'!G256)</f>
        <v>38661</v>
      </c>
      <c r="G161" s="916"/>
    </row>
    <row r="162" spans="1:7" x14ac:dyDescent="0.2">
      <c r="A162" s="900" t="s">
        <v>668</v>
      </c>
      <c r="B162" s="900" t="s">
        <v>2046</v>
      </c>
      <c r="C162" s="905">
        <f>'Revenues 9-14'!B257</f>
        <v>4920</v>
      </c>
      <c r="D162" s="902" t="str">
        <f>'Revenues 9-14'!A257</f>
        <v>McKinney Education for Homeless Children</v>
      </c>
      <c r="E162" s="879"/>
      <c r="F162" s="1762">
        <f>SUM('Revenues 9-14'!C257,'Revenues 9-14'!D257,'Revenues 9-14'!F257,'Revenues 9-14'!G257)</f>
        <v>0</v>
      </c>
      <c r="G162" s="903"/>
    </row>
    <row r="163" spans="1:7" x14ac:dyDescent="0.2">
      <c r="A163" s="917" t="s">
        <v>668</v>
      </c>
      <c r="B163" s="917" t="s">
        <v>2047</v>
      </c>
      <c r="C163" s="918">
        <f>'Revenues 9-14'!B258</f>
        <v>4930</v>
      </c>
      <c r="D163" s="919" t="str">
        <f>'Revenues 9-14'!A258</f>
        <v>Title II - Eisenhower Professional Development Formula</v>
      </c>
      <c r="E163" s="899"/>
      <c r="F163" s="1880">
        <f>SUM('Revenues 9-14'!C258:D258,'Revenues 9-14'!F258,'Revenues 9-14'!G258)</f>
        <v>0</v>
      </c>
      <c r="G163" s="903"/>
    </row>
    <row r="164" spans="1:7" x14ac:dyDescent="0.2">
      <c r="A164" s="900" t="s">
        <v>668</v>
      </c>
      <c r="B164" s="900" t="s">
        <v>2048</v>
      </c>
      <c r="C164" s="905">
        <f>'Revenues 9-14'!B259</f>
        <v>4932</v>
      </c>
      <c r="D164" s="906" t="str">
        <f>'Revenues 9-14'!A259</f>
        <v>Title II - Teacher Quality</v>
      </c>
      <c r="E164" s="879"/>
      <c r="F164" s="1880">
        <f>SUM('Revenues 9-14'!C259,'Revenues 9-14'!D259,'Revenues 9-14'!F259,'Revenues 9-14'!G259)</f>
        <v>79152</v>
      </c>
      <c r="G164" s="903"/>
    </row>
    <row r="165" spans="1:7" x14ac:dyDescent="0.2">
      <c r="A165" s="900" t="s">
        <v>668</v>
      </c>
      <c r="B165" s="900" t="s">
        <v>2049</v>
      </c>
      <c r="C165" s="905">
        <f>'Revenues 9-14'!B260</f>
        <v>4960</v>
      </c>
      <c r="D165" s="902" t="str">
        <f>'Revenues 9-14'!A260</f>
        <v>Federal Charter Schools</v>
      </c>
      <c r="E165" s="879"/>
      <c r="F165" s="1762">
        <f>SUM('Revenues 9-14'!C260:D260,'Revenues 9-14'!F260:G260)</f>
        <v>0</v>
      </c>
      <c r="G165" s="903"/>
    </row>
    <row r="166" spans="1:7" x14ac:dyDescent="0.2">
      <c r="A166" s="900" t="s">
        <v>668</v>
      </c>
      <c r="B166" s="900" t="s">
        <v>1994</v>
      </c>
      <c r="C166" s="905">
        <f>'Revenues 9-14'!B261</f>
        <v>4981</v>
      </c>
      <c r="D166" s="902" t="str">
        <f>'Revenues 9-14'!A261</f>
        <v>State Assessment Grants</v>
      </c>
      <c r="E166" s="879"/>
      <c r="F166" s="1762">
        <f>SUM('Revenues 9-14'!C261:D261,'Revenues 9-14'!F261:G261)</f>
        <v>0</v>
      </c>
      <c r="G166" s="903"/>
    </row>
    <row r="167" spans="1:7" x14ac:dyDescent="0.2">
      <c r="A167" s="900" t="s">
        <v>668</v>
      </c>
      <c r="B167" s="900" t="s">
        <v>1995</v>
      </c>
      <c r="C167" s="905">
        <f>'Revenues 9-14'!B262</f>
        <v>4982</v>
      </c>
      <c r="D167" s="902" t="str">
        <f>'Revenues 9-14'!A262</f>
        <v>Grant for State Assessments and Related Activities</v>
      </c>
      <c r="E167" s="879"/>
      <c r="F167" s="1762">
        <f>SUM('Revenues 9-14'!C262:D262,'Revenues 9-14'!F262:G262)</f>
        <v>0</v>
      </c>
      <c r="G167" s="903"/>
    </row>
    <row r="168" spans="1:7" x14ac:dyDescent="0.2">
      <c r="A168" s="900" t="s">
        <v>668</v>
      </c>
      <c r="B168" s="900" t="s">
        <v>2050</v>
      </c>
      <c r="C168" s="905">
        <f>'Revenues 9-14'!B263</f>
        <v>4991</v>
      </c>
      <c r="D168" s="906" t="str">
        <f>'Revenues 9-14'!A263</f>
        <v>Medicaid Matching Funds - Administrative Outreach</v>
      </c>
      <c r="E168" s="879"/>
      <c r="F168" s="1762">
        <f>SUM('Revenues 9-14'!C263:D263,'Revenues 9-14'!F263:G263)</f>
        <v>30587</v>
      </c>
      <c r="G168" s="920">
        <v>6320</v>
      </c>
    </row>
    <row r="169" spans="1:7" x14ac:dyDescent="0.2">
      <c r="A169" s="900" t="s">
        <v>668</v>
      </c>
      <c r="B169" s="900" t="s">
        <v>2051</v>
      </c>
      <c r="C169" s="905">
        <f>'Revenues 9-14'!B264</f>
        <v>4992</v>
      </c>
      <c r="D169" s="906" t="str">
        <f>'Revenues 9-14'!A264</f>
        <v>Medicaid Matching Funds - Fee-for-Service Program</v>
      </c>
      <c r="E169" s="879"/>
      <c r="F169" s="1762">
        <f>SUM('Revenues 9-14'!C264:D264,'Revenues 9-14'!F264:G264)</f>
        <v>206245</v>
      </c>
      <c r="G169" s="920"/>
    </row>
    <row r="170" spans="1:7" x14ac:dyDescent="0.2">
      <c r="A170" s="921" t="s">
        <v>668</v>
      </c>
      <c r="B170" s="917" t="s">
        <v>2052</v>
      </c>
      <c r="C170" s="918">
        <f>'Revenues 9-14'!B265</f>
        <v>4999</v>
      </c>
      <c r="D170" s="919" t="str">
        <f>'Revenues 9-14'!A265</f>
        <v>Other Restricted Revenue from Federal Sources (Describe &amp; Itemize)</v>
      </c>
      <c r="E170" s="879"/>
      <c r="F170" s="1762">
        <f>SUM('Revenues 9-14'!C265:D265,'Revenues 9-14'!F265:G265)</f>
        <v>0</v>
      </c>
      <c r="G170" s="900"/>
    </row>
    <row r="171" spans="1:7" x14ac:dyDescent="0.2">
      <c r="A171" s="1891" t="s">
        <v>5</v>
      </c>
      <c r="B171" s="1892" t="s">
        <v>1917</v>
      </c>
      <c r="C171" s="1893">
        <v>3100</v>
      </c>
      <c r="D171" s="1894" t="s">
        <v>1919</v>
      </c>
      <c r="E171" s="879"/>
      <c r="F171" s="1879">
        <v>941600</v>
      </c>
      <c r="G171" s="900"/>
    </row>
    <row r="172" spans="1:7" x14ac:dyDescent="0.2">
      <c r="A172" s="1891" t="s">
        <v>664</v>
      </c>
      <c r="B172" s="1892" t="s">
        <v>1917</v>
      </c>
      <c r="C172" s="1893">
        <v>3300</v>
      </c>
      <c r="D172" s="1894" t="s">
        <v>1920</v>
      </c>
      <c r="E172" s="879"/>
      <c r="F172" s="1879">
        <v>103997</v>
      </c>
      <c r="G172" s="900"/>
    </row>
    <row r="173" spans="1:7" ht="6" customHeight="1" x14ac:dyDescent="0.2">
      <c r="A173" s="900"/>
      <c r="B173" s="900"/>
      <c r="C173" s="922"/>
      <c r="D173" s="900"/>
      <c r="E173" s="879"/>
      <c r="F173" s="923"/>
      <c r="G173" s="920"/>
    </row>
    <row r="174" spans="1:7" x14ac:dyDescent="0.2">
      <c r="A174" s="1743"/>
      <c r="B174" s="1757"/>
      <c r="C174" s="1758"/>
      <c r="D174" s="1759" t="s">
        <v>2053</v>
      </c>
      <c r="E174" s="1760" t="s">
        <v>958</v>
      </c>
      <c r="F174" s="1761">
        <f>SUM(F84:F132,F157:F172)</f>
        <v>5187498</v>
      </c>
    </row>
    <row r="175" spans="1:7" ht="12" customHeight="1" x14ac:dyDescent="0.2">
      <c r="A175" s="1743"/>
      <c r="B175" s="1757"/>
      <c r="C175" s="1758"/>
      <c r="D175" s="1759" t="s">
        <v>2054</v>
      </c>
      <c r="E175" s="1760"/>
      <c r="F175" s="1762">
        <f>'PCTC-OEPP 27-28'!F77-F174</f>
        <v>22029505</v>
      </c>
    </row>
    <row r="176" spans="1:7" ht="12" customHeight="1" x14ac:dyDescent="0.2">
      <c r="A176" s="1743"/>
      <c r="B176" s="1757"/>
      <c r="C176" s="1758"/>
      <c r="D176" s="1759" t="s">
        <v>1814</v>
      </c>
      <c r="E176" s="1760"/>
      <c r="F176" s="1762">
        <f>'Cap Outlay Deprec 26'!I18</f>
        <v>1133433.3</v>
      </c>
    </row>
    <row r="177" spans="1:7" ht="12" customHeight="1" x14ac:dyDescent="0.2">
      <c r="A177" s="1743"/>
      <c r="B177" s="1757"/>
      <c r="C177" s="1758"/>
      <c r="D177" s="1759" t="s">
        <v>2055</v>
      </c>
      <c r="E177" s="1760"/>
      <c r="F177" s="1762">
        <f>F175+F176</f>
        <v>23162938.300000001</v>
      </c>
    </row>
    <row r="178" spans="1:7" ht="12" customHeight="1" x14ac:dyDescent="0.2">
      <c r="A178" s="1743"/>
      <c r="B178" s="1763"/>
      <c r="C178" s="1758"/>
      <c r="D178" s="1759" t="str">
        <f>D78</f>
        <v>9 Month ADA from District Average Daily Attendance/Prior General State Aid Inquiry 2018-2019</v>
      </c>
      <c r="E178" s="1760"/>
      <c r="F178" s="1764">
        <f>'PCTC-OEPP 27-28'!F78</f>
        <v>2446.6999999999998</v>
      </c>
      <c r="G178" s="903"/>
    </row>
    <row r="179" spans="1:7" ht="12" customHeight="1" thickBot="1" x14ac:dyDescent="0.25">
      <c r="A179" s="1743"/>
      <c r="B179" s="1763"/>
      <c r="C179" s="1758"/>
      <c r="D179" s="1759" t="s">
        <v>2056</v>
      </c>
      <c r="E179" s="1760" t="s">
        <v>1545</v>
      </c>
      <c r="F179" s="1765">
        <f>F177/F178</f>
        <v>9467.0120161850664</v>
      </c>
      <c r="G179" s="829">
        <v>6323</v>
      </c>
    </row>
    <row r="180" spans="1:7" ht="12" thickTop="1" x14ac:dyDescent="0.2">
      <c r="B180" s="903"/>
      <c r="C180" s="922"/>
      <c r="D180" s="903"/>
      <c r="E180" s="922"/>
      <c r="F180" s="903"/>
      <c r="G180" s="924">
        <v>6326</v>
      </c>
    </row>
    <row r="181" spans="1:7" ht="12.2" customHeight="1" x14ac:dyDescent="0.2">
      <c r="A181" s="903" t="s">
        <v>1918</v>
      </c>
      <c r="B181" s="903"/>
      <c r="C181" s="922"/>
      <c r="D181" s="903"/>
      <c r="E181" s="922"/>
      <c r="F181" s="903"/>
      <c r="G181" s="903"/>
    </row>
    <row r="182" spans="1:7" s="1895" customFormat="1" ht="12.2" customHeight="1" x14ac:dyDescent="0.2">
      <c r="A182" s="1895" t="s">
        <v>1991</v>
      </c>
      <c r="B182" s="1896"/>
      <c r="C182" s="1897"/>
      <c r="D182" s="1896"/>
      <c r="E182" s="1897"/>
      <c r="F182" s="1896"/>
      <c r="G182" s="1896"/>
    </row>
    <row r="183" spans="1:7" s="1895" customFormat="1" ht="12.2" customHeight="1" x14ac:dyDescent="0.2">
      <c r="A183" s="1898" t="s">
        <v>1993</v>
      </c>
      <c r="C183" s="1897"/>
      <c r="D183" s="1896"/>
      <c r="E183" s="1897"/>
      <c r="F183" s="1896"/>
      <c r="G183" s="1896"/>
    </row>
    <row r="184" spans="1:7" ht="12" customHeight="1" x14ac:dyDescent="0.2">
      <c r="C184" s="922"/>
      <c r="D184" s="903"/>
      <c r="E184" s="922"/>
      <c r="F184" s="903"/>
      <c r="G184" s="903"/>
    </row>
    <row r="185" spans="1:7" x14ac:dyDescent="0.2">
      <c r="A185" s="1899" t="s">
        <v>1922</v>
      </c>
      <c r="B185" s="1900" t="s">
        <v>1921</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9"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view="pageBreakPreview" topLeftCell="A13" zoomScaleNormal="100" zoomScaleSheetLayoutView="100" workbookViewId="0">
      <selection activeCell="D28" sqref="D28"/>
    </sheetView>
  </sheetViews>
  <sheetFormatPr defaultColWidth="9.140625" defaultRowHeight="15" x14ac:dyDescent="0.25"/>
  <cols>
    <col min="1" max="1" width="52" style="1515" customWidth="1"/>
    <col min="2" max="2" width="16.42578125" style="1516" bestFit="1" customWidth="1"/>
    <col min="3" max="3" width="33.7109375" style="1516" customWidth="1"/>
    <col min="4" max="4" width="16.28515625" style="1517" customWidth="1"/>
    <col min="5" max="5" width="30" style="1517" hidden="1" customWidth="1"/>
    <col min="6" max="6" width="23.5703125" style="1517" customWidth="1"/>
    <col min="7" max="7" width="23.28515625" style="1516" customWidth="1"/>
    <col min="8" max="16384" width="9.140625" style="1506"/>
  </cols>
  <sheetData>
    <row r="1" spans="1:7" ht="15" customHeight="1" x14ac:dyDescent="0.25">
      <c r="A1" s="1632" t="s">
        <v>1829</v>
      </c>
      <c r="B1" s="1633"/>
      <c r="C1" s="1633"/>
      <c r="D1" s="1633"/>
      <c r="E1" s="1633"/>
      <c r="F1" s="1633"/>
      <c r="G1" s="1633"/>
    </row>
    <row r="2" spans="1:7" x14ac:dyDescent="0.25">
      <c r="A2" s="1630"/>
      <c r="B2" s="1630"/>
      <c r="C2" s="1631" t="s">
        <v>979</v>
      </c>
      <c r="D2" s="1630"/>
      <c r="E2" s="1630"/>
      <c r="F2" s="1630"/>
      <c r="G2" s="1630"/>
    </row>
    <row r="3" spans="1:7" ht="5.25" customHeight="1" x14ac:dyDescent="0.25">
      <c r="A3" s="1518"/>
      <c r="B3" s="1518"/>
      <c r="C3" s="1518"/>
      <c r="D3" s="1518"/>
      <c r="E3" s="1518"/>
      <c r="F3" s="1518"/>
      <c r="G3" s="1518"/>
    </row>
    <row r="4" spans="1:7" ht="18.75" customHeight="1" x14ac:dyDescent="0.25">
      <c r="A4" s="2347" t="s">
        <v>1815</v>
      </c>
      <c r="B4" s="2348"/>
      <c r="C4" s="2348"/>
      <c r="D4" s="2348"/>
      <c r="E4" s="2348"/>
      <c r="F4" s="2348"/>
      <c r="G4" s="2349"/>
    </row>
    <row r="5" spans="1:7" x14ac:dyDescent="0.25">
      <c r="A5" s="2350"/>
      <c r="B5" s="2351"/>
      <c r="C5" s="2351"/>
      <c r="D5" s="2351"/>
      <c r="E5" s="2351"/>
      <c r="F5" s="2351"/>
      <c r="G5" s="2352"/>
    </row>
    <row r="6" spans="1:7" ht="18.75" x14ac:dyDescent="0.25">
      <c r="A6" s="1507" t="s">
        <v>1816</v>
      </c>
      <c r="B6" s="1508"/>
      <c r="C6" s="1508"/>
      <c r="D6" s="1508"/>
      <c r="E6" s="1508"/>
      <c r="F6" s="1508"/>
      <c r="G6" s="1509"/>
    </row>
    <row r="7" spans="1:7" ht="30.75" customHeight="1" x14ac:dyDescent="0.25">
      <c r="A7" s="2353" t="s">
        <v>1929</v>
      </c>
      <c r="B7" s="2354"/>
      <c r="C7" s="2354"/>
      <c r="D7" s="2354"/>
      <c r="E7" s="2354"/>
      <c r="F7" s="2354"/>
      <c r="G7" s="2355"/>
    </row>
    <row r="8" spans="1:7" ht="15.75" customHeight="1" x14ac:dyDescent="0.25">
      <c r="A8" s="2356" t="s">
        <v>1904</v>
      </c>
      <c r="B8" s="2357"/>
      <c r="C8" s="2357"/>
      <c r="D8" s="2357"/>
      <c r="E8" s="2357"/>
      <c r="F8" s="2357"/>
      <c r="G8" s="2358"/>
    </row>
    <row r="9" spans="1:7" ht="35.25" customHeight="1" x14ac:dyDescent="0.25">
      <c r="A9" s="2353" t="s">
        <v>1932</v>
      </c>
      <c r="B9" s="2354"/>
      <c r="C9" s="2354"/>
      <c r="D9" s="2354"/>
      <c r="E9" s="2354"/>
      <c r="F9" s="2354"/>
      <c r="G9" s="2355"/>
    </row>
    <row r="10" spans="1:7" ht="15" customHeight="1" x14ac:dyDescent="0.25">
      <c r="A10" s="1510" t="s">
        <v>1817</v>
      </c>
      <c r="B10" s="1511"/>
      <c r="C10" s="1511"/>
      <c r="D10" s="1511"/>
      <c r="E10" s="1511"/>
      <c r="F10" s="1511"/>
      <c r="G10" s="1512"/>
    </row>
    <row r="11" spans="1:7" ht="17.25" customHeight="1" x14ac:dyDescent="0.25">
      <c r="A11" s="2353" t="s">
        <v>1931</v>
      </c>
      <c r="B11" s="2354"/>
      <c r="C11" s="2354"/>
      <c r="D11" s="2354"/>
      <c r="E11" s="2354"/>
      <c r="F11" s="2354"/>
      <c r="G11" s="2355"/>
    </row>
    <row r="12" spans="1:7" ht="15" customHeight="1" x14ac:dyDescent="0.25">
      <c r="A12" s="1510" t="s">
        <v>1822</v>
      </c>
      <c r="B12" s="1511"/>
      <c r="C12" s="1511"/>
      <c r="D12" s="1511"/>
      <c r="E12" s="1511"/>
      <c r="F12" s="1511"/>
      <c r="G12" s="1512"/>
    </row>
    <row r="13" spans="1:7" ht="32.25" customHeight="1" x14ac:dyDescent="0.25">
      <c r="A13" s="2344" t="s">
        <v>1973</v>
      </c>
      <c r="B13" s="2345"/>
      <c r="C13" s="2345"/>
      <c r="D13" s="2345"/>
      <c r="E13" s="2345"/>
      <c r="F13" s="2345"/>
      <c r="G13" s="2346"/>
    </row>
    <row r="14" spans="1:7" x14ac:dyDescent="0.25">
      <c r="A14" s="1634" t="s">
        <v>1830</v>
      </c>
      <c r="B14" s="1635"/>
      <c r="C14" s="1635"/>
      <c r="D14" s="1635"/>
      <c r="E14" s="1635"/>
      <c r="F14" s="1635"/>
      <c r="G14" s="1636"/>
    </row>
    <row r="15" spans="1:7" ht="61.5" customHeight="1" x14ac:dyDescent="0.25">
      <c r="A15" s="1519" t="s">
        <v>1823</v>
      </c>
      <c r="B15" s="1519" t="s">
        <v>1824</v>
      </c>
      <c r="C15" s="1519" t="s">
        <v>1825</v>
      </c>
      <c r="D15" s="1520" t="s">
        <v>1826</v>
      </c>
      <c r="E15" s="1520" t="s">
        <v>1818</v>
      </c>
      <c r="F15" s="1520" t="s">
        <v>1827</v>
      </c>
      <c r="G15" s="1520" t="s">
        <v>1828</v>
      </c>
    </row>
    <row r="16" spans="1:7" x14ac:dyDescent="0.25">
      <c r="A16" s="1621" t="s">
        <v>1831</v>
      </c>
      <c r="B16" s="1622" t="s">
        <v>1821</v>
      </c>
      <c r="C16" s="1623" t="s">
        <v>1819</v>
      </c>
      <c r="D16" s="1624">
        <v>500000</v>
      </c>
      <c r="E16" s="1624">
        <f>IF(D16&lt;=25000,D16,IF(D16&gt;25000,25000,0))</f>
        <v>25000</v>
      </c>
      <c r="F16" s="162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5">
        <f>IF(F16=0,"0",D16-F16)</f>
        <v>475000</v>
      </c>
    </row>
    <row r="17" spans="1:8" x14ac:dyDescent="0.25">
      <c r="A17" s="1903" t="s">
        <v>2169</v>
      </c>
      <c r="B17" s="1908" t="s">
        <v>2170</v>
      </c>
      <c r="C17" s="1629" t="s">
        <v>2171</v>
      </c>
      <c r="D17" s="1817">
        <v>345047</v>
      </c>
      <c r="E17" s="1513">
        <f t="shared" ref="E17:E141" si="0">IF(D17&lt;=25000,D17,IF(D17&gt;25000,25000,0))</f>
        <v>25000</v>
      </c>
      <c r="F17" s="1906">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6">
        <f>IF(F17=0,0,D17-F17)</f>
        <v>320047</v>
      </c>
      <c r="H17" s="1620"/>
    </row>
    <row r="18" spans="1:8" x14ac:dyDescent="0.25">
      <c r="A18" s="1626" t="s">
        <v>2172</v>
      </c>
      <c r="B18" s="1908" t="s">
        <v>2173</v>
      </c>
      <c r="C18" s="1629" t="s">
        <v>2174</v>
      </c>
      <c r="D18" s="1817">
        <v>545539</v>
      </c>
      <c r="E18" s="1513">
        <f t="shared" ref="E18:E140" si="2">IF(D18&lt;=25000,D18,IF(D18&gt;25000,25000,0))</f>
        <v>25000</v>
      </c>
      <c r="F18" s="1906">
        <f t="shared" si="1"/>
        <v>25000</v>
      </c>
      <c r="G18" s="1766">
        <f t="shared" ref="G18:G140" si="3">IF(F18=0,0,D18-F18)</f>
        <v>520539</v>
      </c>
    </row>
    <row r="19" spans="1:8" x14ac:dyDescent="0.25">
      <c r="A19" s="1626" t="s">
        <v>2175</v>
      </c>
      <c r="B19" s="2017" t="s">
        <v>2209</v>
      </c>
      <c r="C19" s="1629" t="s">
        <v>2176</v>
      </c>
      <c r="D19" s="1817">
        <v>53794</v>
      </c>
      <c r="E19" s="1513">
        <f t="shared" si="2"/>
        <v>25000</v>
      </c>
      <c r="F19" s="1906">
        <f t="shared" si="1"/>
        <v>25000</v>
      </c>
      <c r="G19" s="1766">
        <f t="shared" si="3"/>
        <v>28794</v>
      </c>
    </row>
    <row r="20" spans="1:8" ht="30" x14ac:dyDescent="0.25">
      <c r="A20" s="1626" t="s">
        <v>2177</v>
      </c>
      <c r="B20" s="2017" t="s">
        <v>2209</v>
      </c>
      <c r="C20" s="1629" t="s">
        <v>2178</v>
      </c>
      <c r="D20" s="1817">
        <v>61793</v>
      </c>
      <c r="E20" s="1513">
        <f t="shared" si="2"/>
        <v>25000</v>
      </c>
      <c r="F20" s="1906">
        <f t="shared" si="1"/>
        <v>25000</v>
      </c>
      <c r="G20" s="1766">
        <f t="shared" si="3"/>
        <v>36793</v>
      </c>
    </row>
    <row r="21" spans="1:8" x14ac:dyDescent="0.25">
      <c r="A21" s="1626" t="s">
        <v>2179</v>
      </c>
      <c r="B21" s="1908" t="s">
        <v>2180</v>
      </c>
      <c r="C21" s="1629" t="s">
        <v>2181</v>
      </c>
      <c r="D21" s="1817">
        <v>2384336</v>
      </c>
      <c r="E21" s="1513">
        <f t="shared" si="2"/>
        <v>25000</v>
      </c>
      <c r="F21" s="1906">
        <f t="shared" si="1"/>
        <v>25000</v>
      </c>
      <c r="G21" s="1766">
        <f t="shared" si="3"/>
        <v>2359336</v>
      </c>
    </row>
    <row r="22" spans="1:8" x14ac:dyDescent="0.25">
      <c r="A22" s="1626" t="s">
        <v>2182</v>
      </c>
      <c r="B22" s="2017" t="s">
        <v>2210</v>
      </c>
      <c r="C22" s="1629" t="s">
        <v>2183</v>
      </c>
      <c r="D22" s="1817">
        <v>62000</v>
      </c>
      <c r="E22" s="1513">
        <f t="shared" si="2"/>
        <v>25000</v>
      </c>
      <c r="F22" s="1906">
        <f t="shared" si="1"/>
        <v>25000</v>
      </c>
      <c r="G22" s="1766">
        <f t="shared" si="3"/>
        <v>37000</v>
      </c>
    </row>
    <row r="23" spans="1:8" x14ac:dyDescent="0.25">
      <c r="A23" s="1626" t="s">
        <v>2169</v>
      </c>
      <c r="B23" s="1908" t="s">
        <v>2170</v>
      </c>
      <c r="C23" s="1629" t="s">
        <v>2184</v>
      </c>
      <c r="D23" s="1817">
        <v>109888</v>
      </c>
      <c r="E23" s="1513">
        <f t="shared" si="2"/>
        <v>25000</v>
      </c>
      <c r="F23" s="1906">
        <f t="shared" si="1"/>
        <v>25000</v>
      </c>
      <c r="G23" s="1766">
        <f t="shared" si="3"/>
        <v>84888</v>
      </c>
    </row>
    <row r="24" spans="1:8" x14ac:dyDescent="0.25">
      <c r="A24" s="1626" t="s">
        <v>2185</v>
      </c>
      <c r="B24" s="1908" t="s">
        <v>2186</v>
      </c>
      <c r="C24" s="1629" t="s">
        <v>2187</v>
      </c>
      <c r="D24" s="1817">
        <v>39641</v>
      </c>
      <c r="E24" s="1513">
        <f t="shared" si="2"/>
        <v>25000</v>
      </c>
      <c r="F24" s="1906">
        <f t="shared" si="1"/>
        <v>25000</v>
      </c>
      <c r="G24" s="1766">
        <f t="shared" si="3"/>
        <v>14641</v>
      </c>
    </row>
    <row r="25" spans="1:8" x14ac:dyDescent="0.25">
      <c r="A25" s="1626" t="s">
        <v>2169</v>
      </c>
      <c r="B25" s="1908" t="s">
        <v>2170</v>
      </c>
      <c r="C25" s="1629" t="s">
        <v>2188</v>
      </c>
      <c r="D25" s="1817">
        <v>61570</v>
      </c>
      <c r="E25" s="1513">
        <f t="shared" si="2"/>
        <v>25000</v>
      </c>
      <c r="F25" s="1906">
        <f t="shared" si="1"/>
        <v>25000</v>
      </c>
      <c r="G25" s="1766">
        <f t="shared" si="3"/>
        <v>36570</v>
      </c>
    </row>
    <row r="26" spans="1:8" x14ac:dyDescent="0.25">
      <c r="A26" s="1626" t="s">
        <v>2182</v>
      </c>
      <c r="B26" s="2017" t="s">
        <v>2210</v>
      </c>
      <c r="C26" s="1627" t="s">
        <v>2189</v>
      </c>
      <c r="D26" s="1817">
        <v>51458</v>
      </c>
      <c r="E26" s="1513">
        <f t="shared" si="2"/>
        <v>25000</v>
      </c>
      <c r="F26" s="1906">
        <f t="shared" si="1"/>
        <v>25000</v>
      </c>
      <c r="G26" s="1766">
        <f t="shared" si="3"/>
        <v>26458</v>
      </c>
    </row>
    <row r="27" spans="1:8" x14ac:dyDescent="0.25">
      <c r="A27" s="1626" t="s">
        <v>2185</v>
      </c>
      <c r="B27" s="1908" t="s">
        <v>2186</v>
      </c>
      <c r="C27" s="1627" t="s">
        <v>2190</v>
      </c>
      <c r="D27" s="1817">
        <v>41814</v>
      </c>
      <c r="E27" s="1513">
        <f t="shared" si="2"/>
        <v>25000</v>
      </c>
      <c r="F27" s="1906">
        <f t="shared" si="1"/>
        <v>25000</v>
      </c>
      <c r="G27" s="1766">
        <f t="shared" si="3"/>
        <v>16814</v>
      </c>
    </row>
    <row r="28" spans="1:8" x14ac:dyDescent="0.25">
      <c r="A28" s="1626" t="s">
        <v>2179</v>
      </c>
      <c r="B28" s="1908" t="s">
        <v>2180</v>
      </c>
      <c r="C28" s="1627" t="s">
        <v>2191</v>
      </c>
      <c r="D28" s="1817">
        <v>41125</v>
      </c>
      <c r="E28" s="1513">
        <f t="shared" si="2"/>
        <v>25000</v>
      </c>
      <c r="F28" s="1906">
        <f t="shared" si="1"/>
        <v>25000</v>
      </c>
      <c r="G28" s="1766">
        <f t="shared" si="3"/>
        <v>16125</v>
      </c>
    </row>
    <row r="29" spans="1:8" x14ac:dyDescent="0.25">
      <c r="A29" s="1626"/>
      <c r="B29" s="1908"/>
      <c r="C29" s="1627"/>
      <c r="D29" s="1817"/>
      <c r="E29" s="1513">
        <f t="shared" si="2"/>
        <v>0</v>
      </c>
      <c r="F29" s="1906">
        <f t="shared" si="1"/>
        <v>0</v>
      </c>
      <c r="G29" s="1766">
        <f t="shared" si="3"/>
        <v>0</v>
      </c>
    </row>
    <row r="30" spans="1:8" x14ac:dyDescent="0.25">
      <c r="A30" s="1626"/>
      <c r="B30" s="1908"/>
      <c r="C30" s="1627"/>
      <c r="D30" s="1817"/>
      <c r="E30" s="1513">
        <f t="shared" si="2"/>
        <v>0</v>
      </c>
      <c r="F30" s="1906">
        <f t="shared" si="1"/>
        <v>0</v>
      </c>
      <c r="G30" s="1766">
        <f t="shared" si="3"/>
        <v>0</v>
      </c>
    </row>
    <row r="31" spans="1:8" x14ac:dyDescent="0.25">
      <c r="A31" s="1626"/>
      <c r="B31" s="1908"/>
      <c r="C31" s="1627"/>
      <c r="D31" s="1817"/>
      <c r="E31" s="1513">
        <f t="shared" si="2"/>
        <v>0</v>
      </c>
      <c r="F31" s="1906">
        <f t="shared" si="1"/>
        <v>0</v>
      </c>
      <c r="G31" s="1766">
        <f t="shared" si="3"/>
        <v>0</v>
      </c>
    </row>
    <row r="32" spans="1:8" x14ac:dyDescent="0.25">
      <c r="A32" s="1626"/>
      <c r="B32" s="1908"/>
      <c r="C32" s="1627"/>
      <c r="D32" s="1817"/>
      <c r="E32" s="1513">
        <f t="shared" si="2"/>
        <v>0</v>
      </c>
      <c r="F32" s="1906">
        <f t="shared" si="1"/>
        <v>0</v>
      </c>
      <c r="G32" s="1766">
        <f t="shared" si="3"/>
        <v>0</v>
      </c>
    </row>
    <row r="33" spans="1:7" x14ac:dyDescent="0.25">
      <c r="A33" s="1626"/>
      <c r="B33" s="1908"/>
      <c r="C33" s="1627"/>
      <c r="D33" s="1817"/>
      <c r="E33" s="1513">
        <f t="shared" si="2"/>
        <v>0</v>
      </c>
      <c r="F33" s="1906">
        <f t="shared" si="1"/>
        <v>0</v>
      </c>
      <c r="G33" s="1766">
        <f t="shared" si="3"/>
        <v>0</v>
      </c>
    </row>
    <row r="34" spans="1:7" x14ac:dyDescent="0.25">
      <c r="A34" s="1626"/>
      <c r="B34" s="1908"/>
      <c r="C34" s="1627"/>
      <c r="D34" s="1817"/>
      <c r="E34" s="1513">
        <f t="shared" si="2"/>
        <v>0</v>
      </c>
      <c r="F34" s="1906">
        <f t="shared" si="1"/>
        <v>0</v>
      </c>
      <c r="G34" s="1766">
        <f t="shared" si="3"/>
        <v>0</v>
      </c>
    </row>
    <row r="35" spans="1:7" x14ac:dyDescent="0.25">
      <c r="A35" s="1626"/>
      <c r="B35" s="1908"/>
      <c r="C35" s="1627"/>
      <c r="D35" s="1817"/>
      <c r="E35" s="1513">
        <f t="shared" si="2"/>
        <v>0</v>
      </c>
      <c r="F35" s="1906">
        <f t="shared" si="1"/>
        <v>0</v>
      </c>
      <c r="G35" s="1766">
        <f t="shared" si="3"/>
        <v>0</v>
      </c>
    </row>
    <row r="36" spans="1:7" x14ac:dyDescent="0.25">
      <c r="A36" s="1626"/>
      <c r="B36" s="1908"/>
      <c r="C36" s="1627"/>
      <c r="D36" s="1817"/>
      <c r="E36" s="1513">
        <f t="shared" si="2"/>
        <v>0</v>
      </c>
      <c r="F36" s="1906">
        <f t="shared" si="1"/>
        <v>0</v>
      </c>
      <c r="G36" s="1766">
        <f t="shared" si="3"/>
        <v>0</v>
      </c>
    </row>
    <row r="37" spans="1:7" x14ac:dyDescent="0.25">
      <c r="A37" s="1626"/>
      <c r="B37" s="1908"/>
      <c r="C37" s="1627"/>
      <c r="D37" s="1817"/>
      <c r="E37" s="1513">
        <f t="shared" si="2"/>
        <v>0</v>
      </c>
      <c r="F37" s="1906">
        <f t="shared" si="1"/>
        <v>0</v>
      </c>
      <c r="G37" s="1766">
        <f t="shared" si="3"/>
        <v>0</v>
      </c>
    </row>
    <row r="38" spans="1:7" x14ac:dyDescent="0.25">
      <c r="A38" s="1626"/>
      <c r="B38" s="1909"/>
      <c r="C38" s="1627"/>
      <c r="D38" s="1817"/>
      <c r="E38" s="1513">
        <f t="shared" si="2"/>
        <v>0</v>
      </c>
      <c r="F38" s="1906">
        <f t="shared" si="1"/>
        <v>0</v>
      </c>
      <c r="G38" s="1766">
        <f t="shared" si="3"/>
        <v>0</v>
      </c>
    </row>
    <row r="39" spans="1:7" x14ac:dyDescent="0.25">
      <c r="A39" s="1626"/>
      <c r="B39" s="1909"/>
      <c r="C39" s="1627"/>
      <c r="D39" s="1817"/>
      <c r="E39" s="1513">
        <f t="shared" si="2"/>
        <v>0</v>
      </c>
      <c r="F39" s="1906">
        <f t="shared" si="1"/>
        <v>0</v>
      </c>
      <c r="G39" s="1766">
        <f t="shared" si="3"/>
        <v>0</v>
      </c>
    </row>
    <row r="40" spans="1:7" x14ac:dyDescent="0.25">
      <c r="A40" s="1626"/>
      <c r="B40" s="1909"/>
      <c r="C40" s="1627"/>
      <c r="D40" s="1817"/>
      <c r="E40" s="1513">
        <f t="shared" si="2"/>
        <v>0</v>
      </c>
      <c r="F40" s="1906">
        <f t="shared" si="1"/>
        <v>0</v>
      </c>
      <c r="G40" s="1766">
        <f t="shared" si="3"/>
        <v>0</v>
      </c>
    </row>
    <row r="41" spans="1:7" x14ac:dyDescent="0.25">
      <c r="A41" s="1626"/>
      <c r="B41" s="1909"/>
      <c r="C41" s="1627"/>
      <c r="D41" s="1817"/>
      <c r="E41" s="1513">
        <f t="shared" si="2"/>
        <v>0</v>
      </c>
      <c r="F41" s="1906">
        <f t="shared" si="1"/>
        <v>0</v>
      </c>
      <c r="G41" s="1766">
        <f t="shared" si="3"/>
        <v>0</v>
      </c>
    </row>
    <row r="42" spans="1:7" x14ac:dyDescent="0.25">
      <c r="A42" s="1626"/>
      <c r="B42" s="1909"/>
      <c r="C42" s="1627"/>
      <c r="D42" s="1817"/>
      <c r="E42" s="1513">
        <f t="shared" si="2"/>
        <v>0</v>
      </c>
      <c r="F42" s="1906">
        <f t="shared" si="1"/>
        <v>0</v>
      </c>
      <c r="G42" s="1766">
        <f t="shared" si="3"/>
        <v>0</v>
      </c>
    </row>
    <row r="43" spans="1:7" x14ac:dyDescent="0.25">
      <c r="A43" s="1626"/>
      <c r="B43" s="1909"/>
      <c r="C43" s="1627"/>
      <c r="D43" s="1817"/>
      <c r="E43" s="1513">
        <f t="shared" si="2"/>
        <v>0</v>
      </c>
      <c r="F43" s="1906">
        <f t="shared" si="1"/>
        <v>0</v>
      </c>
      <c r="G43" s="1766">
        <f t="shared" si="3"/>
        <v>0</v>
      </c>
    </row>
    <row r="44" spans="1:7" x14ac:dyDescent="0.25">
      <c r="A44" s="1626"/>
      <c r="B44" s="1909"/>
      <c r="C44" s="1627"/>
      <c r="D44" s="1817"/>
      <c r="E44" s="1513">
        <f t="shared" si="2"/>
        <v>0</v>
      </c>
      <c r="F44" s="1906">
        <f t="shared" si="1"/>
        <v>0</v>
      </c>
      <c r="G44" s="1766">
        <f t="shared" si="3"/>
        <v>0</v>
      </c>
    </row>
    <row r="45" spans="1:7" x14ac:dyDescent="0.25">
      <c r="A45" s="1626"/>
      <c r="B45" s="1909"/>
      <c r="C45" s="1627"/>
      <c r="D45" s="1817"/>
      <c r="E45" s="1513">
        <f t="shared" si="2"/>
        <v>0</v>
      </c>
      <c r="F45" s="1906">
        <f t="shared" si="1"/>
        <v>0</v>
      </c>
      <c r="G45" s="1766">
        <f t="shared" si="3"/>
        <v>0</v>
      </c>
    </row>
    <row r="46" spans="1:7" x14ac:dyDescent="0.25">
      <c r="A46" s="1626"/>
      <c r="B46" s="1640"/>
      <c r="C46" s="1627"/>
      <c r="D46" s="1817"/>
      <c r="E46" s="1513">
        <f t="shared" si="2"/>
        <v>0</v>
      </c>
      <c r="F46" s="1906">
        <f t="shared" si="1"/>
        <v>0</v>
      </c>
      <c r="G46" s="1766">
        <f t="shared" si="3"/>
        <v>0</v>
      </c>
    </row>
    <row r="47" spans="1:7" x14ac:dyDescent="0.25">
      <c r="A47" s="1626"/>
      <c r="B47" s="1640"/>
      <c r="C47" s="1627"/>
      <c r="D47" s="1817"/>
      <c r="E47" s="1513">
        <f t="shared" si="2"/>
        <v>0</v>
      </c>
      <c r="F47" s="1906">
        <f t="shared" si="1"/>
        <v>0</v>
      </c>
      <c r="G47" s="1766">
        <f t="shared" si="3"/>
        <v>0</v>
      </c>
    </row>
    <row r="48" spans="1:7" x14ac:dyDescent="0.25">
      <c r="A48" s="1626"/>
      <c r="B48" s="1640"/>
      <c r="C48" s="1627"/>
      <c r="D48" s="1817"/>
      <c r="E48" s="1513">
        <f t="shared" si="2"/>
        <v>0</v>
      </c>
      <c r="F48" s="1906">
        <f t="shared" si="1"/>
        <v>0</v>
      </c>
      <c r="G48" s="1766">
        <f t="shared" si="3"/>
        <v>0</v>
      </c>
    </row>
    <row r="49" spans="1:7" x14ac:dyDescent="0.25">
      <c r="A49" s="1626"/>
      <c r="B49" s="1640"/>
      <c r="C49" s="1627"/>
      <c r="D49" s="1817"/>
      <c r="E49" s="1513">
        <f t="shared" si="2"/>
        <v>0</v>
      </c>
      <c r="F49" s="1906">
        <f t="shared" si="1"/>
        <v>0</v>
      </c>
      <c r="G49" s="1766">
        <f t="shared" si="3"/>
        <v>0</v>
      </c>
    </row>
    <row r="50" spans="1:7" x14ac:dyDescent="0.25">
      <c r="A50" s="1626"/>
      <c r="B50" s="1640"/>
      <c r="C50" s="1627"/>
      <c r="D50" s="1817"/>
      <c r="E50" s="1513">
        <f t="shared" si="2"/>
        <v>0</v>
      </c>
      <c r="F50" s="1906">
        <f t="shared" si="1"/>
        <v>0</v>
      </c>
      <c r="G50" s="1766">
        <f t="shared" si="3"/>
        <v>0</v>
      </c>
    </row>
    <row r="51" spans="1:7" x14ac:dyDescent="0.25">
      <c r="A51" s="1626"/>
      <c r="B51" s="1640"/>
      <c r="C51" s="1627"/>
      <c r="D51" s="1817"/>
      <c r="E51" s="1513">
        <f t="shared" si="2"/>
        <v>0</v>
      </c>
      <c r="F51" s="1906">
        <f t="shared" si="1"/>
        <v>0</v>
      </c>
      <c r="G51" s="1766">
        <f t="shared" si="3"/>
        <v>0</v>
      </c>
    </row>
    <row r="52" spans="1:7" x14ac:dyDescent="0.25">
      <c r="A52" s="1626"/>
      <c r="B52" s="1640"/>
      <c r="C52" s="1627"/>
      <c r="D52" s="1817"/>
      <c r="E52" s="1513">
        <f t="shared" si="2"/>
        <v>0</v>
      </c>
      <c r="F52" s="1906">
        <f t="shared" si="1"/>
        <v>0</v>
      </c>
      <c r="G52" s="1766">
        <f t="shared" si="3"/>
        <v>0</v>
      </c>
    </row>
    <row r="53" spans="1:7" x14ac:dyDescent="0.25">
      <c r="A53" s="1626"/>
      <c r="B53" s="1640"/>
      <c r="C53" s="1627"/>
      <c r="D53" s="1817"/>
      <c r="E53" s="1513">
        <f t="shared" si="2"/>
        <v>0</v>
      </c>
      <c r="F53" s="1906">
        <f t="shared" si="1"/>
        <v>0</v>
      </c>
      <c r="G53" s="1766">
        <f t="shared" si="3"/>
        <v>0</v>
      </c>
    </row>
    <row r="54" spans="1:7" x14ac:dyDescent="0.25">
      <c r="A54" s="1626"/>
      <c r="B54" s="1640"/>
      <c r="C54" s="1627"/>
      <c r="D54" s="1817"/>
      <c r="E54" s="1513">
        <f t="shared" si="2"/>
        <v>0</v>
      </c>
      <c r="F54" s="1906">
        <f t="shared" si="1"/>
        <v>0</v>
      </c>
      <c r="G54" s="1766">
        <f t="shared" si="3"/>
        <v>0</v>
      </c>
    </row>
    <row r="55" spans="1:7" x14ac:dyDescent="0.25">
      <c r="A55" s="1626"/>
      <c r="B55" s="1640"/>
      <c r="C55" s="1627"/>
      <c r="D55" s="1817"/>
      <c r="E55" s="1513">
        <f t="shared" si="2"/>
        <v>0</v>
      </c>
      <c r="F55" s="1906">
        <f t="shared" si="1"/>
        <v>0</v>
      </c>
      <c r="G55" s="1766">
        <f t="shared" si="3"/>
        <v>0</v>
      </c>
    </row>
    <row r="56" spans="1:7" x14ac:dyDescent="0.25">
      <c r="A56" s="1626"/>
      <c r="B56" s="1640"/>
      <c r="C56" s="1627"/>
      <c r="D56" s="1817"/>
      <c r="E56" s="1513">
        <f t="shared" si="2"/>
        <v>0</v>
      </c>
      <c r="F56" s="1906">
        <f t="shared" si="1"/>
        <v>0</v>
      </c>
      <c r="G56" s="1766">
        <f t="shared" si="3"/>
        <v>0</v>
      </c>
    </row>
    <row r="57" spans="1:7" x14ac:dyDescent="0.25">
      <c r="A57" s="1626"/>
      <c r="B57" s="1640"/>
      <c r="C57" s="1627"/>
      <c r="D57" s="1817"/>
      <c r="E57" s="1513">
        <f t="shared" si="2"/>
        <v>0</v>
      </c>
      <c r="F57" s="1906">
        <f t="shared" si="1"/>
        <v>0</v>
      </c>
      <c r="G57" s="1766">
        <f t="shared" si="3"/>
        <v>0</v>
      </c>
    </row>
    <row r="58" spans="1:7" x14ac:dyDescent="0.25">
      <c r="A58" s="1626"/>
      <c r="B58" s="1640"/>
      <c r="C58" s="1627"/>
      <c r="D58" s="1817"/>
      <c r="E58" s="1513">
        <f t="shared" si="2"/>
        <v>0</v>
      </c>
      <c r="F58" s="1906">
        <f t="shared" si="1"/>
        <v>0</v>
      </c>
      <c r="G58" s="1766">
        <f t="shared" si="3"/>
        <v>0</v>
      </c>
    </row>
    <row r="59" spans="1:7" x14ac:dyDescent="0.25">
      <c r="A59" s="1626"/>
      <c r="B59" s="1640"/>
      <c r="C59" s="1627"/>
      <c r="D59" s="1817"/>
      <c r="E59" s="1513">
        <f t="shared" si="2"/>
        <v>0</v>
      </c>
      <c r="F59" s="1906">
        <f t="shared" si="1"/>
        <v>0</v>
      </c>
      <c r="G59" s="1766">
        <f t="shared" si="3"/>
        <v>0</v>
      </c>
    </row>
    <row r="60" spans="1:7" x14ac:dyDescent="0.25">
      <c r="A60" s="1626"/>
      <c r="B60" s="1640"/>
      <c r="C60" s="1627"/>
      <c r="D60" s="1817"/>
      <c r="E60" s="1513">
        <f t="shared" si="2"/>
        <v>0</v>
      </c>
      <c r="F60" s="1906">
        <f t="shared" si="1"/>
        <v>0</v>
      </c>
      <c r="G60" s="1766">
        <f t="shared" si="3"/>
        <v>0</v>
      </c>
    </row>
    <row r="61" spans="1:7" x14ac:dyDescent="0.25">
      <c r="A61" s="1626"/>
      <c r="B61" s="1640"/>
      <c r="C61" s="1627"/>
      <c r="D61" s="1817"/>
      <c r="E61" s="1513">
        <f t="shared" si="2"/>
        <v>0</v>
      </c>
      <c r="F61" s="1906">
        <f t="shared" si="1"/>
        <v>0</v>
      </c>
      <c r="G61" s="1766">
        <f t="shared" si="3"/>
        <v>0</v>
      </c>
    </row>
    <row r="62" spans="1:7" x14ac:dyDescent="0.25">
      <c r="A62" s="1626"/>
      <c r="B62" s="1640"/>
      <c r="C62" s="1627"/>
      <c r="D62" s="1817"/>
      <c r="E62" s="1513">
        <f t="shared" si="2"/>
        <v>0</v>
      </c>
      <c r="F62" s="1906">
        <f t="shared" si="1"/>
        <v>0</v>
      </c>
      <c r="G62" s="1766">
        <f t="shared" si="3"/>
        <v>0</v>
      </c>
    </row>
    <row r="63" spans="1:7" x14ac:dyDescent="0.25">
      <c r="A63" s="1626"/>
      <c r="B63" s="1640"/>
      <c r="C63" s="1627"/>
      <c r="D63" s="1817"/>
      <c r="E63" s="1513">
        <f t="shared" si="2"/>
        <v>0</v>
      </c>
      <c r="F63" s="1906">
        <f t="shared" si="1"/>
        <v>0</v>
      </c>
      <c r="G63" s="1766">
        <f t="shared" si="3"/>
        <v>0</v>
      </c>
    </row>
    <row r="64" spans="1:7" x14ac:dyDescent="0.25">
      <c r="A64" s="1628"/>
      <c r="B64" s="1640"/>
      <c r="C64" s="1629"/>
      <c r="D64" s="1817"/>
      <c r="E64" s="1513">
        <f t="shared" si="2"/>
        <v>0</v>
      </c>
      <c r="F64" s="1906">
        <f t="shared" si="1"/>
        <v>0</v>
      </c>
      <c r="G64" s="1766">
        <f t="shared" si="3"/>
        <v>0</v>
      </c>
    </row>
    <row r="65" spans="1:7" x14ac:dyDescent="0.25">
      <c r="A65" s="1626"/>
      <c r="B65" s="1640"/>
      <c r="C65" s="1627"/>
      <c r="D65" s="1817"/>
      <c r="E65" s="1513">
        <f t="shared" si="2"/>
        <v>0</v>
      </c>
      <c r="F65" s="1906">
        <f t="shared" si="1"/>
        <v>0</v>
      </c>
      <c r="G65" s="1766">
        <f t="shared" si="3"/>
        <v>0</v>
      </c>
    </row>
    <row r="66" spans="1:7" x14ac:dyDescent="0.25">
      <c r="A66" s="1626"/>
      <c r="B66" s="1640"/>
      <c r="C66" s="1627"/>
      <c r="D66" s="1817"/>
      <c r="E66" s="1513">
        <f t="shared" si="2"/>
        <v>0</v>
      </c>
      <c r="F66" s="1906">
        <f t="shared" si="1"/>
        <v>0</v>
      </c>
      <c r="G66" s="1766">
        <f t="shared" si="3"/>
        <v>0</v>
      </c>
    </row>
    <row r="67" spans="1:7" x14ac:dyDescent="0.25">
      <c r="A67" s="1626"/>
      <c r="B67" s="1640"/>
      <c r="C67" s="1627"/>
      <c r="D67" s="1817"/>
      <c r="E67" s="1513">
        <f t="shared" si="2"/>
        <v>0</v>
      </c>
      <c r="F67" s="1906">
        <f t="shared" si="1"/>
        <v>0</v>
      </c>
      <c r="G67" s="1766">
        <f t="shared" si="3"/>
        <v>0</v>
      </c>
    </row>
    <row r="68" spans="1:7" x14ac:dyDescent="0.25">
      <c r="A68" s="1626"/>
      <c r="B68" s="1640"/>
      <c r="C68" s="1627"/>
      <c r="D68" s="1817"/>
      <c r="E68" s="1513">
        <f t="shared" si="2"/>
        <v>0</v>
      </c>
      <c r="F68" s="1906">
        <f t="shared" si="1"/>
        <v>0</v>
      </c>
      <c r="G68" s="1766">
        <f t="shared" si="3"/>
        <v>0</v>
      </c>
    </row>
    <row r="69" spans="1:7" x14ac:dyDescent="0.25">
      <c r="A69" s="1626"/>
      <c r="B69" s="1640"/>
      <c r="C69" s="1627"/>
      <c r="D69" s="1817"/>
      <c r="E69" s="1513">
        <f t="shared" si="2"/>
        <v>0</v>
      </c>
      <c r="F69" s="1906">
        <f t="shared" si="1"/>
        <v>0</v>
      </c>
      <c r="G69" s="1766">
        <f t="shared" si="3"/>
        <v>0</v>
      </c>
    </row>
    <row r="70" spans="1:7" x14ac:dyDescent="0.25">
      <c r="A70" s="1626"/>
      <c r="B70" s="1640"/>
      <c r="C70" s="1627"/>
      <c r="D70" s="1817"/>
      <c r="E70" s="1513">
        <f t="shared" si="2"/>
        <v>0</v>
      </c>
      <c r="F70" s="1906">
        <f t="shared" si="1"/>
        <v>0</v>
      </c>
      <c r="G70" s="1766">
        <f t="shared" si="3"/>
        <v>0</v>
      </c>
    </row>
    <row r="71" spans="1:7" x14ac:dyDescent="0.25">
      <c r="A71" s="1626"/>
      <c r="B71" s="1640"/>
      <c r="C71" s="1627"/>
      <c r="D71" s="1817"/>
      <c r="E71" s="1513">
        <f t="shared" si="2"/>
        <v>0</v>
      </c>
      <c r="F71" s="1906">
        <f t="shared" si="1"/>
        <v>0</v>
      </c>
      <c r="G71" s="1766">
        <f t="shared" si="3"/>
        <v>0</v>
      </c>
    </row>
    <row r="72" spans="1:7" x14ac:dyDescent="0.25">
      <c r="A72" s="1626"/>
      <c r="B72" s="1640"/>
      <c r="C72" s="1627"/>
      <c r="D72" s="1817"/>
      <c r="E72" s="1513">
        <f t="shared" si="2"/>
        <v>0</v>
      </c>
      <c r="F72" s="1906">
        <f t="shared" si="1"/>
        <v>0</v>
      </c>
      <c r="G72" s="1766">
        <f t="shared" si="3"/>
        <v>0</v>
      </c>
    </row>
    <row r="73" spans="1:7" x14ac:dyDescent="0.25">
      <c r="A73" s="1626"/>
      <c r="B73" s="1640"/>
      <c r="C73" s="1627"/>
      <c r="D73" s="1817"/>
      <c r="E73" s="1513">
        <f t="shared" ref="E73:E84" si="4">IF(D73&lt;=25000,D73,IF(D73&gt;25000,25000,0))</f>
        <v>0</v>
      </c>
      <c r="F73" s="1906">
        <f t="shared" si="1"/>
        <v>0</v>
      </c>
      <c r="G73" s="1766">
        <f t="shared" ref="G73:G84" si="5">IF(F73=0,0,D73-F73)</f>
        <v>0</v>
      </c>
    </row>
    <row r="74" spans="1:7" x14ac:dyDescent="0.25">
      <c r="A74" s="1626"/>
      <c r="B74" s="1640"/>
      <c r="C74" s="1627"/>
      <c r="D74" s="1817"/>
      <c r="E74" s="1513">
        <f t="shared" si="4"/>
        <v>0</v>
      </c>
      <c r="F74" s="1906">
        <f t="shared" si="1"/>
        <v>0</v>
      </c>
      <c r="G74" s="1766">
        <f t="shared" si="5"/>
        <v>0</v>
      </c>
    </row>
    <row r="75" spans="1:7" x14ac:dyDescent="0.25">
      <c r="A75" s="1626"/>
      <c r="B75" s="1640"/>
      <c r="C75" s="1627"/>
      <c r="D75" s="1817"/>
      <c r="E75" s="1513">
        <f t="shared" si="4"/>
        <v>0</v>
      </c>
      <c r="F75" s="1906">
        <f t="shared" si="1"/>
        <v>0</v>
      </c>
      <c r="G75" s="1766">
        <f t="shared" si="5"/>
        <v>0</v>
      </c>
    </row>
    <row r="76" spans="1:7" x14ac:dyDescent="0.25">
      <c r="A76" s="1626"/>
      <c r="B76" s="1640"/>
      <c r="C76" s="1627"/>
      <c r="D76" s="1817"/>
      <c r="E76" s="1513">
        <f t="shared" si="4"/>
        <v>0</v>
      </c>
      <c r="F76" s="1906">
        <f t="shared" si="1"/>
        <v>0</v>
      </c>
      <c r="G76" s="1766">
        <f t="shared" si="5"/>
        <v>0</v>
      </c>
    </row>
    <row r="77" spans="1:7" x14ac:dyDescent="0.25">
      <c r="A77" s="1626"/>
      <c r="B77" s="1640"/>
      <c r="C77" s="1627"/>
      <c r="D77" s="1817"/>
      <c r="E77" s="1513">
        <f t="shared" si="4"/>
        <v>0</v>
      </c>
      <c r="F77" s="1906">
        <f t="shared" si="1"/>
        <v>0</v>
      </c>
      <c r="G77" s="1766">
        <f t="shared" si="5"/>
        <v>0</v>
      </c>
    </row>
    <row r="78" spans="1:7" x14ac:dyDescent="0.25">
      <c r="A78" s="1626"/>
      <c r="B78" s="1640"/>
      <c r="C78" s="1627"/>
      <c r="D78" s="1817"/>
      <c r="E78" s="1513">
        <f t="shared" si="4"/>
        <v>0</v>
      </c>
      <c r="F78" s="1906">
        <f t="shared" si="1"/>
        <v>0</v>
      </c>
      <c r="G78" s="1766">
        <f t="shared" si="5"/>
        <v>0</v>
      </c>
    </row>
    <row r="79" spans="1:7" x14ac:dyDescent="0.25">
      <c r="A79" s="1626"/>
      <c r="B79" s="1640"/>
      <c r="C79" s="1627"/>
      <c r="D79" s="1817"/>
      <c r="E79" s="1513">
        <f t="shared" si="4"/>
        <v>0</v>
      </c>
      <c r="F79" s="1906">
        <f t="shared" si="1"/>
        <v>0</v>
      </c>
      <c r="G79" s="1766">
        <f t="shared" si="5"/>
        <v>0</v>
      </c>
    </row>
    <row r="80" spans="1:7" x14ac:dyDescent="0.25">
      <c r="A80" s="1626"/>
      <c r="B80" s="1640"/>
      <c r="C80" s="1627"/>
      <c r="D80" s="1817"/>
      <c r="E80" s="1513">
        <f t="shared" si="4"/>
        <v>0</v>
      </c>
      <c r="F80" s="1906">
        <f t="shared" si="1"/>
        <v>0</v>
      </c>
      <c r="G80" s="1766">
        <f t="shared" si="5"/>
        <v>0</v>
      </c>
    </row>
    <row r="81" spans="1:7" x14ac:dyDescent="0.25">
      <c r="A81" s="1626"/>
      <c r="B81" s="1640"/>
      <c r="C81" s="1627"/>
      <c r="D81" s="1817"/>
      <c r="E81" s="1513">
        <f t="shared" si="4"/>
        <v>0</v>
      </c>
      <c r="F81" s="1906">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6">
        <f t="shared" si="5"/>
        <v>0</v>
      </c>
    </row>
    <row r="82" spans="1:7" x14ac:dyDescent="0.25">
      <c r="A82" s="1626"/>
      <c r="B82" s="1640"/>
      <c r="C82" s="1627"/>
      <c r="D82" s="1817"/>
      <c r="E82" s="1513">
        <f t="shared" si="4"/>
        <v>0</v>
      </c>
      <c r="F82" s="1906">
        <f t="shared" si="6"/>
        <v>0</v>
      </c>
      <c r="G82" s="1766">
        <f t="shared" si="5"/>
        <v>0</v>
      </c>
    </row>
    <row r="83" spans="1:7" x14ac:dyDescent="0.25">
      <c r="A83" s="1626"/>
      <c r="B83" s="1640"/>
      <c r="C83" s="1627"/>
      <c r="D83" s="1817"/>
      <c r="E83" s="1513">
        <f t="shared" si="4"/>
        <v>0</v>
      </c>
      <c r="F83" s="1906">
        <f t="shared" si="6"/>
        <v>0</v>
      </c>
      <c r="G83" s="1766">
        <f t="shared" si="5"/>
        <v>0</v>
      </c>
    </row>
    <row r="84" spans="1:7" x14ac:dyDescent="0.25">
      <c r="A84" s="1626"/>
      <c r="B84" s="1640"/>
      <c r="C84" s="1627"/>
      <c r="D84" s="1817"/>
      <c r="E84" s="1513">
        <f t="shared" si="4"/>
        <v>0</v>
      </c>
      <c r="F84" s="1906">
        <f t="shared" si="6"/>
        <v>0</v>
      </c>
      <c r="G84" s="1766">
        <f t="shared" si="5"/>
        <v>0</v>
      </c>
    </row>
    <row r="85" spans="1:7" x14ac:dyDescent="0.25">
      <c r="A85" s="1626"/>
      <c r="B85" s="1640"/>
      <c r="C85" s="1627"/>
      <c r="D85" s="1817"/>
      <c r="E85" s="1513">
        <f t="shared" si="2"/>
        <v>0</v>
      </c>
      <c r="F85" s="1906">
        <f t="shared" si="6"/>
        <v>0</v>
      </c>
      <c r="G85" s="1766">
        <f t="shared" si="3"/>
        <v>0</v>
      </c>
    </row>
    <row r="86" spans="1:7" x14ac:dyDescent="0.25">
      <c r="A86" s="1626"/>
      <c r="B86" s="1640"/>
      <c r="C86" s="1627"/>
      <c r="D86" s="1817"/>
      <c r="E86" s="1513">
        <f t="shared" si="2"/>
        <v>0</v>
      </c>
      <c r="F86" s="1906">
        <f t="shared" si="6"/>
        <v>0</v>
      </c>
      <c r="G86" s="1766">
        <f t="shared" si="3"/>
        <v>0</v>
      </c>
    </row>
    <row r="87" spans="1:7" x14ac:dyDescent="0.25">
      <c r="A87" s="1626"/>
      <c r="B87" s="1640"/>
      <c r="C87" s="1627"/>
      <c r="D87" s="1817"/>
      <c r="E87" s="1513">
        <f t="shared" si="2"/>
        <v>0</v>
      </c>
      <c r="F87" s="1906">
        <f t="shared" si="6"/>
        <v>0</v>
      </c>
      <c r="G87" s="1766">
        <f t="shared" si="3"/>
        <v>0</v>
      </c>
    </row>
    <row r="88" spans="1:7" x14ac:dyDescent="0.25">
      <c r="A88" s="1626"/>
      <c r="B88" s="1640"/>
      <c r="C88" s="1627"/>
      <c r="D88" s="1817"/>
      <c r="E88" s="1513">
        <f t="shared" si="2"/>
        <v>0</v>
      </c>
      <c r="F88" s="1906">
        <f t="shared" si="6"/>
        <v>0</v>
      </c>
      <c r="G88" s="1766">
        <f t="shared" si="3"/>
        <v>0</v>
      </c>
    </row>
    <row r="89" spans="1:7" x14ac:dyDescent="0.25">
      <c r="A89" s="1626"/>
      <c r="B89" s="1640"/>
      <c r="C89" s="1627"/>
      <c r="D89" s="1817"/>
      <c r="E89" s="1513">
        <f t="shared" si="2"/>
        <v>0</v>
      </c>
      <c r="F89" s="1906">
        <f t="shared" si="6"/>
        <v>0</v>
      </c>
      <c r="G89" s="1766">
        <f t="shared" si="3"/>
        <v>0</v>
      </c>
    </row>
    <row r="90" spans="1:7" x14ac:dyDescent="0.25">
      <c r="A90" s="1626"/>
      <c r="B90" s="1640"/>
      <c r="C90" s="1627"/>
      <c r="D90" s="1817"/>
      <c r="E90" s="1513">
        <f t="shared" si="2"/>
        <v>0</v>
      </c>
      <c r="F90" s="1906">
        <f t="shared" si="6"/>
        <v>0</v>
      </c>
      <c r="G90" s="1766">
        <f t="shared" si="3"/>
        <v>0</v>
      </c>
    </row>
    <row r="91" spans="1:7" x14ac:dyDescent="0.25">
      <c r="A91" s="1626"/>
      <c r="B91" s="1640"/>
      <c r="C91" s="1627"/>
      <c r="D91" s="1817"/>
      <c r="E91" s="1513">
        <f t="shared" si="2"/>
        <v>0</v>
      </c>
      <c r="F91" s="1906">
        <f t="shared" si="6"/>
        <v>0</v>
      </c>
      <c r="G91" s="1766">
        <f t="shared" si="3"/>
        <v>0</v>
      </c>
    </row>
    <row r="92" spans="1:7" x14ac:dyDescent="0.25">
      <c r="A92" s="1626"/>
      <c r="B92" s="1640"/>
      <c r="C92" s="1627"/>
      <c r="D92" s="1817"/>
      <c r="E92" s="1513">
        <f t="shared" si="2"/>
        <v>0</v>
      </c>
      <c r="F92" s="1906">
        <f t="shared" si="6"/>
        <v>0</v>
      </c>
      <c r="G92" s="1766">
        <f t="shared" si="3"/>
        <v>0</v>
      </c>
    </row>
    <row r="93" spans="1:7" x14ac:dyDescent="0.25">
      <c r="A93" s="1626"/>
      <c r="B93" s="1640"/>
      <c r="C93" s="1627"/>
      <c r="D93" s="1817"/>
      <c r="E93" s="1513">
        <f t="shared" ref="E93" si="7">IF(D93&lt;=25000,D93,IF(D93&gt;25000,25000,0))</f>
        <v>0</v>
      </c>
      <c r="F93" s="1906">
        <f t="shared" si="6"/>
        <v>0</v>
      </c>
      <c r="G93" s="1766">
        <f t="shared" ref="G93" si="8">IF(F93=0,0,D93-F93)</f>
        <v>0</v>
      </c>
    </row>
    <row r="94" spans="1:7" x14ac:dyDescent="0.25">
      <c r="A94" s="1626"/>
      <c r="B94" s="1640"/>
      <c r="C94" s="1627"/>
      <c r="D94" s="1817"/>
      <c r="E94" s="1513">
        <f t="shared" si="2"/>
        <v>0</v>
      </c>
      <c r="F94" s="1906">
        <f t="shared" si="6"/>
        <v>0</v>
      </c>
      <c r="G94" s="1766">
        <f t="shared" si="3"/>
        <v>0</v>
      </c>
    </row>
    <row r="95" spans="1:7" x14ac:dyDescent="0.25">
      <c r="A95" s="1626"/>
      <c r="B95" s="1640"/>
      <c r="C95" s="1627"/>
      <c r="D95" s="1817"/>
      <c r="E95" s="1513">
        <f t="shared" ref="E95:E98" si="9">IF(D95&lt;=25000,D95,IF(D95&gt;25000,25000,0))</f>
        <v>0</v>
      </c>
      <c r="F95" s="1906">
        <f t="shared" si="6"/>
        <v>0</v>
      </c>
      <c r="G95" s="1766">
        <f t="shared" ref="G95:G98" si="10">IF(F95=0,0,D95-F95)</f>
        <v>0</v>
      </c>
    </row>
    <row r="96" spans="1:7" x14ac:dyDescent="0.25">
      <c r="A96" s="1626"/>
      <c r="B96" s="1640"/>
      <c r="C96" s="1627"/>
      <c r="D96" s="1817"/>
      <c r="E96" s="1513">
        <f t="shared" si="9"/>
        <v>0</v>
      </c>
      <c r="F96" s="1906">
        <f t="shared" si="6"/>
        <v>0</v>
      </c>
      <c r="G96" s="1766">
        <f t="shared" si="10"/>
        <v>0</v>
      </c>
    </row>
    <row r="97" spans="1:7" x14ac:dyDescent="0.25">
      <c r="A97" s="1626"/>
      <c r="B97" s="1640"/>
      <c r="C97" s="1627"/>
      <c r="D97" s="1817"/>
      <c r="E97" s="1513">
        <f t="shared" si="9"/>
        <v>0</v>
      </c>
      <c r="F97" s="1906">
        <f t="shared" si="6"/>
        <v>0</v>
      </c>
      <c r="G97" s="1766">
        <f t="shared" si="10"/>
        <v>0</v>
      </c>
    </row>
    <row r="98" spans="1:7" x14ac:dyDescent="0.25">
      <c r="A98" s="1626"/>
      <c r="B98" s="1640"/>
      <c r="C98" s="1627"/>
      <c r="D98" s="1817"/>
      <c r="E98" s="1513">
        <f t="shared" si="9"/>
        <v>0</v>
      </c>
      <c r="F98" s="1906">
        <f t="shared" si="6"/>
        <v>0</v>
      </c>
      <c r="G98" s="1766">
        <f t="shared" si="10"/>
        <v>0</v>
      </c>
    </row>
    <row r="99" spans="1:7" x14ac:dyDescent="0.25">
      <c r="A99" s="1626"/>
      <c r="B99" s="1640"/>
      <c r="C99" s="1627"/>
      <c r="D99" s="1817"/>
      <c r="E99" s="1513">
        <f t="shared" ref="E99" si="11">IF(D99&lt;=25000,D99,IF(D99&gt;25000,25000,0))</f>
        <v>0</v>
      </c>
      <c r="F99" s="1906">
        <f t="shared" si="6"/>
        <v>0</v>
      </c>
      <c r="G99" s="1766">
        <f t="shared" ref="G99" si="12">IF(F99=0,0,D99-F99)</f>
        <v>0</v>
      </c>
    </row>
    <row r="100" spans="1:7" x14ac:dyDescent="0.25">
      <c r="A100" s="1626"/>
      <c r="B100" s="1640"/>
      <c r="C100" s="1627"/>
      <c r="D100" s="1817"/>
      <c r="E100" s="1513">
        <f t="shared" ref="E100:E112" si="13">IF(D100&lt;=25000,D100,IF(D100&gt;25000,25000,0))</f>
        <v>0</v>
      </c>
      <c r="F100" s="1906">
        <f t="shared" si="6"/>
        <v>0</v>
      </c>
      <c r="G100" s="1766">
        <f t="shared" ref="G100:G112" si="14">IF(F100=0,0,D100-F100)</f>
        <v>0</v>
      </c>
    </row>
    <row r="101" spans="1:7" x14ac:dyDescent="0.25">
      <c r="A101" s="1626"/>
      <c r="B101" s="1640"/>
      <c r="C101" s="1627"/>
      <c r="D101" s="1817"/>
      <c r="E101" s="1513">
        <f t="shared" si="13"/>
        <v>0</v>
      </c>
      <c r="F101" s="1906">
        <f t="shared" si="6"/>
        <v>0</v>
      </c>
      <c r="G101" s="1766">
        <f t="shared" si="14"/>
        <v>0</v>
      </c>
    </row>
    <row r="102" spans="1:7" x14ac:dyDescent="0.25">
      <c r="A102" s="1626"/>
      <c r="B102" s="1640"/>
      <c r="C102" s="1627"/>
      <c r="D102" s="1817"/>
      <c r="E102" s="1513">
        <f t="shared" si="13"/>
        <v>0</v>
      </c>
      <c r="F102" s="1906">
        <f t="shared" si="6"/>
        <v>0</v>
      </c>
      <c r="G102" s="1766">
        <f t="shared" si="14"/>
        <v>0</v>
      </c>
    </row>
    <row r="103" spans="1:7" x14ac:dyDescent="0.25">
      <c r="A103" s="1626"/>
      <c r="B103" s="1640"/>
      <c r="C103" s="1627"/>
      <c r="D103" s="1817"/>
      <c r="E103" s="1513">
        <f t="shared" si="13"/>
        <v>0</v>
      </c>
      <c r="F103" s="1906">
        <f t="shared" si="6"/>
        <v>0</v>
      </c>
      <c r="G103" s="1766">
        <f t="shared" si="14"/>
        <v>0</v>
      </c>
    </row>
    <row r="104" spans="1:7" x14ac:dyDescent="0.25">
      <c r="A104" s="1626"/>
      <c r="B104" s="1640"/>
      <c r="C104" s="1627"/>
      <c r="D104" s="1817"/>
      <c r="E104" s="1513">
        <f t="shared" si="13"/>
        <v>0</v>
      </c>
      <c r="F104" s="1906">
        <f t="shared" si="6"/>
        <v>0</v>
      </c>
      <c r="G104" s="1766">
        <f t="shared" si="14"/>
        <v>0</v>
      </c>
    </row>
    <row r="105" spans="1:7" x14ac:dyDescent="0.25">
      <c r="A105" s="1626"/>
      <c r="B105" s="1640"/>
      <c r="C105" s="1627"/>
      <c r="D105" s="1817"/>
      <c r="E105" s="1513">
        <f t="shared" si="13"/>
        <v>0</v>
      </c>
      <c r="F105" s="1906">
        <f t="shared" si="6"/>
        <v>0</v>
      </c>
      <c r="G105" s="1766">
        <f t="shared" si="14"/>
        <v>0</v>
      </c>
    </row>
    <row r="106" spans="1:7" x14ac:dyDescent="0.25">
      <c r="A106" s="1626"/>
      <c r="B106" s="1640"/>
      <c r="C106" s="1627"/>
      <c r="D106" s="1817"/>
      <c r="E106" s="1513">
        <f t="shared" si="13"/>
        <v>0</v>
      </c>
      <c r="F106" s="1906">
        <f t="shared" si="6"/>
        <v>0</v>
      </c>
      <c r="G106" s="1766">
        <f t="shared" si="14"/>
        <v>0</v>
      </c>
    </row>
    <row r="107" spans="1:7" x14ac:dyDescent="0.25">
      <c r="A107" s="1626"/>
      <c r="B107" s="1640"/>
      <c r="C107" s="1627"/>
      <c r="D107" s="1817"/>
      <c r="E107" s="1513">
        <f t="shared" si="13"/>
        <v>0</v>
      </c>
      <c r="F107" s="1906">
        <f t="shared" si="6"/>
        <v>0</v>
      </c>
      <c r="G107" s="1766">
        <f t="shared" si="14"/>
        <v>0</v>
      </c>
    </row>
    <row r="108" spans="1:7" x14ac:dyDescent="0.25">
      <c r="A108" s="1626"/>
      <c r="B108" s="1640"/>
      <c r="C108" s="1627"/>
      <c r="D108" s="1817"/>
      <c r="E108" s="1513">
        <f t="shared" si="13"/>
        <v>0</v>
      </c>
      <c r="F108" s="1906">
        <f t="shared" si="6"/>
        <v>0</v>
      </c>
      <c r="G108" s="1766">
        <f t="shared" si="14"/>
        <v>0</v>
      </c>
    </row>
    <row r="109" spans="1:7" x14ac:dyDescent="0.25">
      <c r="A109" s="1626"/>
      <c r="B109" s="1640"/>
      <c r="C109" s="1627"/>
      <c r="D109" s="1817"/>
      <c r="E109" s="1513">
        <f t="shared" si="13"/>
        <v>0</v>
      </c>
      <c r="F109" s="1906">
        <f t="shared" si="6"/>
        <v>0</v>
      </c>
      <c r="G109" s="1766">
        <f t="shared" si="14"/>
        <v>0</v>
      </c>
    </row>
    <row r="110" spans="1:7" x14ac:dyDescent="0.25">
      <c r="A110" s="1626"/>
      <c r="B110" s="1640"/>
      <c r="C110" s="1627"/>
      <c r="D110" s="1817"/>
      <c r="E110" s="1513">
        <f t="shared" si="13"/>
        <v>0</v>
      </c>
      <c r="F110" s="1906">
        <f t="shared" si="6"/>
        <v>0</v>
      </c>
      <c r="G110" s="1766">
        <f t="shared" si="14"/>
        <v>0</v>
      </c>
    </row>
    <row r="111" spans="1:7" x14ac:dyDescent="0.25">
      <c r="A111" s="1626"/>
      <c r="B111" s="1640"/>
      <c r="C111" s="1627"/>
      <c r="D111" s="1817"/>
      <c r="E111" s="1513">
        <f t="shared" si="13"/>
        <v>0</v>
      </c>
      <c r="F111" s="1906">
        <f t="shared" si="6"/>
        <v>0</v>
      </c>
      <c r="G111" s="1766">
        <f t="shared" si="14"/>
        <v>0</v>
      </c>
    </row>
    <row r="112" spans="1:7" x14ac:dyDescent="0.25">
      <c r="A112" s="1626"/>
      <c r="B112" s="1640"/>
      <c r="C112" s="1627"/>
      <c r="D112" s="1817"/>
      <c r="E112" s="1513">
        <f t="shared" si="13"/>
        <v>0</v>
      </c>
      <c r="F112" s="1906">
        <f t="shared" si="6"/>
        <v>0</v>
      </c>
      <c r="G112" s="1766">
        <f t="shared" si="14"/>
        <v>0</v>
      </c>
    </row>
    <row r="113" spans="1:7" x14ac:dyDescent="0.25">
      <c r="A113" s="1626"/>
      <c r="B113" s="1640"/>
      <c r="C113" s="1627"/>
      <c r="D113" s="1817"/>
      <c r="E113" s="1513">
        <f t="shared" ref="E113:E125" si="15">IF(D113&lt;=25000,D113,IF(D113&gt;25000,25000,0))</f>
        <v>0</v>
      </c>
      <c r="F113" s="1906">
        <f t="shared" si="6"/>
        <v>0</v>
      </c>
      <c r="G113" s="1766">
        <f t="shared" ref="G113:G125" si="16">IF(F113=0,0,D113-F113)</f>
        <v>0</v>
      </c>
    </row>
    <row r="114" spans="1:7" x14ac:dyDescent="0.25">
      <c r="A114" s="1626"/>
      <c r="B114" s="1640"/>
      <c r="C114" s="1627"/>
      <c r="D114" s="1817"/>
      <c r="E114" s="1513">
        <f t="shared" si="15"/>
        <v>0</v>
      </c>
      <c r="F114" s="1906">
        <f t="shared" si="6"/>
        <v>0</v>
      </c>
      <c r="G114" s="1766">
        <f t="shared" si="16"/>
        <v>0</v>
      </c>
    </row>
    <row r="115" spans="1:7" x14ac:dyDescent="0.25">
      <c r="A115" s="1626"/>
      <c r="B115" s="1640"/>
      <c r="C115" s="1627"/>
      <c r="D115" s="1817"/>
      <c r="E115" s="1513">
        <f t="shared" si="15"/>
        <v>0</v>
      </c>
      <c r="F115" s="1906">
        <f t="shared" si="6"/>
        <v>0</v>
      </c>
      <c r="G115" s="1766">
        <f t="shared" si="16"/>
        <v>0</v>
      </c>
    </row>
    <row r="116" spans="1:7" x14ac:dyDescent="0.25">
      <c r="A116" s="1626"/>
      <c r="B116" s="1640"/>
      <c r="C116" s="1627"/>
      <c r="D116" s="1817"/>
      <c r="E116" s="1513">
        <f t="shared" si="15"/>
        <v>0</v>
      </c>
      <c r="F116" s="1906">
        <f t="shared" si="6"/>
        <v>0</v>
      </c>
      <c r="G116" s="1766">
        <f t="shared" si="16"/>
        <v>0</v>
      </c>
    </row>
    <row r="117" spans="1:7" x14ac:dyDescent="0.25">
      <c r="A117" s="1626"/>
      <c r="B117" s="1640"/>
      <c r="C117" s="1627"/>
      <c r="D117" s="1817"/>
      <c r="E117" s="1513">
        <f t="shared" si="15"/>
        <v>0</v>
      </c>
      <c r="F117" s="1906">
        <f t="shared" si="6"/>
        <v>0</v>
      </c>
      <c r="G117" s="1766">
        <f t="shared" si="16"/>
        <v>0</v>
      </c>
    </row>
    <row r="118" spans="1:7" x14ac:dyDescent="0.25">
      <c r="A118" s="1626"/>
      <c r="B118" s="1640"/>
      <c r="C118" s="1627"/>
      <c r="D118" s="1817"/>
      <c r="E118" s="1513">
        <f t="shared" si="15"/>
        <v>0</v>
      </c>
      <c r="F118" s="1906">
        <f t="shared" si="6"/>
        <v>0</v>
      </c>
      <c r="G118" s="1766">
        <f t="shared" si="16"/>
        <v>0</v>
      </c>
    </row>
    <row r="119" spans="1:7" x14ac:dyDescent="0.25">
      <c r="A119" s="1626"/>
      <c r="B119" s="1640"/>
      <c r="C119" s="1627"/>
      <c r="D119" s="1817"/>
      <c r="E119" s="1513">
        <f t="shared" si="15"/>
        <v>0</v>
      </c>
      <c r="F119" s="1906">
        <f t="shared" si="6"/>
        <v>0</v>
      </c>
      <c r="G119" s="1766">
        <f t="shared" si="16"/>
        <v>0</v>
      </c>
    </row>
    <row r="120" spans="1:7" x14ac:dyDescent="0.25">
      <c r="A120" s="1626"/>
      <c r="B120" s="1640"/>
      <c r="C120" s="1627"/>
      <c r="D120" s="1817"/>
      <c r="E120" s="1513">
        <f t="shared" si="15"/>
        <v>0</v>
      </c>
      <c r="F120" s="1906">
        <f t="shared" si="6"/>
        <v>0</v>
      </c>
      <c r="G120" s="1766">
        <f t="shared" si="16"/>
        <v>0</v>
      </c>
    </row>
    <row r="121" spans="1:7" x14ac:dyDescent="0.25">
      <c r="A121" s="1626"/>
      <c r="B121" s="1640"/>
      <c r="C121" s="1627"/>
      <c r="D121" s="1817"/>
      <c r="E121" s="1513">
        <f t="shared" si="15"/>
        <v>0</v>
      </c>
      <c r="F121" s="1906">
        <f t="shared" si="6"/>
        <v>0</v>
      </c>
      <c r="G121" s="1766">
        <f t="shared" si="16"/>
        <v>0</v>
      </c>
    </row>
    <row r="122" spans="1:7" x14ac:dyDescent="0.25">
      <c r="A122" s="1626"/>
      <c r="B122" s="1640"/>
      <c r="C122" s="1627"/>
      <c r="D122" s="1817"/>
      <c r="E122" s="1513">
        <f t="shared" si="15"/>
        <v>0</v>
      </c>
      <c r="F122" s="1906">
        <f t="shared" si="6"/>
        <v>0</v>
      </c>
      <c r="G122" s="1766">
        <f t="shared" si="16"/>
        <v>0</v>
      </c>
    </row>
    <row r="123" spans="1:7" x14ac:dyDescent="0.25">
      <c r="A123" s="1626"/>
      <c r="B123" s="1640"/>
      <c r="C123" s="1627"/>
      <c r="D123" s="1817"/>
      <c r="E123" s="1513">
        <f t="shared" si="15"/>
        <v>0</v>
      </c>
      <c r="F123" s="1906">
        <f t="shared" si="6"/>
        <v>0</v>
      </c>
      <c r="G123" s="1766">
        <f t="shared" si="16"/>
        <v>0</v>
      </c>
    </row>
    <row r="124" spans="1:7" x14ac:dyDescent="0.25">
      <c r="A124" s="1626"/>
      <c r="B124" s="1640"/>
      <c r="C124" s="1627"/>
      <c r="D124" s="1817"/>
      <c r="E124" s="1513">
        <f t="shared" si="15"/>
        <v>0</v>
      </c>
      <c r="F124" s="1906">
        <f t="shared" si="6"/>
        <v>0</v>
      </c>
      <c r="G124" s="1766">
        <f t="shared" si="16"/>
        <v>0</v>
      </c>
    </row>
    <row r="125" spans="1:7" x14ac:dyDescent="0.25">
      <c r="A125" s="1626"/>
      <c r="B125" s="1640"/>
      <c r="C125" s="1627"/>
      <c r="D125" s="1817"/>
      <c r="E125" s="1513">
        <f t="shared" si="15"/>
        <v>0</v>
      </c>
      <c r="F125" s="1906">
        <f t="shared" si="6"/>
        <v>0</v>
      </c>
      <c r="G125" s="1766">
        <f t="shared" si="16"/>
        <v>0</v>
      </c>
    </row>
    <row r="126" spans="1:7" x14ac:dyDescent="0.25">
      <c r="A126" s="1626"/>
      <c r="B126" s="1640"/>
      <c r="C126" s="1627"/>
      <c r="D126" s="1817"/>
      <c r="E126" s="1513">
        <f t="shared" ref="E126:E134" si="17">IF(D126&lt;=25000,D126,IF(D126&gt;25000,25000,0))</f>
        <v>0</v>
      </c>
      <c r="F126" s="1906">
        <f t="shared" si="6"/>
        <v>0</v>
      </c>
      <c r="G126" s="1766">
        <f t="shared" ref="G126:G134" si="18">IF(F126=0,0,D126-F126)</f>
        <v>0</v>
      </c>
    </row>
    <row r="127" spans="1:7" x14ac:dyDescent="0.25">
      <c r="A127" s="1626"/>
      <c r="B127" s="1640"/>
      <c r="C127" s="1627"/>
      <c r="D127" s="1817"/>
      <c r="E127" s="1513">
        <f t="shared" si="17"/>
        <v>0</v>
      </c>
      <c r="F127" s="1906">
        <f t="shared" si="6"/>
        <v>0</v>
      </c>
      <c r="G127" s="1766">
        <f t="shared" si="18"/>
        <v>0</v>
      </c>
    </row>
    <row r="128" spans="1:7" x14ac:dyDescent="0.25">
      <c r="A128" s="1626"/>
      <c r="B128" s="1640"/>
      <c r="C128" s="1627"/>
      <c r="D128" s="1817"/>
      <c r="E128" s="1513">
        <f t="shared" si="17"/>
        <v>0</v>
      </c>
      <c r="F128" s="1906">
        <f t="shared" si="6"/>
        <v>0</v>
      </c>
      <c r="G128" s="1766">
        <f t="shared" si="18"/>
        <v>0</v>
      </c>
    </row>
    <row r="129" spans="1:7" x14ac:dyDescent="0.25">
      <c r="A129" s="1626"/>
      <c r="B129" s="1640"/>
      <c r="C129" s="1627"/>
      <c r="D129" s="1817"/>
      <c r="E129" s="1513">
        <f t="shared" si="17"/>
        <v>0</v>
      </c>
      <c r="F129" s="1906">
        <f t="shared" si="6"/>
        <v>0</v>
      </c>
      <c r="G129" s="1766">
        <f t="shared" si="18"/>
        <v>0</v>
      </c>
    </row>
    <row r="130" spans="1:7" x14ac:dyDescent="0.25">
      <c r="A130" s="1626"/>
      <c r="B130" s="1640"/>
      <c r="C130" s="1627"/>
      <c r="D130" s="1817"/>
      <c r="E130" s="1513">
        <f t="shared" si="17"/>
        <v>0</v>
      </c>
      <c r="F130" s="1906">
        <f t="shared" si="6"/>
        <v>0</v>
      </c>
      <c r="G130" s="1766">
        <f t="shared" si="18"/>
        <v>0</v>
      </c>
    </row>
    <row r="131" spans="1:7" x14ac:dyDescent="0.25">
      <c r="A131" s="1626"/>
      <c r="B131" s="1810"/>
      <c r="C131" s="1627"/>
      <c r="D131" s="1817"/>
      <c r="E131" s="1513">
        <f t="shared" si="17"/>
        <v>0</v>
      </c>
      <c r="F131" s="1906">
        <f t="shared" si="6"/>
        <v>0</v>
      </c>
      <c r="G131" s="1766">
        <f t="shared" si="18"/>
        <v>0</v>
      </c>
    </row>
    <row r="132" spans="1:7" x14ac:dyDescent="0.25">
      <c r="A132" s="1626"/>
      <c r="B132" s="1810"/>
      <c r="C132" s="1627"/>
      <c r="D132" s="1817"/>
      <c r="E132" s="1513">
        <f t="shared" si="17"/>
        <v>0</v>
      </c>
      <c r="F132" s="1906">
        <f t="shared" si="6"/>
        <v>0</v>
      </c>
      <c r="G132" s="1766">
        <f t="shared" si="18"/>
        <v>0</v>
      </c>
    </row>
    <row r="133" spans="1:7" x14ac:dyDescent="0.25">
      <c r="A133" s="1626"/>
      <c r="B133" s="1640"/>
      <c r="C133" s="1627"/>
      <c r="D133" s="1817"/>
      <c r="E133" s="1513">
        <f t="shared" si="17"/>
        <v>0</v>
      </c>
      <c r="F133" s="1906">
        <f t="shared" si="6"/>
        <v>0</v>
      </c>
      <c r="G133" s="1766">
        <f t="shared" si="18"/>
        <v>0</v>
      </c>
    </row>
    <row r="134" spans="1:7" x14ac:dyDescent="0.25">
      <c r="A134" s="1626"/>
      <c r="B134" s="1640"/>
      <c r="C134" s="1627"/>
      <c r="D134" s="1817"/>
      <c r="E134" s="1513">
        <f t="shared" si="17"/>
        <v>0</v>
      </c>
      <c r="F134" s="1906">
        <f t="shared" si="6"/>
        <v>0</v>
      </c>
      <c r="G134" s="1766">
        <f t="shared" si="18"/>
        <v>0</v>
      </c>
    </row>
    <row r="135" spans="1:7" x14ac:dyDescent="0.25">
      <c r="A135" s="1626"/>
      <c r="B135" s="1640"/>
      <c r="C135" s="1627"/>
      <c r="D135" s="1817"/>
      <c r="E135" s="1513">
        <f t="shared" ref="E135:E139" si="19">IF(D135&lt;=25000,D135,IF(D135&gt;25000,25000,0))</f>
        <v>0</v>
      </c>
      <c r="F135" s="1906">
        <f t="shared" si="6"/>
        <v>0</v>
      </c>
      <c r="G135" s="1766">
        <f t="shared" ref="G135:G139" si="20">IF(F135=0,0,D135-F135)</f>
        <v>0</v>
      </c>
    </row>
    <row r="136" spans="1:7" x14ac:dyDescent="0.25">
      <c r="A136" s="1626"/>
      <c r="B136" s="1640"/>
      <c r="C136" s="1627"/>
      <c r="D136" s="1817"/>
      <c r="E136" s="1513">
        <f t="shared" si="19"/>
        <v>0</v>
      </c>
      <c r="F136" s="1906">
        <f t="shared" si="6"/>
        <v>0</v>
      </c>
      <c r="G136" s="1766">
        <f t="shared" si="20"/>
        <v>0</v>
      </c>
    </row>
    <row r="137" spans="1:7" x14ac:dyDescent="0.25">
      <c r="A137" s="1626"/>
      <c r="B137" s="1640"/>
      <c r="C137" s="1627"/>
      <c r="D137" s="1817"/>
      <c r="E137" s="1513">
        <f t="shared" si="19"/>
        <v>0</v>
      </c>
      <c r="F137" s="1906">
        <f t="shared" si="6"/>
        <v>0</v>
      </c>
      <c r="G137" s="1766">
        <f t="shared" si="20"/>
        <v>0</v>
      </c>
    </row>
    <row r="138" spans="1:7" x14ac:dyDescent="0.25">
      <c r="A138" s="1626"/>
      <c r="B138" s="1640"/>
      <c r="C138" s="1627"/>
      <c r="D138" s="1817"/>
      <c r="E138" s="1513">
        <f t="shared" si="19"/>
        <v>0</v>
      </c>
      <c r="F138" s="1906">
        <f t="shared" si="6"/>
        <v>0</v>
      </c>
      <c r="G138" s="1766">
        <f t="shared" si="20"/>
        <v>0</v>
      </c>
    </row>
    <row r="139" spans="1:7" x14ac:dyDescent="0.25">
      <c r="A139" s="1626"/>
      <c r="B139" s="1640"/>
      <c r="C139" s="1627"/>
      <c r="D139" s="1817"/>
      <c r="E139" s="1513">
        <f t="shared" si="19"/>
        <v>0</v>
      </c>
      <c r="F139" s="1906">
        <f t="shared" si="6"/>
        <v>0</v>
      </c>
      <c r="G139" s="1766">
        <f t="shared" si="20"/>
        <v>0</v>
      </c>
    </row>
    <row r="140" spans="1:7" x14ac:dyDescent="0.25">
      <c r="A140" s="1626"/>
      <c r="B140" s="1639"/>
      <c r="C140" s="1627"/>
      <c r="D140" s="1817"/>
      <c r="E140" s="1513">
        <f t="shared" si="2"/>
        <v>0</v>
      </c>
      <c r="F140" s="1906">
        <f t="shared" si="6"/>
        <v>0</v>
      </c>
      <c r="G140" s="1766">
        <f t="shared" si="3"/>
        <v>0</v>
      </c>
    </row>
    <row r="141" spans="1:7" x14ac:dyDescent="0.25">
      <c r="A141" s="1769" t="s">
        <v>156</v>
      </c>
      <c r="B141" s="1770"/>
      <c r="C141" s="1771"/>
      <c r="D141" s="1767">
        <f>SUM(D17:D140)</f>
        <v>3798005</v>
      </c>
      <c r="E141" s="1514">
        <f t="shared" si="0"/>
        <v>25000</v>
      </c>
      <c r="F141" s="1907">
        <f>SUM(F17:F140)</f>
        <v>300000</v>
      </c>
      <c r="G141" s="1768">
        <f>SUM(G17:G140)</f>
        <v>3498005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I46"/>
  <sheetViews>
    <sheetView showGridLines="0" defaultGridColor="0" view="pageBreakPreview" colorId="8" zoomScale="60" zoomScaleNormal="110" workbookViewId="0">
      <selection activeCell="C52" sqref="C5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7" t="s">
        <v>1115</v>
      </c>
      <c r="B1" s="1608"/>
      <c r="C1" s="1609"/>
    </row>
    <row r="2" spans="1:9" x14ac:dyDescent="0.2">
      <c r="A2" s="925" t="s">
        <v>1116</v>
      </c>
      <c r="B2" s="926"/>
      <c r="C2" s="926"/>
      <c r="D2" s="926"/>
      <c r="E2" s="927"/>
      <c r="F2" s="927"/>
      <c r="G2" s="928"/>
    </row>
    <row r="3" spans="1:9" ht="12" customHeight="1" x14ac:dyDescent="0.2">
      <c r="A3" s="929" t="s">
        <v>1356</v>
      </c>
      <c r="B3" s="930"/>
      <c r="C3" s="930"/>
      <c r="D3" s="930"/>
      <c r="E3" s="931"/>
      <c r="F3" s="931"/>
      <c r="G3" s="932"/>
    </row>
    <row r="4" spans="1:9" x14ac:dyDescent="0.2">
      <c r="A4" s="933" t="s">
        <v>755</v>
      </c>
      <c r="B4" s="934"/>
      <c r="C4" s="934"/>
      <c r="D4" s="934"/>
      <c r="E4" s="935"/>
      <c r="F4" s="936"/>
      <c r="G4" s="937"/>
      <c r="H4" s="252"/>
      <c r="I4" s="252"/>
    </row>
    <row r="5" spans="1:9" s="343" customFormat="1" ht="57" customHeight="1" x14ac:dyDescent="0.2">
      <c r="A5" s="2359" t="s">
        <v>1679</v>
      </c>
      <c r="B5" s="2360"/>
      <c r="C5" s="2360"/>
      <c r="D5" s="2360"/>
      <c r="E5" s="2360"/>
      <c r="F5" s="2360"/>
      <c r="G5" s="2361"/>
      <c r="H5" s="252"/>
      <c r="I5" s="586"/>
    </row>
    <row r="6" spans="1:9" s="643" customFormat="1" x14ac:dyDescent="0.2">
      <c r="A6" s="1610" t="s">
        <v>205</v>
      </c>
      <c r="B6" s="939"/>
      <c r="C6" s="939"/>
      <c r="D6" s="940"/>
      <c r="E6" s="940"/>
      <c r="F6" s="941"/>
      <c r="G6" s="942"/>
      <c r="H6" s="162"/>
      <c r="I6" s="162"/>
    </row>
    <row r="7" spans="1:9" s="643" customFormat="1" ht="12" customHeight="1" x14ac:dyDescent="0.2">
      <c r="A7" s="943" t="s">
        <v>908</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1930</v>
      </c>
      <c r="B10" s="944"/>
      <c r="C10" s="949"/>
      <c r="D10" s="945"/>
      <c r="E10" s="946">
        <v>332811</v>
      </c>
      <c r="F10" s="947"/>
      <c r="G10" s="948"/>
      <c r="H10" s="162"/>
      <c r="I10" s="162"/>
    </row>
    <row r="11" spans="1:9" s="643" customFormat="1" ht="22.5" customHeight="1" x14ac:dyDescent="0.2">
      <c r="A11" s="2364" t="s">
        <v>1974</v>
      </c>
      <c r="B11" s="2365"/>
      <c r="C11" s="2365"/>
      <c r="D11" s="2366"/>
      <c r="E11" s="950">
        <f>41783+22087</f>
        <v>63870</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371</v>
      </c>
      <c r="B15" s="940"/>
      <c r="C15" s="940"/>
      <c r="D15" s="940"/>
      <c r="E15" s="940"/>
      <c r="F15" s="940"/>
      <c r="G15" s="954"/>
      <c r="H15" s="162"/>
      <c r="I15" s="162"/>
    </row>
    <row r="16" spans="1:9" s="643" customFormat="1" x14ac:dyDescent="0.2">
      <c r="A16" s="955" t="s">
        <v>1376</v>
      </c>
      <c r="B16" s="956"/>
      <c r="C16" s="957"/>
      <c r="D16" s="936"/>
      <c r="E16" s="931"/>
      <c r="F16" s="931"/>
      <c r="G16" s="932"/>
      <c r="H16" s="162"/>
      <c r="I16" s="162"/>
    </row>
    <row r="17" spans="1:9" s="643" customFormat="1" ht="12" customHeight="1" x14ac:dyDescent="0.2">
      <c r="A17" s="958"/>
      <c r="B17" s="959"/>
      <c r="C17" s="329"/>
      <c r="D17" s="1611" t="s">
        <v>532</v>
      </c>
      <c r="E17" s="1612"/>
      <c r="F17" s="1611" t="s">
        <v>433</v>
      </c>
      <c r="G17" s="1613"/>
      <c r="H17" s="162"/>
      <c r="I17" s="162"/>
    </row>
    <row r="18" spans="1:9" s="259" customFormat="1" ht="11.25" x14ac:dyDescent="0.2">
      <c r="A18" s="961"/>
      <c r="C18" s="962" t="s">
        <v>434</v>
      </c>
      <c r="D18" s="1614" t="s">
        <v>435</v>
      </c>
      <c r="E18" s="1614" t="s">
        <v>53</v>
      </c>
      <c r="F18" s="1614" t="s">
        <v>435</v>
      </c>
      <c r="G18" s="1614" t="s">
        <v>53</v>
      </c>
      <c r="H18" s="178"/>
      <c r="I18" s="178"/>
    </row>
    <row r="19" spans="1:9" s="643" customFormat="1" ht="12" customHeight="1" x14ac:dyDescent="0.2">
      <c r="A19" s="963" t="s">
        <v>456</v>
      </c>
      <c r="B19" s="964"/>
      <c r="C19" s="965" t="s">
        <v>570</v>
      </c>
      <c r="D19" s="1772"/>
      <c r="E19" s="1773">
        <f>'Expenditures 15-22'!K33-SUM('Expenditures 15-22'!G33,'Expenditures 15-22'!I33)+'Expenditures 15-22'!D229</f>
        <v>14802720</v>
      </c>
      <c r="F19" s="1772"/>
      <c r="G19" s="1774">
        <f>'Expenditures 15-22'!K33-SUM('Expenditures 15-22'!G33,'Expenditures 15-22'!I33)+'Expenditures 15-22'!D229</f>
        <v>14802720</v>
      </c>
      <c r="H19" s="960"/>
      <c r="I19" s="162"/>
    </row>
    <row r="20" spans="1:9" s="643" customFormat="1" ht="12" customHeight="1" x14ac:dyDescent="0.2">
      <c r="A20" s="963" t="s">
        <v>54</v>
      </c>
      <c r="B20" s="964"/>
      <c r="C20" s="966"/>
      <c r="D20" s="1775"/>
      <c r="E20" s="1775"/>
      <c r="F20" s="1775"/>
      <c r="G20" s="1776"/>
      <c r="H20" s="960"/>
      <c r="I20" s="162"/>
    </row>
    <row r="21" spans="1:9" s="643" customFormat="1" ht="12" customHeight="1" x14ac:dyDescent="0.2">
      <c r="A21" s="967" t="s">
        <v>401</v>
      </c>
      <c r="B21" s="968"/>
      <c r="C21" s="966">
        <v>2100</v>
      </c>
      <c r="D21" s="1775"/>
      <c r="E21" s="1777">
        <f>'Expenditures 15-22'!K42-SUM('Expenditures 15-22'!G42,'Expenditures 15-22'!I42)+'Expenditures 15-22'!K120-SUM('Expenditures 15-22'!G120,'Expenditures 15-22'!I120)+'Expenditures 15-22'!K180-SUM('Expenditures 15-22'!G180,'Expenditures 15-22'!I180)+'Expenditures 15-22'!D238</f>
        <v>1936982</v>
      </c>
      <c r="F21" s="1775"/>
      <c r="G21" s="1778">
        <f>'Expenditures 15-22'!K42-SUM('Expenditures 15-22'!G42,'Expenditures 15-22'!I42)+'Expenditures 15-22'!K120-SUM('Expenditures 15-22'!G120,'Expenditures 15-22'!I120)+'Expenditures 15-22'!K180-SUM('Expenditures 15-22'!G180,'Expenditures 15-22'!I180)+'Expenditures 15-22'!D238</f>
        <v>1936982</v>
      </c>
      <c r="H21" s="960"/>
      <c r="I21" s="162"/>
    </row>
    <row r="22" spans="1:9" s="643" customFormat="1" ht="12" customHeight="1" x14ac:dyDescent="0.2">
      <c r="A22" s="967" t="s">
        <v>564</v>
      </c>
      <c r="B22" s="968"/>
      <c r="C22" s="966">
        <v>2200</v>
      </c>
      <c r="D22" s="1775"/>
      <c r="E22" s="1777">
        <f>'Expenditures 15-22'!K47-SUM('Expenditures 15-22'!G47,'Expenditures 15-22'!I47)+'Expenditures 15-22'!D243</f>
        <v>499597</v>
      </c>
      <c r="F22" s="1775"/>
      <c r="G22" s="1778">
        <f>'Expenditures 15-22'!K47-SUM('Expenditures 15-22'!G47,'Expenditures 15-22'!I47)+'Expenditures 15-22'!D243</f>
        <v>499597</v>
      </c>
      <c r="H22" s="960"/>
      <c r="I22" s="162"/>
    </row>
    <row r="23" spans="1:9" s="643" customFormat="1" ht="12" customHeight="1" x14ac:dyDescent="0.2">
      <c r="A23" s="967" t="s">
        <v>565</v>
      </c>
      <c r="B23" s="968"/>
      <c r="C23" s="966">
        <v>2300</v>
      </c>
      <c r="D23" s="1775"/>
      <c r="E23" s="1777">
        <f>'Expenditures 15-22'!K53-SUM('Expenditures 15-22'!G53,'Expenditures 15-22'!I53)+'Expenditures 15-22'!D257+'Expenditures 15-22'!K330-SUM('Expenditures 15-22'!G330,'Expenditures 15-22'!I330)</f>
        <v>947807</v>
      </c>
      <c r="F23" s="1775"/>
      <c r="G23" s="1777">
        <f>'Expenditures 15-22'!K53-SUM('Expenditures 15-22'!G53,'Expenditures 15-22'!I53)+'Expenditures 15-22'!D257+'Expenditures 15-22'!K330-SUM('Expenditures 15-22'!G330,'Expenditures 15-22'!I330)</f>
        <v>947807</v>
      </c>
      <c r="H23" s="960"/>
      <c r="I23" s="162"/>
    </row>
    <row r="24" spans="1:9" s="643" customFormat="1" ht="12" customHeight="1" x14ac:dyDescent="0.2">
      <c r="A24" s="967" t="s">
        <v>566</v>
      </c>
      <c r="B24" s="968"/>
      <c r="C24" s="966">
        <v>2400</v>
      </c>
      <c r="D24" s="1775"/>
      <c r="E24" s="1777">
        <f>'Expenditures 15-22'!K57-SUM('Expenditures 15-22'!G57,'Expenditures 15-22'!I57)+'Expenditures 15-22'!D261</f>
        <v>1001912</v>
      </c>
      <c r="F24" s="1775"/>
      <c r="G24" s="1778">
        <f>'Expenditures 15-22'!K57-SUM('Expenditures 15-22'!G57,'Expenditures 15-22'!I57)+'Expenditures 15-22'!D261</f>
        <v>1001912</v>
      </c>
      <c r="H24" s="960"/>
      <c r="I24" s="162"/>
    </row>
    <row r="25" spans="1:9" s="643" customFormat="1" ht="12" customHeight="1" x14ac:dyDescent="0.2">
      <c r="A25" s="963" t="s">
        <v>567</v>
      </c>
      <c r="B25" s="969"/>
      <c r="C25" s="966"/>
      <c r="D25" s="1775"/>
      <c r="E25" s="1777"/>
      <c r="F25" s="1775"/>
      <c r="G25" s="1778"/>
      <c r="H25" s="960"/>
      <c r="I25" s="162"/>
    </row>
    <row r="26" spans="1:9" s="643" customFormat="1" ht="12" customHeight="1" x14ac:dyDescent="0.2">
      <c r="A26" s="967" t="s">
        <v>515</v>
      </c>
      <c r="B26" s="970"/>
      <c r="C26" s="966">
        <v>2510</v>
      </c>
      <c r="D26" s="1777">
        <f>'Expenditures 15-22'!K59-SUM('Expenditures 15-22'!G59,'Expenditures 15-22'!I59)+'Expenditures 15-22'!D263-E7</f>
        <v>165698</v>
      </c>
      <c r="E26" s="1777">
        <f>'Expenditures 15-22'!K122-SUM('Expenditures 15-22'!G122,'Expenditures 15-22'!I122)+E7</f>
        <v>0</v>
      </c>
      <c r="F26" s="1777">
        <f>'Expenditures 15-22'!K59-SUM('Expenditures 15-22'!G59,'Expenditures 15-22'!I59)+'Expenditures 15-22'!D263-E7</f>
        <v>165698</v>
      </c>
      <c r="G26" s="1778">
        <f>'Expenditures 15-22'!K122-SUM('Expenditures 15-22'!G122,'Expenditures 15-22'!I122)+E7</f>
        <v>0</v>
      </c>
      <c r="H26" s="960"/>
      <c r="I26" s="162"/>
    </row>
    <row r="27" spans="1:9" s="643" customFormat="1" ht="12" customHeight="1" x14ac:dyDescent="0.2">
      <c r="A27" s="967" t="s">
        <v>463</v>
      </c>
      <c r="B27" s="970"/>
      <c r="C27" s="966">
        <v>2520</v>
      </c>
      <c r="D27" s="1777">
        <f>'Expenditures 15-22'!K60-SUM('Expenditures 15-22'!G60,'Expenditures 15-22'!I60)+'Expenditures 15-22'!D264-E8</f>
        <v>296101</v>
      </c>
      <c r="E27" s="1777">
        <f>E8</f>
        <v>0</v>
      </c>
      <c r="F27" s="1777">
        <f>'Expenditures 15-22'!K60-SUM('Expenditures 15-22'!G60,'Expenditures 15-22'!I60)+'Expenditures 15-22'!D264-E8</f>
        <v>296101</v>
      </c>
      <c r="G27" s="1778">
        <f>E8</f>
        <v>0</v>
      </c>
      <c r="H27" s="960"/>
      <c r="I27" s="162"/>
    </row>
    <row r="28" spans="1:9" s="643" customFormat="1" ht="12" customHeight="1" x14ac:dyDescent="0.2">
      <c r="A28" s="967" t="s">
        <v>516</v>
      </c>
      <c r="B28" s="970"/>
      <c r="C28" s="966">
        <v>2540</v>
      </c>
      <c r="D28" s="1779"/>
      <c r="E28" s="1777">
        <f>'Expenditures 15-22'!K61-SUM('Expenditures 15-22'!G61,'Expenditures 15-22'!I61)+'Expenditures 15-22'!K124-SUM('Expenditures 15-22'!G124,'Expenditures 15-22'!I124)+'Expenditures 15-22'!D266</f>
        <v>1890604</v>
      </c>
      <c r="F28" s="1779">
        <f>'Expenditures 15-22'!K61-SUM('Expenditures 15-22'!G61,'Expenditures 15-22'!I61)+'Expenditures 15-22'!K124-SUM('Expenditures 15-22'!G124,'Expenditures 15-22'!I124)+'Expenditures 15-22'!D266-E9</f>
        <v>1890604</v>
      </c>
      <c r="G28" s="1778">
        <f>E9</f>
        <v>0</v>
      </c>
      <c r="H28" s="960"/>
      <c r="I28" s="162"/>
    </row>
    <row r="29" spans="1:9" ht="12" customHeight="1" x14ac:dyDescent="0.2">
      <c r="A29" s="967" t="s">
        <v>517</v>
      </c>
      <c r="B29" s="970"/>
      <c r="C29" s="966">
        <v>2550</v>
      </c>
      <c r="D29" s="1775"/>
      <c r="E29" s="1777">
        <f>'Expenditures 15-22'!K62-SUM('Expenditures 15-22'!G62,'Expenditures 15-22'!I62)+'Expenditures 15-22'!K125-SUM('Expenditures 15-22'!G125,'Expenditures 15-22'!I125)+'Expenditures 15-22'!K182-SUM('Expenditures 15-22'!G182,'Expenditures 15-22'!I182)+'Expenditures 15-22'!D267</f>
        <v>2452649</v>
      </c>
      <c r="F29" s="1775"/>
      <c r="G29" s="1778">
        <f>'Expenditures 15-22'!K62-SUM('Expenditures 15-22'!G62,'Expenditures 15-22'!I62)+'Expenditures 15-22'!K125-SUM('Expenditures 15-22'!G125,'Expenditures 15-22'!I125)+'Expenditures 15-22'!K182-SUM('Expenditures 15-22'!G182,'Expenditures 15-22'!I182)+'Expenditures 15-22'!D267</f>
        <v>2452649</v>
      </c>
      <c r="H29" s="958"/>
    </row>
    <row r="30" spans="1:9" ht="12" customHeight="1" x14ac:dyDescent="0.2">
      <c r="A30" s="967" t="s">
        <v>100</v>
      </c>
      <c r="B30" s="970"/>
      <c r="C30" s="966">
        <v>2560</v>
      </c>
      <c r="D30" s="1775"/>
      <c r="E30" s="1777">
        <f>'Expenditures 15-22'!K63-SUM('Expenditures 15-22'!G63,'Expenditures 15-22'!I63)+'Expenditures 15-22'!D268-E10</f>
        <v>231656</v>
      </c>
      <c r="F30" s="1775"/>
      <c r="G30" s="1777">
        <f>'Expenditures 15-22'!K63-SUM('Expenditures 15-22'!G63,'Expenditures 15-22'!I63)+'Expenditures 15-22'!D268-E10</f>
        <v>231656</v>
      </c>
    </row>
    <row r="31" spans="1:9" ht="12" customHeight="1" x14ac:dyDescent="0.2">
      <c r="A31" s="967" t="s">
        <v>101</v>
      </c>
      <c r="B31" s="970"/>
      <c r="C31" s="966">
        <v>2570</v>
      </c>
      <c r="D31" s="1777">
        <f>'Expenditures 15-22'!K64-SUM('Expenditures 15-22'!G64,'Expenditures 15-22'!I64)+'Expenditures 15-22'!D269-E12</f>
        <v>0</v>
      </c>
      <c r="E31" s="1777">
        <f>E12</f>
        <v>0</v>
      </c>
      <c r="F31" s="1777">
        <f>'Expenditures 15-22'!K64-SUM('Expenditures 15-22'!G64,'Expenditures 15-22'!I64)+'Expenditures 15-22'!D269-E12</f>
        <v>0</v>
      </c>
      <c r="G31" s="1777">
        <f>E12</f>
        <v>0</v>
      </c>
    </row>
    <row r="32" spans="1:9" ht="12" customHeight="1" x14ac:dyDescent="0.2">
      <c r="A32" s="963" t="s">
        <v>518</v>
      </c>
      <c r="B32" s="969"/>
      <c r="C32" s="966"/>
      <c r="D32" s="1775"/>
      <c r="E32" s="1775"/>
      <c r="F32" s="1775"/>
      <c r="G32" s="1775"/>
    </row>
    <row r="33" spans="1:7" ht="12" customHeight="1" x14ac:dyDescent="0.2">
      <c r="A33" s="967" t="s">
        <v>519</v>
      </c>
      <c r="B33" s="970"/>
      <c r="C33" s="966">
        <v>2610</v>
      </c>
      <c r="D33" s="1775"/>
      <c r="E33" s="1777">
        <f>'Expenditures 15-22'!K67-SUM('Expenditures 15-22'!G67,'Expenditures 15-22'!I67)+'Expenditures 15-22'!D272</f>
        <v>0</v>
      </c>
      <c r="F33" s="1775"/>
      <c r="G33" s="1777">
        <f>'Expenditures 15-22'!K67-SUM('Expenditures 15-22'!G67,'Expenditures 15-22'!I67)+'Expenditures 15-22'!D272</f>
        <v>0</v>
      </c>
    </row>
    <row r="34" spans="1:7" ht="12" customHeight="1" x14ac:dyDescent="0.2">
      <c r="A34" s="967" t="s">
        <v>520</v>
      </c>
      <c r="B34" s="970"/>
      <c r="C34" s="966">
        <v>2620</v>
      </c>
      <c r="D34" s="1775"/>
      <c r="E34" s="1777">
        <f>'Expenditures 15-22'!K68-SUM('Expenditures 15-22'!G68,'Expenditures 15-22'!I68)+'Expenditures 15-22'!D273</f>
        <v>0</v>
      </c>
      <c r="F34" s="1775"/>
      <c r="G34" s="1777">
        <f>'Expenditures 15-22'!K68-SUM('Expenditures 15-22'!G68,'Expenditures 15-22'!I68)+'Expenditures 15-22'!D273</f>
        <v>0</v>
      </c>
    </row>
    <row r="35" spans="1:7" ht="12" customHeight="1" x14ac:dyDescent="0.2">
      <c r="A35" s="967" t="s">
        <v>1061</v>
      </c>
      <c r="B35" s="970"/>
      <c r="C35" s="966">
        <v>2630</v>
      </c>
      <c r="D35" s="1775"/>
      <c r="E35" s="1777">
        <f>'Expenditures 15-22'!K69-SUM('Expenditures 15-22'!G69,'Expenditures 15-22'!I69)+'Expenditures 15-22'!D274</f>
        <v>0</v>
      </c>
      <c r="F35" s="1775"/>
      <c r="G35" s="1777">
        <f>'Expenditures 15-22'!K69-SUM('Expenditures 15-22'!G69,'Expenditures 15-22'!I69)+'Expenditures 15-22'!D274</f>
        <v>0</v>
      </c>
    </row>
    <row r="36" spans="1:7" ht="12" customHeight="1" x14ac:dyDescent="0.2">
      <c r="A36" s="967" t="s">
        <v>403</v>
      </c>
      <c r="B36" s="970"/>
      <c r="C36" s="966">
        <v>2640</v>
      </c>
      <c r="D36" s="1777">
        <f>'Expenditures 15-22'!K70-SUM('Expenditures 15-22'!G70,'Expenditures 15-22'!I70)+'Expenditures 15-22'!D275-E13</f>
        <v>0</v>
      </c>
      <c r="E36" s="1777">
        <f>E13</f>
        <v>0</v>
      </c>
      <c r="F36" s="1777">
        <f>'Expenditures 15-22'!K70-SUM('Expenditures 15-22'!G70,'Expenditures 15-22'!I70)+'Expenditures 15-22'!D275-E13</f>
        <v>0</v>
      </c>
      <c r="G36" s="1777">
        <f>E13</f>
        <v>0</v>
      </c>
    </row>
    <row r="37" spans="1:7" ht="12" customHeight="1" x14ac:dyDescent="0.2">
      <c r="A37" s="967" t="s">
        <v>404</v>
      </c>
      <c r="B37" s="970"/>
      <c r="C37" s="966">
        <v>2660</v>
      </c>
      <c r="D37" s="1777">
        <f>'Expenditures 15-22'!K71-SUM('Expenditures 15-22'!G71,'Expenditures 15-22'!I71)+'Expenditures 15-22'!D276-E14</f>
        <v>986761</v>
      </c>
      <c r="E37" s="1777">
        <f>E14</f>
        <v>0</v>
      </c>
      <c r="F37" s="1777">
        <f>'Expenditures 15-22'!K71-SUM('Expenditures 15-22'!G71,'Expenditures 15-22'!I71)+'Expenditures 15-22'!D276-E14</f>
        <v>986761</v>
      </c>
      <c r="G37" s="1777">
        <f>E14</f>
        <v>0</v>
      </c>
    </row>
    <row r="38" spans="1:7" ht="12" customHeight="1" x14ac:dyDescent="0.2">
      <c r="A38" s="963" t="s">
        <v>521</v>
      </c>
      <c r="B38" s="964"/>
      <c r="C38" s="966">
        <v>2900</v>
      </c>
      <c r="D38" s="1775"/>
      <c r="E38" s="1777">
        <f>'Expenditures 15-22'!K73-SUM('Expenditures 15-22'!G73,'Expenditures 15-22'!I73)+'Expenditures 15-22'!K128-SUM('Expenditures 15-22'!G128,'Expenditures 15-22'!I128)+'Expenditures 15-22'!K183-SUM('Expenditures 15-22'!G183,'Expenditures 15-22'!I183)+'Expenditures 15-22'!D278</f>
        <v>0</v>
      </c>
      <c r="F38" s="1775"/>
      <c r="G38" s="177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3" t="s">
        <v>449</v>
      </c>
      <c r="B39" s="964"/>
      <c r="C39" s="966">
        <v>3000</v>
      </c>
      <c r="D39" s="1775"/>
      <c r="E39" s="1777">
        <f>'Expenditures 15-22'!K75-SUM('Expenditures 15-22'!G75,'Expenditures 15-22'!I75)+'Expenditures 15-22'!K130-SUM('Expenditures 15-22'!G130,'Expenditures 15-22'!I130)+'Expenditures 15-22'!K185-SUM('Expenditures 15-22'!G185,'Expenditures 15-22'!I185)+'Expenditures 15-22'!D280</f>
        <v>11772</v>
      </c>
      <c r="F39" s="1775"/>
      <c r="G39" s="1777">
        <f>'Expenditures 15-22'!K75-SUM('Expenditures 15-22'!G75,'Expenditures 15-22'!I75)+'Expenditures 15-22'!K130-SUM('Expenditures 15-22'!G130,'Expenditures 15-22'!I130)+'Expenditures 15-22'!K185-SUM('Expenditures 15-22'!G185,'Expenditures 15-22'!I185)+'Expenditures 15-22'!D280</f>
        <v>11772</v>
      </c>
    </row>
    <row r="40" spans="1:7" ht="12" customHeight="1" x14ac:dyDescent="0.2">
      <c r="A40" s="963" t="s">
        <v>1820</v>
      </c>
      <c r="B40" s="964"/>
      <c r="C40" s="966"/>
      <c r="D40" s="1775"/>
      <c r="E40" s="1779">
        <f>-'Contracts Paid in CY 29'!G141</f>
        <v>-3498005</v>
      </c>
      <c r="F40" s="1775"/>
      <c r="G40" s="1779">
        <f>-'Contracts Paid in CY 29'!G141</f>
        <v>-3498005</v>
      </c>
    </row>
    <row r="41" spans="1:7" ht="12" customHeight="1" x14ac:dyDescent="0.2">
      <c r="A41" s="971" t="s">
        <v>156</v>
      </c>
      <c r="B41" s="972"/>
      <c r="C41" s="973"/>
      <c r="D41" s="1779">
        <f>SUM(D19:D39)</f>
        <v>1448560</v>
      </c>
      <c r="E41" s="1779">
        <f>SUM(E19:E40)</f>
        <v>20277694</v>
      </c>
      <c r="F41" s="1779">
        <f>SUM(F19:F39)</f>
        <v>3339164</v>
      </c>
      <c r="G41" s="1779">
        <f>SUM(G19:G40)</f>
        <v>18387090</v>
      </c>
    </row>
    <row r="42" spans="1:7" x14ac:dyDescent="0.2">
      <c r="A42" s="960"/>
      <c r="B42" s="162"/>
      <c r="C42" s="974"/>
      <c r="D42" s="2362" t="s">
        <v>522</v>
      </c>
      <c r="E42" s="2363"/>
      <c r="F42" s="975" t="s">
        <v>523</v>
      </c>
      <c r="G42" s="976"/>
    </row>
    <row r="43" spans="1:7" ht="12" customHeight="1" x14ac:dyDescent="0.2">
      <c r="A43" s="960"/>
      <c r="B43" s="162"/>
      <c r="C43" s="974"/>
      <c r="D43" s="1780" t="s">
        <v>473</v>
      </c>
      <c r="E43" s="1781">
        <f>D41</f>
        <v>1448560</v>
      </c>
      <c r="F43" s="1780" t="s">
        <v>473</v>
      </c>
      <c r="G43" s="1781">
        <f>F41</f>
        <v>3339164</v>
      </c>
    </row>
    <row r="44" spans="1:7" ht="12" customHeight="1" x14ac:dyDescent="0.2">
      <c r="A44" s="960"/>
      <c r="B44" s="162"/>
      <c r="C44" s="974"/>
      <c r="D44" s="1780" t="s">
        <v>474</v>
      </c>
      <c r="E44" s="1781">
        <f>E41</f>
        <v>20277694</v>
      </c>
      <c r="F44" s="1780" t="s">
        <v>474</v>
      </c>
      <c r="G44" s="1781">
        <f>G41</f>
        <v>18387090</v>
      </c>
    </row>
    <row r="45" spans="1:7" ht="12" customHeight="1" x14ac:dyDescent="0.2">
      <c r="A45" s="960"/>
      <c r="B45" s="162"/>
      <c r="C45" s="162"/>
      <c r="D45" s="1782" t="s">
        <v>1006</v>
      </c>
      <c r="E45" s="1783">
        <f>(E43/E44)</f>
        <v>7.1436130755301863E-2</v>
      </c>
      <c r="F45" s="1782" t="s">
        <v>1006</v>
      </c>
      <c r="G45" s="1783">
        <f>(G43/G44)</f>
        <v>0.18160372304698569</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view="pageBreakPreview" zoomScaleNormal="110" zoomScaleSheetLayoutView="100" workbookViewId="0">
      <pane ySplit="4" topLeftCell="A5" activePane="bottomLeft" state="frozen"/>
      <selection activeCell="AF22" sqref="AF22"/>
      <selection pane="bottomLeft" activeCell="F33" sqref="F33"/>
    </sheetView>
  </sheetViews>
  <sheetFormatPr defaultColWidth="9.140625" defaultRowHeight="12.75" x14ac:dyDescent="0.2"/>
  <cols>
    <col min="1" max="1" width="54.5703125" style="1849" customWidth="1"/>
    <col min="2" max="2" width="4.140625" style="1849" customWidth="1"/>
    <col min="3" max="4" width="9.85546875" style="1820" customWidth="1"/>
    <col min="5" max="5" width="12.5703125" style="1850" customWidth="1"/>
    <col min="6" max="6" width="67.5703125" style="1820" customWidth="1"/>
    <col min="7" max="7" width="9.140625" style="1820" customWidth="1"/>
    <col min="8" max="8" width="7.5703125" style="1851" bestFit="1" customWidth="1"/>
    <col min="9" max="10" width="4" style="1851" bestFit="1" customWidth="1"/>
    <col min="11" max="11" width="9" style="1851" customWidth="1"/>
    <col min="12" max="16384" width="9.140625" style="1820"/>
  </cols>
  <sheetData>
    <row r="1" spans="1:10" x14ac:dyDescent="0.2">
      <c r="A1" s="2381" t="s">
        <v>1379</v>
      </c>
      <c r="B1" s="2381"/>
      <c r="C1" s="2381"/>
      <c r="D1" s="2381"/>
      <c r="E1" s="2381"/>
      <c r="F1" s="2381"/>
    </row>
    <row r="2" spans="1:10" x14ac:dyDescent="0.2">
      <c r="A2" s="1860" t="s">
        <v>1909</v>
      </c>
      <c r="B2" s="1821"/>
      <c r="C2" s="1860"/>
      <c r="D2" s="1821"/>
      <c r="E2" s="1821"/>
      <c r="F2" s="1822"/>
    </row>
    <row r="3" spans="1:10" x14ac:dyDescent="0.2">
      <c r="A3" s="1860" t="s">
        <v>1975</v>
      </c>
      <c r="B3" s="1821"/>
      <c r="C3" s="1860"/>
      <c r="D3" s="1821"/>
      <c r="E3" s="1821"/>
      <c r="F3" s="1822"/>
    </row>
    <row r="4" spans="1:10" ht="3.75" customHeight="1" x14ac:dyDescent="0.2">
      <c r="A4" s="1821"/>
      <c r="B4" s="1821"/>
      <c r="C4" s="1821"/>
      <c r="D4" s="1821"/>
      <c r="E4" s="1821"/>
      <c r="F4" s="1822"/>
    </row>
    <row r="5" spans="1:10" ht="15" x14ac:dyDescent="0.25">
      <c r="A5" s="2382" t="s">
        <v>1546</v>
      </c>
      <c r="B5" s="2383"/>
      <c r="C5" s="2384"/>
      <c r="D5" s="2384"/>
      <c r="E5" s="2384"/>
      <c r="F5" s="2384"/>
    </row>
    <row r="6" spans="1:10" ht="12" customHeight="1" x14ac:dyDescent="0.25">
      <c r="A6" s="1823"/>
      <c r="B6" s="1824"/>
      <c r="C6" s="2385" t="str">
        <f>COVER!A17</f>
        <v>Lake Villa CCSD 41</v>
      </c>
      <c r="D6" s="2385"/>
      <c r="E6" s="2385"/>
      <c r="F6" s="1825"/>
    </row>
    <row r="7" spans="1:10" ht="11.25" customHeight="1" thickBot="1" x14ac:dyDescent="0.3">
      <c r="A7" s="1823"/>
      <c r="B7" s="1824"/>
      <c r="C7" s="2386">
        <f>COVER!A13</f>
        <v>34049041004</v>
      </c>
      <c r="D7" s="2386"/>
      <c r="E7" s="2386"/>
      <c r="F7" s="1825"/>
    </row>
    <row r="8" spans="1:10" ht="25.5" customHeight="1" thickBot="1" x14ac:dyDescent="0.25">
      <c r="A8" s="1866" t="s">
        <v>1905</v>
      </c>
      <c r="B8" s="1826"/>
      <c r="C8" s="1862" t="s">
        <v>1681</v>
      </c>
      <c r="D8" s="1861" t="s">
        <v>1682</v>
      </c>
      <c r="E8" s="1863" t="s">
        <v>1380</v>
      </c>
      <c r="F8" s="1861" t="s">
        <v>1683</v>
      </c>
      <c r="H8" s="1827" t="b">
        <v>0</v>
      </c>
    </row>
    <row r="9" spans="1:10" ht="15.75" customHeight="1" x14ac:dyDescent="0.2">
      <c r="A9" s="1828" t="s">
        <v>1542</v>
      </c>
      <c r="B9" s="1829"/>
      <c r="C9" s="1830"/>
      <c r="D9" s="1830"/>
      <c r="E9" s="1831"/>
      <c r="F9" s="1832"/>
    </row>
    <row r="10" spans="1:10" ht="27.75" customHeight="1" x14ac:dyDescent="0.2">
      <c r="A10" s="1833" t="s">
        <v>1680</v>
      </c>
      <c r="B10" s="1834"/>
      <c r="C10" s="1835"/>
      <c r="D10" s="1835"/>
      <c r="E10" s="1864" t="s">
        <v>1381</v>
      </c>
      <c r="F10" s="1865" t="s">
        <v>1382</v>
      </c>
    </row>
    <row r="11" spans="1:10" ht="12" customHeight="1" x14ac:dyDescent="0.2">
      <c r="A11" s="1836" t="s">
        <v>1383</v>
      </c>
      <c r="B11" s="1837"/>
      <c r="C11" s="1838"/>
      <c r="D11" s="1838"/>
      <c r="E11" s="1839"/>
      <c r="F11" s="1840"/>
      <c r="H11" s="1851">
        <f>IF(C11="X",5,0)</f>
        <v>0</v>
      </c>
      <c r="I11" s="1851">
        <f>IF(D11="X",5,0)</f>
        <v>0</v>
      </c>
      <c r="J11" s="1851">
        <f>IF(E11="X",5,0)</f>
        <v>0</v>
      </c>
    </row>
    <row r="12" spans="1:10" ht="12" customHeight="1" x14ac:dyDescent="0.2">
      <c r="A12" s="1836" t="s">
        <v>1384</v>
      </c>
      <c r="B12" s="1837"/>
      <c r="C12" s="1838"/>
      <c r="D12" s="1838"/>
      <c r="E12" s="1841"/>
      <c r="F12" s="1840"/>
      <c r="H12" s="1851">
        <f t="shared" ref="H12:H33" si="0">IF(C12="X",5,0)</f>
        <v>0</v>
      </c>
      <c r="I12" s="1851">
        <f t="shared" ref="I12:I33" si="1">IF(D12="X",5,0)</f>
        <v>0</v>
      </c>
      <c r="J12" s="1851">
        <f t="shared" ref="J12:J33" si="2">IF(E12="X",5,0)</f>
        <v>0</v>
      </c>
    </row>
    <row r="13" spans="1:10" ht="12" customHeight="1" x14ac:dyDescent="0.2">
      <c r="A13" s="1836" t="s">
        <v>1385</v>
      </c>
      <c r="B13" s="1837"/>
      <c r="C13" s="1838"/>
      <c r="D13" s="1838"/>
      <c r="E13" s="1841"/>
      <c r="F13" s="1840"/>
      <c r="H13" s="1851">
        <f t="shared" si="0"/>
        <v>0</v>
      </c>
      <c r="I13" s="1851">
        <f t="shared" si="1"/>
        <v>0</v>
      </c>
      <c r="J13" s="1851">
        <f t="shared" si="2"/>
        <v>0</v>
      </c>
    </row>
    <row r="14" spans="1:10" ht="12" customHeight="1" x14ac:dyDescent="0.2">
      <c r="A14" s="1836" t="s">
        <v>1386</v>
      </c>
      <c r="B14" s="1837"/>
      <c r="C14" s="1838" t="s">
        <v>2120</v>
      </c>
      <c r="D14" s="1838" t="s">
        <v>2120</v>
      </c>
      <c r="E14" s="1841" t="s">
        <v>2120</v>
      </c>
      <c r="F14" s="1840" t="s">
        <v>2164</v>
      </c>
      <c r="H14" s="1851">
        <f t="shared" si="0"/>
        <v>5</v>
      </c>
      <c r="I14" s="1851">
        <f t="shared" si="1"/>
        <v>5</v>
      </c>
      <c r="J14" s="1851">
        <f t="shared" si="2"/>
        <v>5</v>
      </c>
    </row>
    <row r="15" spans="1:10" ht="12" customHeight="1" x14ac:dyDescent="0.2">
      <c r="A15" s="1836" t="s">
        <v>1387</v>
      </c>
      <c r="B15" s="1837"/>
      <c r="C15" s="1838" t="s">
        <v>2120</v>
      </c>
      <c r="D15" s="1838" t="s">
        <v>2120</v>
      </c>
      <c r="E15" s="1841" t="s">
        <v>2120</v>
      </c>
      <c r="F15" s="1840" t="s">
        <v>2165</v>
      </c>
      <c r="H15" s="1851">
        <f t="shared" si="0"/>
        <v>5</v>
      </c>
      <c r="I15" s="1851">
        <f t="shared" si="1"/>
        <v>5</v>
      </c>
      <c r="J15" s="1851">
        <f t="shared" si="2"/>
        <v>5</v>
      </c>
    </row>
    <row r="16" spans="1:10" ht="12" customHeight="1" x14ac:dyDescent="0.2">
      <c r="A16" s="1836" t="s">
        <v>1388</v>
      </c>
      <c r="B16" s="1837"/>
      <c r="C16" s="1838"/>
      <c r="D16" s="1838"/>
      <c r="E16" s="1841"/>
      <c r="F16" s="1840"/>
      <c r="H16" s="1851">
        <f t="shared" si="0"/>
        <v>0</v>
      </c>
      <c r="I16" s="1851">
        <f t="shared" si="1"/>
        <v>0</v>
      </c>
      <c r="J16" s="1851">
        <f t="shared" si="2"/>
        <v>0</v>
      </c>
    </row>
    <row r="17" spans="1:12" ht="12" customHeight="1" x14ac:dyDescent="0.2">
      <c r="A17" s="1836" t="s">
        <v>1389</v>
      </c>
      <c r="B17" s="1837"/>
      <c r="C17" s="1838"/>
      <c r="D17" s="1838"/>
      <c r="E17" s="1841"/>
      <c r="F17" s="1840"/>
      <c r="H17" s="1851">
        <f t="shared" si="0"/>
        <v>0</v>
      </c>
      <c r="I17" s="1851">
        <f t="shared" si="1"/>
        <v>0</v>
      </c>
      <c r="J17" s="1851">
        <f t="shared" si="2"/>
        <v>0</v>
      </c>
    </row>
    <row r="18" spans="1:12" ht="12" customHeight="1" x14ac:dyDescent="0.2">
      <c r="A18" s="1836" t="s">
        <v>1390</v>
      </c>
      <c r="B18" s="1837"/>
      <c r="C18" s="1838"/>
      <c r="D18" s="1838"/>
      <c r="E18" s="1841"/>
      <c r="F18" s="1840"/>
      <c r="H18" s="1851">
        <f t="shared" si="0"/>
        <v>0</v>
      </c>
      <c r="I18" s="1851">
        <f t="shared" si="1"/>
        <v>0</v>
      </c>
      <c r="J18" s="1851">
        <f t="shared" si="2"/>
        <v>0</v>
      </c>
    </row>
    <row r="19" spans="1:12" ht="12" customHeight="1" x14ac:dyDescent="0.2">
      <c r="A19" s="1836" t="s">
        <v>1527</v>
      </c>
      <c r="B19" s="1837"/>
      <c r="C19" s="1838" t="s">
        <v>2120</v>
      </c>
      <c r="D19" s="1838" t="s">
        <v>2120</v>
      </c>
      <c r="E19" s="1841" t="s">
        <v>2120</v>
      </c>
      <c r="F19" s="1840" t="s">
        <v>2162</v>
      </c>
      <c r="H19" s="1851">
        <f t="shared" si="0"/>
        <v>5</v>
      </c>
      <c r="I19" s="1851">
        <f t="shared" si="1"/>
        <v>5</v>
      </c>
      <c r="J19" s="1851">
        <f t="shared" si="2"/>
        <v>5</v>
      </c>
    </row>
    <row r="20" spans="1:12" ht="12" customHeight="1" x14ac:dyDescent="0.2">
      <c r="A20" s="1836" t="s">
        <v>1528</v>
      </c>
      <c r="B20" s="1837"/>
      <c r="C20" s="1838" t="s">
        <v>2120</v>
      </c>
      <c r="D20" s="1838" t="s">
        <v>2120</v>
      </c>
      <c r="E20" s="1841" t="s">
        <v>2120</v>
      </c>
      <c r="F20" s="1840" t="s">
        <v>2163</v>
      </c>
      <c r="H20" s="1851">
        <f t="shared" si="0"/>
        <v>5</v>
      </c>
      <c r="I20" s="1851">
        <f t="shared" si="1"/>
        <v>5</v>
      </c>
      <c r="J20" s="1851">
        <f t="shared" si="2"/>
        <v>5</v>
      </c>
    </row>
    <row r="21" spans="1:12" ht="12" customHeight="1" x14ac:dyDescent="0.2">
      <c r="A21" s="1836" t="s">
        <v>1529</v>
      </c>
      <c r="B21" s="1837"/>
      <c r="C21" s="1838"/>
      <c r="D21" s="1838"/>
      <c r="E21" s="1841"/>
      <c r="F21" s="1840"/>
      <c r="H21" s="1851">
        <f t="shared" si="0"/>
        <v>0</v>
      </c>
      <c r="I21" s="1851">
        <f t="shared" si="1"/>
        <v>0</v>
      </c>
      <c r="J21" s="1851">
        <f t="shared" si="2"/>
        <v>0</v>
      </c>
    </row>
    <row r="22" spans="1:12" ht="12" customHeight="1" x14ac:dyDescent="0.2">
      <c r="A22" s="1836" t="s">
        <v>1530</v>
      </c>
      <c r="B22" s="1837"/>
      <c r="C22" s="1838"/>
      <c r="D22" s="1838"/>
      <c r="E22" s="1841"/>
      <c r="F22" s="1840"/>
      <c r="H22" s="1851">
        <f t="shared" si="0"/>
        <v>0</v>
      </c>
      <c r="I22" s="1851">
        <f t="shared" si="1"/>
        <v>0</v>
      </c>
      <c r="J22" s="1851">
        <f t="shared" si="2"/>
        <v>0</v>
      </c>
    </row>
    <row r="23" spans="1:12" ht="12" customHeight="1" x14ac:dyDescent="0.2">
      <c r="A23" s="1836" t="s">
        <v>1531</v>
      </c>
      <c r="B23" s="1837"/>
      <c r="C23" s="1838"/>
      <c r="D23" s="1838"/>
      <c r="E23" s="1841"/>
      <c r="F23" s="1840"/>
      <c r="H23" s="1851">
        <f t="shared" si="0"/>
        <v>0</v>
      </c>
      <c r="I23" s="1851">
        <f t="shared" si="1"/>
        <v>0</v>
      </c>
      <c r="J23" s="1851">
        <f t="shared" si="2"/>
        <v>0</v>
      </c>
    </row>
    <row r="24" spans="1:12" ht="12" customHeight="1" x14ac:dyDescent="0.2">
      <c r="A24" s="1836" t="s">
        <v>1532</v>
      </c>
      <c r="B24" s="1837"/>
      <c r="C24" s="1838"/>
      <c r="D24" s="1838"/>
      <c r="E24" s="1841"/>
      <c r="F24" s="1840"/>
      <c r="H24" s="1851">
        <f t="shared" si="0"/>
        <v>0</v>
      </c>
      <c r="I24" s="1851">
        <f t="shared" si="1"/>
        <v>0</v>
      </c>
      <c r="J24" s="1851">
        <f t="shared" si="2"/>
        <v>0</v>
      </c>
    </row>
    <row r="25" spans="1:12" ht="12" customHeight="1" x14ac:dyDescent="0.2">
      <c r="A25" s="1836" t="s">
        <v>1533</v>
      </c>
      <c r="B25" s="1837"/>
      <c r="C25" s="1838"/>
      <c r="D25" s="1838"/>
      <c r="E25" s="1841"/>
      <c r="F25" s="1840"/>
      <c r="H25" s="1851">
        <f t="shared" si="0"/>
        <v>0</v>
      </c>
      <c r="I25" s="1851">
        <f t="shared" si="1"/>
        <v>0</v>
      </c>
      <c r="J25" s="1851">
        <f t="shared" si="2"/>
        <v>0</v>
      </c>
    </row>
    <row r="26" spans="1:12" ht="12" customHeight="1" x14ac:dyDescent="0.2">
      <c r="A26" s="1836" t="s">
        <v>1534</v>
      </c>
      <c r="B26" s="1837"/>
      <c r="C26" s="1838" t="s">
        <v>2120</v>
      </c>
      <c r="D26" s="1838" t="s">
        <v>2120</v>
      </c>
      <c r="E26" s="1841" t="s">
        <v>2120</v>
      </c>
      <c r="F26" s="1840" t="s">
        <v>2166</v>
      </c>
      <c r="H26" s="1851">
        <f t="shared" si="0"/>
        <v>5</v>
      </c>
      <c r="I26" s="1851">
        <f t="shared" si="1"/>
        <v>5</v>
      </c>
      <c r="J26" s="1851">
        <f t="shared" si="2"/>
        <v>5</v>
      </c>
    </row>
    <row r="27" spans="1:12" ht="18.75" x14ac:dyDescent="0.2">
      <c r="A27" s="1836" t="s">
        <v>1535</v>
      </c>
      <c r="B27" s="1837"/>
      <c r="C27" s="1838"/>
      <c r="D27" s="1838"/>
      <c r="E27" s="1841"/>
      <c r="F27" s="1840"/>
      <c r="H27" s="1851">
        <f t="shared" si="0"/>
        <v>0</v>
      </c>
      <c r="I27" s="1851">
        <f t="shared" si="1"/>
        <v>0</v>
      </c>
      <c r="J27" s="1851">
        <f t="shared" si="2"/>
        <v>0</v>
      </c>
    </row>
    <row r="28" spans="1:12" ht="12" customHeight="1" x14ac:dyDescent="0.2">
      <c r="A28" s="1836" t="s">
        <v>1536</v>
      </c>
      <c r="B28" s="1837"/>
      <c r="C28" s="1838"/>
      <c r="D28" s="1838"/>
      <c r="E28" s="1841"/>
      <c r="F28" s="1840"/>
      <c r="H28" s="1851">
        <f t="shared" si="0"/>
        <v>0</v>
      </c>
      <c r="I28" s="1851">
        <f t="shared" si="1"/>
        <v>0</v>
      </c>
      <c r="J28" s="1851">
        <f t="shared" si="2"/>
        <v>0</v>
      </c>
    </row>
    <row r="29" spans="1:12" ht="12" customHeight="1" x14ac:dyDescent="0.2">
      <c r="A29" s="1836" t="s">
        <v>1537</v>
      </c>
      <c r="B29" s="1837"/>
      <c r="C29" s="1838"/>
      <c r="D29" s="1838"/>
      <c r="E29" s="1841"/>
      <c r="F29" s="1840"/>
      <c r="H29" s="1851">
        <f t="shared" si="0"/>
        <v>0</v>
      </c>
      <c r="I29" s="1851">
        <f t="shared" si="1"/>
        <v>0</v>
      </c>
      <c r="J29" s="1851">
        <f t="shared" si="2"/>
        <v>0</v>
      </c>
    </row>
    <row r="30" spans="1:12" ht="12" customHeight="1" x14ac:dyDescent="0.2">
      <c r="A30" s="1836" t="s">
        <v>1538</v>
      </c>
      <c r="B30" s="1837"/>
      <c r="C30" s="1838" t="s">
        <v>2120</v>
      </c>
      <c r="D30" s="1838" t="s">
        <v>2120</v>
      </c>
      <c r="E30" s="1841" t="s">
        <v>2120</v>
      </c>
      <c r="F30" s="1840" t="s">
        <v>2167</v>
      </c>
      <c r="H30" s="1851">
        <f t="shared" si="0"/>
        <v>5</v>
      </c>
      <c r="I30" s="1851">
        <f t="shared" si="1"/>
        <v>5</v>
      </c>
      <c r="J30" s="1851">
        <f t="shared" si="2"/>
        <v>5</v>
      </c>
    </row>
    <row r="31" spans="1:12" ht="12" customHeight="1" x14ac:dyDescent="0.2">
      <c r="A31" s="1836" t="s">
        <v>1539</v>
      </c>
      <c r="B31" s="1837"/>
      <c r="C31" s="1838"/>
      <c r="D31" s="1838"/>
      <c r="E31" s="1841"/>
      <c r="F31" s="1840"/>
      <c r="H31" s="1851">
        <f t="shared" si="0"/>
        <v>0</v>
      </c>
      <c r="I31" s="1851">
        <f t="shared" si="1"/>
        <v>0</v>
      </c>
      <c r="J31" s="1851">
        <f t="shared" si="2"/>
        <v>0</v>
      </c>
      <c r="L31" s="1842"/>
    </row>
    <row r="32" spans="1:12" ht="12" customHeight="1" x14ac:dyDescent="0.2">
      <c r="A32" s="1836" t="s">
        <v>1540</v>
      </c>
      <c r="B32" s="1837"/>
      <c r="C32" s="1838" t="s">
        <v>2120</v>
      </c>
      <c r="D32" s="1838" t="s">
        <v>2120</v>
      </c>
      <c r="E32" s="1841" t="s">
        <v>2120</v>
      </c>
      <c r="F32" s="1840" t="s">
        <v>2168</v>
      </c>
      <c r="H32" s="1851">
        <f t="shared" si="0"/>
        <v>5</v>
      </c>
      <c r="I32" s="1851">
        <f t="shared" si="1"/>
        <v>5</v>
      </c>
      <c r="J32" s="1851">
        <f t="shared" si="2"/>
        <v>5</v>
      </c>
    </row>
    <row r="33" spans="1:11" ht="12" customHeight="1" x14ac:dyDescent="0.2">
      <c r="A33" s="1836" t="s">
        <v>1541</v>
      </c>
      <c r="B33" s="1837"/>
      <c r="C33" s="1838"/>
      <c r="D33" s="1838"/>
      <c r="E33" s="1841"/>
      <c r="F33" s="1840"/>
      <c r="H33" s="1851">
        <f t="shared" si="0"/>
        <v>0</v>
      </c>
      <c r="I33" s="1851">
        <f t="shared" si="1"/>
        <v>0</v>
      </c>
      <c r="J33" s="1851">
        <f t="shared" si="2"/>
        <v>0</v>
      </c>
    </row>
    <row r="34" spans="1:11" ht="12" customHeight="1" x14ac:dyDescent="0.25">
      <c r="A34" s="1843"/>
      <c r="B34" s="1843"/>
      <c r="C34" s="1843"/>
      <c r="D34" s="1843"/>
      <c r="E34" s="1843"/>
      <c r="F34" s="1843"/>
      <c r="H34" s="1851">
        <f>SUM(H11:H32)</f>
        <v>35</v>
      </c>
      <c r="I34" s="1851">
        <f>SUM(I11:I32)</f>
        <v>35</v>
      </c>
      <c r="J34" s="1851">
        <f>SUM(J11:J32)</f>
        <v>35</v>
      </c>
      <c r="K34" s="1851">
        <f>SUM(H34:J34)</f>
        <v>105</v>
      </c>
    </row>
    <row r="35" spans="1:11" ht="12" customHeight="1" x14ac:dyDescent="0.2">
      <c r="A35" s="1844" t="s">
        <v>1392</v>
      </c>
      <c r="B35" s="1845"/>
      <c r="C35" s="2387"/>
      <c r="D35" s="2387"/>
      <c r="E35" s="2387"/>
      <c r="F35" s="2388"/>
    </row>
    <row r="36" spans="1:11" ht="12" customHeight="1" x14ac:dyDescent="0.2">
      <c r="A36" s="2370"/>
      <c r="B36" s="2371"/>
      <c r="C36" s="2371"/>
      <c r="D36" s="2371"/>
      <c r="E36" s="2371"/>
      <c r="F36" s="2372"/>
    </row>
    <row r="37" spans="1:11" ht="12" customHeight="1" x14ac:dyDescent="0.2">
      <c r="A37" s="2370"/>
      <c r="B37" s="2371"/>
      <c r="C37" s="2371"/>
      <c r="D37" s="2371"/>
      <c r="E37" s="2371"/>
      <c r="F37" s="2372"/>
    </row>
    <row r="38" spans="1:11" ht="12" customHeight="1" x14ac:dyDescent="0.2">
      <c r="A38" s="2373"/>
      <c r="B38" s="2374"/>
      <c r="C38" s="2374"/>
      <c r="D38" s="2374"/>
      <c r="E38" s="2374"/>
      <c r="F38" s="2375"/>
    </row>
    <row r="39" spans="1:11" ht="4.5" hidden="1" customHeight="1" x14ac:dyDescent="0.2">
      <c r="A39" s="1846"/>
      <c r="B39" s="1846"/>
      <c r="C39" s="1846"/>
      <c r="D39" s="1846"/>
      <c r="E39" s="1846"/>
      <c r="F39" s="1846"/>
    </row>
    <row r="40" spans="1:11" s="1843" customFormat="1" ht="12" customHeight="1" x14ac:dyDescent="0.25">
      <c r="A40" s="1847" t="s">
        <v>1391</v>
      </c>
      <c r="B40" s="1848"/>
      <c r="C40" s="2376"/>
      <c r="D40" s="2376"/>
      <c r="E40" s="2376"/>
      <c r="F40" s="2377"/>
      <c r="H40" s="1852"/>
      <c r="I40" s="1852"/>
      <c r="J40" s="1852"/>
      <c r="K40" s="1852"/>
    </row>
    <row r="41" spans="1:11" s="1843" customFormat="1" ht="12" customHeight="1" x14ac:dyDescent="0.25">
      <c r="A41" s="2378"/>
      <c r="B41" s="2379"/>
      <c r="C41" s="2379"/>
      <c r="D41" s="2379"/>
      <c r="E41" s="2379"/>
      <c r="F41" s="2380"/>
      <c r="H41" s="1852"/>
      <c r="I41" s="1852"/>
      <c r="J41" s="1852"/>
      <c r="K41" s="1852"/>
    </row>
    <row r="42" spans="1:11" s="1843" customFormat="1" ht="12" customHeight="1" x14ac:dyDescent="0.25">
      <c r="A42" s="2378"/>
      <c r="B42" s="2379"/>
      <c r="C42" s="2379"/>
      <c r="D42" s="2379"/>
      <c r="E42" s="2379"/>
      <c r="F42" s="2380"/>
      <c r="H42" s="1852"/>
      <c r="I42" s="1852"/>
      <c r="J42" s="1852"/>
      <c r="K42" s="1852"/>
    </row>
    <row r="43" spans="1:11" s="1843" customFormat="1" ht="15" x14ac:dyDescent="0.25">
      <c r="A43" s="2367"/>
      <c r="B43" s="2368"/>
      <c r="C43" s="2368"/>
      <c r="D43" s="2368"/>
      <c r="E43" s="2368"/>
      <c r="F43" s="2369"/>
      <c r="H43" s="1852"/>
      <c r="I43" s="1852"/>
      <c r="J43" s="1852"/>
      <c r="K43" s="1852"/>
    </row>
    <row r="44" spans="1:11" s="1843" customFormat="1" ht="12" hidden="1" customHeight="1" x14ac:dyDescent="0.25">
      <c r="A44" s="2367"/>
      <c r="B44" s="2368"/>
      <c r="C44" s="2368"/>
      <c r="D44" s="2368"/>
      <c r="E44" s="2368"/>
      <c r="F44" s="2369"/>
      <c r="H44" s="1852"/>
      <c r="I44" s="1852"/>
      <c r="J44" s="1852"/>
      <c r="K44" s="1852"/>
    </row>
    <row r="45" spans="1:11" s="1843" customFormat="1" ht="12" customHeight="1" x14ac:dyDescent="0.25">
      <c r="H45" s="1852"/>
      <c r="I45" s="1852"/>
      <c r="J45" s="1852"/>
      <c r="K45" s="1852"/>
    </row>
    <row r="46" spans="1:11" s="1843" customFormat="1" ht="9.75" customHeight="1" x14ac:dyDescent="0.25">
      <c r="H46" s="1852"/>
      <c r="I46" s="1852"/>
      <c r="J46" s="1852"/>
      <c r="K46" s="1852"/>
    </row>
    <row r="47" spans="1:11" s="1843" customFormat="1" ht="13.5" customHeight="1" x14ac:dyDescent="0.25">
      <c r="H47" s="1852"/>
      <c r="I47" s="1852"/>
      <c r="J47" s="1852"/>
      <c r="K47" s="1852"/>
    </row>
    <row r="48" spans="1:11" s="1843" customFormat="1" ht="15" x14ac:dyDescent="0.25">
      <c r="H48" s="1852"/>
      <c r="I48" s="1852"/>
      <c r="J48" s="1852"/>
      <c r="K48" s="1852"/>
    </row>
    <row r="49" spans="1:11" s="1843" customFormat="1" ht="15" hidden="1" x14ac:dyDescent="0.25">
      <c r="A49" s="1843" t="b">
        <v>0</v>
      </c>
      <c r="H49" s="1852"/>
      <c r="I49" s="1852"/>
      <c r="J49" s="1852"/>
      <c r="K49" s="1852"/>
    </row>
    <row r="50" spans="1:11" s="1843" customFormat="1" ht="15" x14ac:dyDescent="0.25">
      <c r="H50" s="1852"/>
      <c r="I50" s="1852"/>
      <c r="J50" s="1852"/>
      <c r="K50" s="1852"/>
    </row>
    <row r="51" spans="1:11" s="1843" customFormat="1" ht="15" x14ac:dyDescent="0.25">
      <c r="H51" s="1852"/>
      <c r="I51" s="1852"/>
      <c r="J51" s="1852"/>
      <c r="K51" s="1852"/>
    </row>
    <row r="52" spans="1:11" s="1843" customFormat="1" ht="15" x14ac:dyDescent="0.25">
      <c r="H52" s="1852"/>
      <c r="I52" s="1852"/>
      <c r="J52" s="1852"/>
      <c r="K52" s="1852"/>
    </row>
    <row r="53" spans="1:11" s="1843" customFormat="1" ht="15" x14ac:dyDescent="0.25">
      <c r="H53" s="1852"/>
      <c r="I53" s="1852"/>
      <c r="J53" s="1852"/>
      <c r="K53" s="1852"/>
    </row>
    <row r="54" spans="1:11" s="1843" customFormat="1" ht="15" x14ac:dyDescent="0.25">
      <c r="H54" s="1852"/>
      <c r="I54" s="1852"/>
      <c r="J54" s="1852"/>
      <c r="K54" s="1852"/>
    </row>
    <row r="55" spans="1:11" s="1843" customFormat="1" ht="15" x14ac:dyDescent="0.25">
      <c r="H55" s="1852"/>
      <c r="I55" s="1852"/>
      <c r="J55" s="1852"/>
      <c r="K55" s="1852"/>
    </row>
    <row r="56" spans="1:11" s="1843" customFormat="1" ht="15" x14ac:dyDescent="0.25">
      <c r="H56" s="1852"/>
      <c r="I56" s="1852"/>
      <c r="J56" s="1852"/>
      <c r="K56" s="1852"/>
    </row>
    <row r="57" spans="1:11" s="1843" customFormat="1" ht="15" x14ac:dyDescent="0.25">
      <c r="H57" s="1852"/>
      <c r="I57" s="1852"/>
      <c r="J57" s="1852"/>
      <c r="K57" s="1852"/>
    </row>
    <row r="58" spans="1:11" s="1843" customFormat="1" ht="15" x14ac:dyDescent="0.25">
      <c r="H58" s="1852"/>
      <c r="I58" s="1852"/>
      <c r="J58" s="1852"/>
      <c r="K58" s="1852"/>
    </row>
    <row r="59" spans="1:11" s="1843" customFormat="1" ht="15" x14ac:dyDescent="0.25">
      <c r="H59" s="1852"/>
      <c r="I59" s="1852"/>
      <c r="J59" s="1852"/>
      <c r="K59" s="1852"/>
    </row>
    <row r="60" spans="1:11" s="1843" customFormat="1" ht="15" x14ac:dyDescent="0.25">
      <c r="H60" s="1852"/>
      <c r="I60" s="1852"/>
      <c r="J60" s="1852"/>
      <c r="K60" s="1852"/>
    </row>
    <row r="61" spans="1:11" s="1843" customFormat="1" ht="15" x14ac:dyDescent="0.25">
      <c r="H61" s="1852"/>
      <c r="I61" s="1852"/>
      <c r="J61" s="1852"/>
      <c r="K61" s="1852"/>
    </row>
    <row r="62" spans="1:11" s="1843" customFormat="1" ht="15" x14ac:dyDescent="0.25">
      <c r="H62" s="1852"/>
      <c r="I62" s="1852"/>
      <c r="J62" s="1852"/>
      <c r="K62" s="1852"/>
    </row>
    <row r="63" spans="1:11" s="1843" customFormat="1" ht="15" x14ac:dyDescent="0.25">
      <c r="H63" s="1852"/>
      <c r="I63" s="1852"/>
      <c r="J63" s="1852"/>
      <c r="K63" s="1852"/>
    </row>
    <row r="64" spans="1:11" s="1843" customFormat="1" ht="15" x14ac:dyDescent="0.25">
      <c r="H64" s="1852"/>
      <c r="I64" s="1852"/>
      <c r="J64" s="1852"/>
      <c r="K64" s="1852"/>
    </row>
    <row r="65" spans="8:11" s="1843" customFormat="1" ht="15" x14ac:dyDescent="0.25">
      <c r="H65" s="1852"/>
      <c r="I65" s="1852"/>
      <c r="J65" s="1852"/>
      <c r="K65" s="1852"/>
    </row>
    <row r="66" spans="8:11" s="1843" customFormat="1" ht="15" x14ac:dyDescent="0.25">
      <c r="H66" s="1852"/>
      <c r="I66" s="1852"/>
      <c r="J66" s="1852"/>
      <c r="K66" s="1852"/>
    </row>
    <row r="67" spans="8:11" s="1843" customFormat="1" ht="15" x14ac:dyDescent="0.25">
      <c r="H67" s="1852"/>
      <c r="I67" s="1852"/>
      <c r="J67" s="1852"/>
      <c r="K67" s="1852"/>
    </row>
    <row r="68" spans="8:11" s="1843" customFormat="1" ht="15" x14ac:dyDescent="0.25">
      <c r="H68" s="1852"/>
      <c r="I68" s="1852"/>
      <c r="J68" s="1852"/>
      <c r="K68" s="1852"/>
    </row>
    <row r="69" spans="8:11" s="1843" customFormat="1" ht="15" x14ac:dyDescent="0.25">
      <c r="H69" s="1852"/>
      <c r="I69" s="1852"/>
      <c r="J69" s="1852"/>
      <c r="K69" s="1852"/>
    </row>
    <row r="70" spans="8:11" s="1843" customFormat="1" ht="15" x14ac:dyDescent="0.25">
      <c r="H70" s="1852"/>
      <c r="I70" s="1852"/>
      <c r="J70" s="1852"/>
      <c r="K70" s="1852"/>
    </row>
    <row r="71" spans="8:11" s="1843" customFormat="1" ht="15" x14ac:dyDescent="0.25">
      <c r="H71" s="1852"/>
      <c r="I71" s="1852"/>
      <c r="J71" s="1852"/>
      <c r="K71" s="1852"/>
    </row>
    <row r="72" spans="8:11" s="1843" customFormat="1" ht="15" x14ac:dyDescent="0.25">
      <c r="H72" s="1852"/>
      <c r="I72" s="1852"/>
      <c r="J72" s="1852"/>
      <c r="K72" s="1852"/>
    </row>
    <row r="73" spans="8:11" s="1843" customFormat="1" ht="15" x14ac:dyDescent="0.25">
      <c r="H73" s="1852"/>
      <c r="I73" s="1852"/>
      <c r="J73" s="1852"/>
      <c r="K73" s="1852"/>
    </row>
    <row r="74" spans="8:11" s="1843" customFormat="1" ht="15" x14ac:dyDescent="0.25">
      <c r="H74" s="1852"/>
      <c r="I74" s="1852"/>
      <c r="J74" s="1852"/>
      <c r="K74" s="1852"/>
    </row>
    <row r="75" spans="8:11" s="1843" customFormat="1" ht="15" x14ac:dyDescent="0.25">
      <c r="H75" s="1852"/>
      <c r="I75" s="1852"/>
      <c r="J75" s="1852"/>
      <c r="K75" s="1852"/>
    </row>
    <row r="76" spans="8:11" s="1843" customFormat="1" ht="15" x14ac:dyDescent="0.25">
      <c r="H76" s="1852"/>
      <c r="I76" s="1852"/>
      <c r="J76" s="1852"/>
      <c r="K76" s="1852"/>
    </row>
    <row r="77" spans="8:11" s="1843" customFormat="1" ht="15" x14ac:dyDescent="0.25">
      <c r="H77" s="1852"/>
      <c r="I77" s="1852"/>
      <c r="J77" s="1852"/>
      <c r="K77" s="1852"/>
    </row>
    <row r="78" spans="8:11" s="1843" customFormat="1" ht="15" x14ac:dyDescent="0.25">
      <c r="H78" s="1852"/>
      <c r="I78" s="1852"/>
      <c r="J78" s="1852"/>
      <c r="K78" s="1852"/>
    </row>
    <row r="79" spans="8:11" s="1843" customFormat="1" ht="15" x14ac:dyDescent="0.25">
      <c r="H79" s="1852"/>
      <c r="I79" s="1852"/>
      <c r="J79" s="1852"/>
      <c r="K79" s="1852"/>
    </row>
    <row r="80" spans="8:11" s="1843" customFormat="1" ht="15" x14ac:dyDescent="0.25">
      <c r="H80" s="1852"/>
      <c r="I80" s="1852"/>
      <c r="J80" s="1852"/>
      <c r="K80" s="1852"/>
    </row>
    <row r="81" spans="8:11" s="1843" customFormat="1" ht="15" x14ac:dyDescent="0.25">
      <c r="H81" s="1852"/>
      <c r="I81" s="1852"/>
      <c r="J81" s="1852"/>
      <c r="K81" s="1852"/>
    </row>
    <row r="82" spans="8:11" s="1843" customFormat="1" ht="15" x14ac:dyDescent="0.25">
      <c r="H82" s="1852"/>
      <c r="I82" s="1852"/>
      <c r="J82" s="1852"/>
      <c r="K82" s="1852"/>
    </row>
    <row r="83" spans="8:11" s="1843" customFormat="1" ht="15" x14ac:dyDescent="0.25">
      <c r="H83" s="1852"/>
      <c r="I83" s="1852"/>
      <c r="J83" s="1852"/>
      <c r="K83" s="1852"/>
    </row>
    <row r="84" spans="8:11" s="1843" customFormat="1" ht="15" x14ac:dyDescent="0.25">
      <c r="H84" s="1852"/>
      <c r="I84" s="1852"/>
      <c r="J84" s="1852"/>
      <c r="K84" s="1852"/>
    </row>
    <row r="85" spans="8:11" s="1843" customFormat="1" ht="15" x14ac:dyDescent="0.25">
      <c r="H85" s="1852"/>
      <c r="I85" s="1852"/>
      <c r="J85" s="1852"/>
      <c r="K85" s="1852"/>
    </row>
    <row r="86" spans="8:11" s="1843" customFormat="1" ht="15" x14ac:dyDescent="0.25">
      <c r="H86" s="1852"/>
      <c r="I86" s="1852"/>
      <c r="J86" s="1852"/>
      <c r="K86" s="1852"/>
    </row>
    <row r="87" spans="8:11" s="1843" customFormat="1" ht="15" x14ac:dyDescent="0.25">
      <c r="H87" s="1852"/>
      <c r="I87" s="1852"/>
      <c r="J87" s="1852"/>
      <c r="K87" s="1852"/>
    </row>
    <row r="88" spans="8:11" s="1843" customFormat="1" ht="15" x14ac:dyDescent="0.25">
      <c r="H88" s="1852"/>
      <c r="I88" s="1852"/>
      <c r="J88" s="1852"/>
      <c r="K88" s="1852"/>
    </row>
    <row r="89" spans="8:11" s="1843" customFormat="1" ht="15" x14ac:dyDescent="0.25">
      <c r="H89" s="1852"/>
      <c r="I89" s="1852"/>
      <c r="J89" s="1852"/>
      <c r="K89" s="1852"/>
    </row>
    <row r="90" spans="8:11" s="1843" customFormat="1" ht="15" x14ac:dyDescent="0.25">
      <c r="H90" s="1852"/>
      <c r="I90" s="1852"/>
      <c r="J90" s="1852"/>
      <c r="K90" s="1852"/>
    </row>
    <row r="91" spans="8:11" s="1843" customFormat="1" ht="15" x14ac:dyDescent="0.25">
      <c r="H91" s="1852"/>
      <c r="I91" s="1852"/>
      <c r="J91" s="1852"/>
      <c r="K91" s="1852"/>
    </row>
    <row r="92" spans="8:11" s="1843" customFormat="1" ht="15" x14ac:dyDescent="0.25">
      <c r="H92" s="1852"/>
      <c r="I92" s="1852"/>
      <c r="J92" s="1852"/>
      <c r="K92" s="1852"/>
    </row>
    <row r="93" spans="8:11" s="1843" customFormat="1" ht="15" x14ac:dyDescent="0.25">
      <c r="H93" s="1852"/>
      <c r="I93" s="1852"/>
      <c r="J93" s="1852"/>
      <c r="K93" s="1852"/>
    </row>
    <row r="94" spans="8:11" s="1843" customFormat="1" ht="15" x14ac:dyDescent="0.25">
      <c r="H94" s="1852"/>
      <c r="I94" s="1852"/>
      <c r="J94" s="1852"/>
      <c r="K94" s="1852"/>
    </row>
    <row r="95" spans="8:11" s="1843" customFormat="1" ht="15" x14ac:dyDescent="0.25">
      <c r="H95" s="1852"/>
      <c r="I95" s="1852"/>
      <c r="J95" s="1852"/>
      <c r="K95" s="1852"/>
    </row>
    <row r="96" spans="8:11" s="1843" customFormat="1" ht="15" x14ac:dyDescent="0.25">
      <c r="H96" s="1852"/>
      <c r="I96" s="1852"/>
      <c r="J96" s="1852"/>
      <c r="K96" s="1852"/>
    </row>
    <row r="97" spans="8:11" s="1843" customFormat="1" ht="15" x14ac:dyDescent="0.25">
      <c r="H97" s="1852"/>
      <c r="I97" s="1852"/>
      <c r="J97" s="1852"/>
      <c r="K97" s="185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69"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view="pageBreakPreview" colorId="8" zoomScale="60" zoomScaleNormal="110" workbookViewId="0">
      <selection activeCell="H13" sqref="H13"/>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405</v>
      </c>
      <c r="G1" s="986"/>
    </row>
    <row r="2" spans="1:17" ht="11.85" customHeight="1" x14ac:dyDescent="0.2">
      <c r="A2" s="981"/>
      <c r="B2" s="982"/>
      <c r="E2" s="984"/>
      <c r="F2" s="987" t="s">
        <v>290</v>
      </c>
      <c r="G2" s="986"/>
    </row>
    <row r="3" spans="1:17" ht="11.85" customHeight="1" x14ac:dyDescent="0.2">
      <c r="E3" s="984"/>
      <c r="F3" s="987" t="s">
        <v>406</v>
      </c>
      <c r="G3" s="984"/>
    </row>
    <row r="4" spans="1:17" ht="11.85" customHeight="1" x14ac:dyDescent="0.2">
      <c r="E4" s="984"/>
      <c r="F4" s="987" t="s">
        <v>868</v>
      </c>
      <c r="G4" s="984"/>
    </row>
    <row r="5" spans="1:17" ht="12.2" customHeight="1" x14ac:dyDescent="0.2">
      <c r="F5" s="987"/>
    </row>
    <row r="6" spans="1:17" x14ac:dyDescent="0.2">
      <c r="A6" s="1867" t="s">
        <v>672</v>
      </c>
      <c r="B6" s="1615"/>
      <c r="C6" s="1615"/>
      <c r="D6" s="1615"/>
      <c r="E6" s="1616"/>
      <c r="F6" s="988"/>
      <c r="G6" s="982"/>
      <c r="H6" s="989" t="s">
        <v>1028</v>
      </c>
      <c r="I6" s="2394" t="str">
        <f>COVER!A17</f>
        <v>Lake Villa CCSD 41</v>
      </c>
      <c r="J6" s="2395"/>
      <c r="Q6" s="1637"/>
    </row>
    <row r="7" spans="1:17" x14ac:dyDescent="0.2">
      <c r="A7" s="2396" t="s">
        <v>869</v>
      </c>
      <c r="B7" s="2397"/>
      <c r="C7" s="2397"/>
      <c r="D7" s="2397"/>
      <c r="E7" s="2398"/>
      <c r="F7" s="990"/>
      <c r="G7" s="982"/>
      <c r="H7" s="989" t="s">
        <v>372</v>
      </c>
      <c r="I7" s="2399">
        <f>COVER!A13</f>
        <v>34049041004</v>
      </c>
      <c r="J7" s="2399"/>
    </row>
    <row r="8" spans="1:17" ht="8.25" customHeight="1" x14ac:dyDescent="0.2">
      <c r="A8" s="1617"/>
      <c r="B8" s="1618"/>
      <c r="C8" s="1618"/>
      <c r="D8" s="1618"/>
      <c r="E8" s="1619"/>
      <c r="F8" s="991"/>
      <c r="G8" s="992"/>
      <c r="H8" s="992"/>
      <c r="I8" s="992"/>
      <c r="J8" s="992"/>
    </row>
    <row r="9" spans="1:17" ht="13.5" customHeight="1" x14ac:dyDescent="0.2">
      <c r="A9" s="993"/>
      <c r="B9" s="994"/>
      <c r="C9" s="994"/>
      <c r="D9" s="995"/>
      <c r="E9" s="1868" t="s">
        <v>1976</v>
      </c>
      <c r="F9" s="996"/>
      <c r="G9" s="996"/>
      <c r="H9" s="1869" t="s">
        <v>1977</v>
      </c>
      <c r="I9" s="996"/>
      <c r="J9" s="997"/>
    </row>
    <row r="10" spans="1:17" s="1005" customFormat="1" ht="13.5" customHeight="1" x14ac:dyDescent="0.2">
      <c r="A10" s="998"/>
      <c r="B10" s="999"/>
      <c r="C10" s="1000"/>
      <c r="D10" s="1001"/>
      <c r="E10" s="1002" t="s">
        <v>425</v>
      </c>
      <c r="F10" s="1003" t="s">
        <v>426</v>
      </c>
      <c r="G10" s="1004"/>
      <c r="H10" s="1003" t="s">
        <v>425</v>
      </c>
      <c r="I10" s="1003" t="s">
        <v>426</v>
      </c>
      <c r="J10" s="1003"/>
    </row>
    <row r="11" spans="1:17" s="1005" customFormat="1" ht="22.5" x14ac:dyDescent="0.2">
      <c r="A11" s="2400" t="s">
        <v>481</v>
      </c>
      <c r="B11" s="2401"/>
      <c r="C11" s="2402"/>
      <c r="D11" s="1006" t="s">
        <v>871</v>
      </c>
      <c r="E11" s="1006" t="s">
        <v>64</v>
      </c>
      <c r="F11" s="1006" t="s">
        <v>6</v>
      </c>
      <c r="G11" s="1007" t="s">
        <v>156</v>
      </c>
      <c r="H11" s="1007" t="s">
        <v>64</v>
      </c>
      <c r="I11" s="1006" t="s">
        <v>6</v>
      </c>
      <c r="J11" s="1007" t="s">
        <v>156</v>
      </c>
    </row>
    <row r="12" spans="1:17" ht="15" customHeight="1" x14ac:dyDescent="0.2">
      <c r="A12" s="1008">
        <v>1</v>
      </c>
      <c r="B12" s="1009" t="s">
        <v>818</v>
      </c>
      <c r="C12" s="1010"/>
      <c r="D12" s="1011">
        <v>2320</v>
      </c>
      <c r="E12" s="1784">
        <f>'Expenditures 15-22'!K50</f>
        <v>300938</v>
      </c>
      <c r="F12" s="1012"/>
      <c r="G12" s="1784">
        <f t="shared" ref="G12:G18" si="0">SUM(E12:F12)</f>
        <v>300938</v>
      </c>
      <c r="H12" s="1013">
        <v>317434</v>
      </c>
      <c r="I12" s="1012"/>
      <c r="J12" s="1784">
        <f t="shared" ref="J12:J18" si="1">SUM(H12:I12)</f>
        <v>317434</v>
      </c>
    </row>
    <row r="13" spans="1:17" ht="15" customHeight="1" x14ac:dyDescent="0.2">
      <c r="A13" s="1008">
        <v>2</v>
      </c>
      <c r="B13" s="1009" t="s">
        <v>42</v>
      </c>
      <c r="C13" s="1010"/>
      <c r="D13" s="1011">
        <v>2330</v>
      </c>
      <c r="E13" s="1784">
        <f>'Expenditures 15-22'!K51</f>
        <v>228288</v>
      </c>
      <c r="F13" s="1012"/>
      <c r="G13" s="1784">
        <f t="shared" si="0"/>
        <v>228288</v>
      </c>
      <c r="H13" s="1013">
        <v>239638</v>
      </c>
      <c r="I13" s="1012"/>
      <c r="J13" s="1784">
        <f t="shared" si="1"/>
        <v>239638</v>
      </c>
    </row>
    <row r="14" spans="1:17" ht="15" customHeight="1" x14ac:dyDescent="0.2">
      <c r="A14" s="1008">
        <v>3</v>
      </c>
      <c r="B14" s="1009" t="s">
        <v>43</v>
      </c>
      <c r="C14" s="1010"/>
      <c r="D14" s="1014">
        <v>2490</v>
      </c>
      <c r="E14" s="1784">
        <f>'Expenditures 15-22'!K56</f>
        <v>0</v>
      </c>
      <c r="F14" s="1012"/>
      <c r="G14" s="1784">
        <f t="shared" si="0"/>
        <v>0</v>
      </c>
      <c r="H14" s="1013"/>
      <c r="I14" s="1012"/>
      <c r="J14" s="1784">
        <f t="shared" si="1"/>
        <v>0</v>
      </c>
    </row>
    <row r="15" spans="1:17" ht="15" customHeight="1" x14ac:dyDescent="0.2">
      <c r="A15" s="1008">
        <v>4</v>
      </c>
      <c r="B15" s="1009" t="s">
        <v>1068</v>
      </c>
      <c r="C15" s="1010"/>
      <c r="D15" s="1011">
        <v>2510</v>
      </c>
      <c r="E15" s="1784">
        <f>'Expenditures 15-22'!K59</f>
        <v>163974</v>
      </c>
      <c r="F15" s="1784">
        <f>'Expenditures 15-22'!K122</f>
        <v>0</v>
      </c>
      <c r="G15" s="1784">
        <f t="shared" si="0"/>
        <v>163974</v>
      </c>
      <c r="H15" s="1013">
        <v>173272</v>
      </c>
      <c r="I15" s="1013"/>
      <c r="J15" s="1784">
        <f t="shared" si="1"/>
        <v>173272</v>
      </c>
    </row>
    <row r="16" spans="1:17" ht="15" customHeight="1" x14ac:dyDescent="0.2">
      <c r="A16" s="1008">
        <v>5</v>
      </c>
      <c r="B16" s="1009" t="s">
        <v>101</v>
      </c>
      <c r="C16" s="1010"/>
      <c r="D16" s="1011">
        <v>2570</v>
      </c>
      <c r="E16" s="1784">
        <f>'Expenditures 15-22'!K64</f>
        <v>0</v>
      </c>
      <c r="F16" s="1012"/>
      <c r="G16" s="1784">
        <f t="shared" si="0"/>
        <v>0</v>
      </c>
      <c r="H16" s="1013"/>
      <c r="I16" s="1012"/>
      <c r="J16" s="1784">
        <f t="shared" si="1"/>
        <v>0</v>
      </c>
    </row>
    <row r="17" spans="1:10" ht="15" customHeight="1" x14ac:dyDescent="0.2">
      <c r="A17" s="1008">
        <v>6</v>
      </c>
      <c r="B17" s="1009" t="s">
        <v>1060</v>
      </c>
      <c r="C17" s="1010"/>
      <c r="D17" s="1011">
        <v>2610</v>
      </c>
      <c r="E17" s="1784">
        <f>'Expenditures 15-22'!K67</f>
        <v>0</v>
      </c>
      <c r="F17" s="1012"/>
      <c r="G17" s="1784">
        <f t="shared" si="0"/>
        <v>0</v>
      </c>
      <c r="H17" s="1013"/>
      <c r="I17" s="1012"/>
      <c r="J17" s="1784">
        <f t="shared" si="1"/>
        <v>0</v>
      </c>
    </row>
    <row r="18" spans="1:10" ht="22.5" customHeight="1" x14ac:dyDescent="0.2">
      <c r="A18" s="1015">
        <v>7</v>
      </c>
      <c r="B18" s="2403" t="s">
        <v>7</v>
      </c>
      <c r="C18" s="2404"/>
      <c r="D18" s="2405"/>
      <c r="E18" s="1016"/>
      <c r="F18" s="1016"/>
      <c r="G18" s="1785">
        <f t="shared" si="0"/>
        <v>0</v>
      </c>
      <c r="H18" s="1013"/>
      <c r="I18" s="1013"/>
      <c r="J18" s="1784">
        <f t="shared" si="1"/>
        <v>0</v>
      </c>
    </row>
    <row r="19" spans="1:10" ht="12.75" customHeight="1" thickBot="1" x14ac:dyDescent="0.25">
      <c r="A19" s="1008">
        <v>8</v>
      </c>
      <c r="B19" s="1017" t="s">
        <v>1161</v>
      </c>
      <c r="D19" s="1018"/>
      <c r="E19" s="1786">
        <f t="shared" ref="E19:J19" si="2">SUM(E12:E17)-E18</f>
        <v>693200</v>
      </c>
      <c r="F19" s="1786">
        <f t="shared" si="2"/>
        <v>0</v>
      </c>
      <c r="G19" s="1786">
        <f t="shared" si="2"/>
        <v>693200</v>
      </c>
      <c r="H19" s="1786">
        <f t="shared" si="2"/>
        <v>730344</v>
      </c>
      <c r="I19" s="1786">
        <f t="shared" si="2"/>
        <v>0</v>
      </c>
      <c r="J19" s="1786">
        <f t="shared" si="2"/>
        <v>730344</v>
      </c>
    </row>
    <row r="20" spans="1:10" ht="13.5" thickTop="1" x14ac:dyDescent="0.2">
      <c r="A20" s="1008">
        <v>9</v>
      </c>
      <c r="B20" s="2406" t="s">
        <v>1978</v>
      </c>
      <c r="C20" s="2406"/>
      <c r="D20" s="2407"/>
      <c r="E20" s="1019"/>
      <c r="F20" s="1019"/>
      <c r="G20" s="1019"/>
      <c r="H20" s="1019"/>
      <c r="I20" s="1019"/>
      <c r="J20" s="1787">
        <f>IF(AND(G19&gt;0,J19&gt;0),(((J19-G19)/G19)),"Enter Budget Data")</f>
        <v>5.3583381419503751E-2</v>
      </c>
    </row>
    <row r="21" spans="1:10" ht="9" customHeight="1" x14ac:dyDescent="0.2">
      <c r="B21" s="1020"/>
    </row>
    <row r="22" spans="1:10" x14ac:dyDescent="0.2">
      <c r="A22" s="1021" t="s">
        <v>133</v>
      </c>
      <c r="B22" s="1020"/>
    </row>
    <row r="23" spans="1:10" x14ac:dyDescent="0.2">
      <c r="A23" s="984" t="s">
        <v>1979</v>
      </c>
      <c r="B23" s="1020"/>
    </row>
    <row r="24" spans="1:10" x14ac:dyDescent="0.2">
      <c r="A24" s="984" t="s">
        <v>1992</v>
      </c>
      <c r="B24" s="1020"/>
    </row>
    <row r="25" spans="1:10" x14ac:dyDescent="0.2">
      <c r="A25" s="1022"/>
      <c r="B25" s="1020"/>
    </row>
    <row r="26" spans="1:10" ht="20.100000000000001" customHeight="1" x14ac:dyDescent="0.2">
      <c r="B26" s="1020"/>
      <c r="C26" s="2412"/>
      <c r="D26" s="2412"/>
      <c r="E26" s="1023"/>
      <c r="F26" s="2411"/>
      <c r="G26" s="2411"/>
    </row>
    <row r="27" spans="1:10" x14ac:dyDescent="0.2">
      <c r="B27" s="1020"/>
      <c r="C27" s="1024" t="s">
        <v>1033</v>
      </c>
      <c r="D27" s="1025"/>
      <c r="E27" s="1026"/>
      <c r="F27" s="2408" t="s">
        <v>1509</v>
      </c>
      <c r="G27" s="2408"/>
    </row>
    <row r="28" spans="1:10" ht="28.5" customHeight="1" x14ac:dyDescent="0.2">
      <c r="B28" s="1020"/>
      <c r="C28" s="2410"/>
      <c r="D28" s="2410"/>
      <c r="E28" s="1027"/>
      <c r="F28" s="2410"/>
      <c r="G28" s="2410"/>
    </row>
    <row r="29" spans="1:10" x14ac:dyDescent="0.2">
      <c r="B29" s="1020"/>
      <c r="C29" s="1028" t="s">
        <v>1561</v>
      </c>
      <c r="E29" s="1029"/>
      <c r="F29" s="2409" t="s">
        <v>1510</v>
      </c>
      <c r="G29" s="2409"/>
    </row>
    <row r="30" spans="1:10" ht="9" customHeight="1" x14ac:dyDescent="0.2">
      <c r="B30" s="1020"/>
      <c r="C30" s="1030"/>
      <c r="E30" s="1031"/>
      <c r="F30" s="1032"/>
      <c r="G30" s="1032"/>
    </row>
    <row r="31" spans="1:10" ht="15" customHeight="1" x14ac:dyDescent="0.2">
      <c r="A31" s="984"/>
      <c r="B31" s="1033" t="s">
        <v>1034</v>
      </c>
    </row>
    <row r="32" spans="1:10" ht="9" customHeight="1" x14ac:dyDescent="0.2">
      <c r="A32" s="984"/>
      <c r="B32" s="1021"/>
    </row>
    <row r="33" spans="1:10" ht="12.75" customHeight="1" x14ac:dyDescent="0.2">
      <c r="A33" s="984"/>
      <c r="B33" s="1034"/>
      <c r="C33" s="2391" t="s">
        <v>132</v>
      </c>
      <c r="D33" s="2392"/>
      <c r="E33" s="2392"/>
      <c r="F33" s="2392"/>
      <c r="G33" s="2392"/>
      <c r="H33" s="2392"/>
      <c r="I33" s="2392"/>
    </row>
    <row r="34" spans="1:10" ht="10.35" customHeight="1" x14ac:dyDescent="0.2">
      <c r="C34" s="2392"/>
      <c r="D34" s="2392"/>
      <c r="E34" s="2392"/>
      <c r="F34" s="2392"/>
      <c r="G34" s="2392"/>
      <c r="H34" s="2392"/>
      <c r="I34" s="2392"/>
    </row>
    <row r="35" spans="1:10" ht="7.5" customHeight="1" x14ac:dyDescent="0.2">
      <c r="C35" s="1035"/>
    </row>
    <row r="36" spans="1:10" ht="13.5" customHeight="1" x14ac:dyDescent="0.2">
      <c r="B36" s="1034"/>
      <c r="C36" s="2393" t="s">
        <v>1980</v>
      </c>
      <c r="D36" s="2392"/>
      <c r="E36" s="2392"/>
      <c r="F36" s="2392"/>
      <c r="G36" s="2392"/>
      <c r="H36" s="2392"/>
      <c r="I36" s="2392"/>
      <c r="J36" s="1036"/>
    </row>
    <row r="37" spans="1:10" ht="22.5" customHeight="1" x14ac:dyDescent="0.2">
      <c r="C37" s="2392"/>
      <c r="D37" s="2392"/>
      <c r="E37" s="2392"/>
      <c r="F37" s="2392"/>
      <c r="G37" s="2392"/>
      <c r="H37" s="2392"/>
      <c r="I37" s="2392"/>
      <c r="J37" s="1036"/>
    </row>
    <row r="38" spans="1:10" ht="7.5" customHeight="1" x14ac:dyDescent="0.2">
      <c r="C38" s="1035"/>
      <c r="D38" s="1037"/>
      <c r="E38" s="1038"/>
      <c r="F38" s="1039"/>
      <c r="G38" s="1038"/>
    </row>
    <row r="39" spans="1:10" ht="13.5" customHeight="1" x14ac:dyDescent="0.2">
      <c r="B39" s="1034"/>
      <c r="C39" s="2389" t="s">
        <v>882</v>
      </c>
      <c r="D39" s="2390"/>
      <c r="E39" s="2390"/>
      <c r="F39" s="2390"/>
      <c r="G39" s="2390"/>
      <c r="H39" s="2390"/>
      <c r="I39" s="2390"/>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pageSetUpPr fitToPage="1"/>
  </sheetPr>
  <dimension ref="A2:C65"/>
  <sheetViews>
    <sheetView showGridLines="0" view="pageBreakPreview" zoomScale="115" zoomScaleNormal="110" zoomScaleSheetLayoutView="115" workbookViewId="0">
      <selection activeCell="C28" sqref="C28"/>
    </sheetView>
  </sheetViews>
  <sheetFormatPr defaultColWidth="9.140625" defaultRowHeight="12.75" x14ac:dyDescent="0.2"/>
  <cols>
    <col min="1" max="1" width="3" style="329" customWidth="1"/>
    <col min="2" max="2" width="51.28515625" style="329" customWidth="1"/>
    <col min="3" max="3" width="86.28515625" style="329" customWidth="1"/>
    <col min="4" max="16384" width="9.140625" style="329"/>
  </cols>
  <sheetData>
    <row r="2" spans="1:3" x14ac:dyDescent="0.2">
      <c r="A2" s="389" t="s">
        <v>258</v>
      </c>
    </row>
    <row r="3" spans="1:3" x14ac:dyDescent="0.2">
      <c r="A3" s="329" t="s">
        <v>259</v>
      </c>
    </row>
    <row r="5" spans="1:3" x14ac:dyDescent="0.2">
      <c r="A5" s="1041">
        <v>1</v>
      </c>
      <c r="B5" s="329" t="s">
        <v>2124</v>
      </c>
      <c r="C5" s="329" t="s">
        <v>2125</v>
      </c>
    </row>
    <row r="6" spans="1:3" x14ac:dyDescent="0.2">
      <c r="A6" s="1041">
        <v>2</v>
      </c>
      <c r="B6" s="329" t="s">
        <v>2126</v>
      </c>
      <c r="C6" s="329" t="s">
        <v>2127</v>
      </c>
    </row>
    <row r="7" spans="1:3" x14ac:dyDescent="0.2">
      <c r="A7" s="1041">
        <v>3</v>
      </c>
      <c r="B7" s="329" t="s">
        <v>2192</v>
      </c>
      <c r="C7" s="329" t="s">
        <v>2137</v>
      </c>
    </row>
    <row r="8" spans="1:3" x14ac:dyDescent="0.2">
      <c r="A8" s="1041">
        <v>4</v>
      </c>
      <c r="B8" s="329" t="s">
        <v>2193</v>
      </c>
      <c r="C8" s="329" t="s">
        <v>2129</v>
      </c>
    </row>
    <row r="9" spans="1:3" x14ac:dyDescent="0.2">
      <c r="A9" s="1042">
        <v>5</v>
      </c>
      <c r="B9" s="329" t="s">
        <v>2128</v>
      </c>
      <c r="C9" s="329" t="s">
        <v>2138</v>
      </c>
    </row>
    <row r="10" spans="1:3" x14ac:dyDescent="0.2">
      <c r="A10" s="1042">
        <v>6</v>
      </c>
      <c r="B10" s="329" t="s">
        <v>2130</v>
      </c>
      <c r="C10" s="329" t="s">
        <v>2134</v>
      </c>
    </row>
    <row r="11" spans="1:3" x14ac:dyDescent="0.2">
      <c r="A11" s="1042">
        <v>7</v>
      </c>
      <c r="B11" s="329" t="s">
        <v>2131</v>
      </c>
      <c r="C11" s="329" t="s">
        <v>550</v>
      </c>
    </row>
    <row r="12" spans="1:3" x14ac:dyDescent="0.2">
      <c r="A12" s="1042">
        <v>8</v>
      </c>
      <c r="B12" s="329" t="s">
        <v>2132</v>
      </c>
      <c r="C12" s="329" t="s">
        <v>2133</v>
      </c>
    </row>
    <row r="13" spans="1:3" x14ac:dyDescent="0.2">
      <c r="A13" s="1042">
        <v>9</v>
      </c>
      <c r="B13" s="329" t="s">
        <v>2135</v>
      </c>
      <c r="C13" s="329" t="s">
        <v>2136</v>
      </c>
    </row>
    <row r="14" spans="1:3" x14ac:dyDescent="0.2">
      <c r="A14" s="1042">
        <v>10</v>
      </c>
      <c r="B14" s="329" t="s">
        <v>2147</v>
      </c>
      <c r="C14" s="329" t="s">
        <v>2148</v>
      </c>
    </row>
    <row r="15" spans="1:3" x14ac:dyDescent="0.2">
      <c r="A15" s="1042"/>
    </row>
    <row r="16" spans="1:3" x14ac:dyDescent="0.2">
      <c r="A16" s="1042"/>
    </row>
    <row r="17" spans="1:1" x14ac:dyDescent="0.2">
      <c r="A17" s="1042"/>
    </row>
    <row r="18" spans="1:1" x14ac:dyDescent="0.2">
      <c r="A18" s="1042"/>
    </row>
    <row r="19" spans="1:1" x14ac:dyDescent="0.2">
      <c r="A19" s="1042"/>
    </row>
    <row r="20" spans="1:1" x14ac:dyDescent="0.2">
      <c r="A20" s="1042"/>
    </row>
    <row r="21" spans="1:1" x14ac:dyDescent="0.2">
      <c r="A21" s="1042"/>
    </row>
    <row r="22" spans="1:1" x14ac:dyDescent="0.2">
      <c r="A22" s="1042"/>
    </row>
    <row r="23" spans="1:1" x14ac:dyDescent="0.2">
      <c r="A23" s="1042"/>
    </row>
    <row r="24" spans="1:1" x14ac:dyDescent="0.2">
      <c r="A24" s="1042"/>
    </row>
    <row r="25" spans="1:1" x14ac:dyDescent="0.2">
      <c r="A25" s="1042"/>
    </row>
    <row r="26" spans="1:1" x14ac:dyDescent="0.2">
      <c r="A26" s="1042"/>
    </row>
    <row r="27" spans="1:1" x14ac:dyDescent="0.2">
      <c r="A27" s="1042"/>
    </row>
    <row r="28" spans="1:1" x14ac:dyDescent="0.2">
      <c r="A28" s="1042"/>
    </row>
    <row r="29" spans="1:1" x14ac:dyDescent="0.2">
      <c r="A29" s="1042"/>
    </row>
    <row r="30" spans="1:1" x14ac:dyDescent="0.2">
      <c r="A30" s="1042"/>
    </row>
    <row r="31" spans="1:1" x14ac:dyDescent="0.2">
      <c r="A31" s="1042"/>
    </row>
    <row r="32" spans="1:1"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2" x14ac:dyDescent="0.2">
      <c r="A49" s="1042"/>
    </row>
    <row r="50" spans="1:2" x14ac:dyDescent="0.2">
      <c r="A50" s="1042"/>
    </row>
    <row r="51" spans="1:2" x14ac:dyDescent="0.2">
      <c r="A51" s="1042"/>
    </row>
    <row r="52" spans="1:2" x14ac:dyDescent="0.2">
      <c r="A52" s="1042"/>
    </row>
    <row r="53" spans="1:2" x14ac:dyDescent="0.2">
      <c r="A53" s="1042"/>
    </row>
    <row r="54" spans="1:2" x14ac:dyDescent="0.2">
      <c r="A54" s="1042"/>
    </row>
    <row r="55" spans="1:2" x14ac:dyDescent="0.2">
      <c r="A55" s="1042"/>
    </row>
    <row r="56" spans="1:2" x14ac:dyDescent="0.2">
      <c r="A56" s="1042"/>
    </row>
    <row r="57" spans="1:2" x14ac:dyDescent="0.2">
      <c r="A57" s="1042"/>
    </row>
    <row r="58" spans="1:2" x14ac:dyDescent="0.2">
      <c r="A58" s="1042"/>
    </row>
    <row r="59" spans="1:2" x14ac:dyDescent="0.2">
      <c r="A59" s="1042"/>
    </row>
    <row r="60" spans="1:2" x14ac:dyDescent="0.2">
      <c r="A60" s="1042"/>
    </row>
    <row r="61" spans="1:2" x14ac:dyDescent="0.2">
      <c r="A61" s="1042"/>
    </row>
    <row r="62" spans="1:2" x14ac:dyDescent="0.2">
      <c r="A62" s="1042"/>
    </row>
    <row r="63" spans="1:2" x14ac:dyDescent="0.2">
      <c r="A63" s="1042"/>
    </row>
    <row r="64" spans="1:2" x14ac:dyDescent="0.2">
      <c r="A64" s="1042"/>
      <c r="B64" s="258" t="str">
        <f>COVER!A17</f>
        <v>Lake Villa CCSD 41</v>
      </c>
    </row>
    <row r="65" spans="2:2" x14ac:dyDescent="0.2">
      <c r="B65" s="1043">
        <f>COVER!A13</f>
        <v>34049041004</v>
      </c>
    </row>
  </sheetData>
  <phoneticPr fontId="19" type="noConversion"/>
  <pageMargins left="0.2" right="0.2" top="1.17" bottom="0.75" header="0.19" footer="0.16"/>
  <pageSetup scale="7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F22" sqref="AF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09" t="s">
        <v>1611</v>
      </c>
    </row>
    <row r="23" spans="1:5" x14ac:dyDescent="0.2">
      <c r="A23" s="168"/>
      <c r="B23" s="162" t="s">
        <v>1854</v>
      </c>
      <c r="D23" s="167" t="s">
        <v>637</v>
      </c>
      <c r="E23" s="1809"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30" t="s">
        <v>1065</v>
      </c>
      <c r="B35" s="2130"/>
      <c r="C35" s="2130"/>
      <c r="D35" s="2130"/>
      <c r="E35" s="213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27" t="s">
        <v>691</v>
      </c>
      <c r="B40" s="2127"/>
      <c r="C40" s="2127"/>
      <c r="D40" s="2127"/>
      <c r="E40" s="2127"/>
    </row>
    <row r="41" spans="1:5" x14ac:dyDescent="0.2">
      <c r="A41" s="2128" t="s">
        <v>1608</v>
      </c>
      <c r="B41" s="2128"/>
      <c r="C41" s="2128"/>
      <c r="D41" s="2128"/>
      <c r="E41" s="2128"/>
    </row>
    <row r="42" spans="1:5" ht="12.75" customHeight="1" x14ac:dyDescent="0.2">
      <c r="A42" s="2129" t="s">
        <v>1022</v>
      </c>
      <c r="B42" s="2129"/>
      <c r="C42" s="2129"/>
      <c r="D42" s="2129"/>
      <c r="E42" s="2129"/>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58" t="s">
        <v>1773</v>
      </c>
    </row>
    <row r="60" spans="1:3" x14ac:dyDescent="0.2">
      <c r="A60" s="196"/>
      <c r="B60" s="1458"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60"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59"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view="pageBreakPreview" colorId="8" zoomScale="60" zoomScaleNormal="110" workbookViewId="0">
      <selection activeCell="AF22" sqref="AF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9"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6" sqref="D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1493</v>
      </c>
    </row>
    <row r="15" spans="1:6" x14ac:dyDescent="0.2">
      <c r="A15" s="389" t="s">
        <v>857</v>
      </c>
    </row>
    <row r="16" spans="1:6" s="1044" customFormat="1" ht="45" customHeight="1" x14ac:dyDescent="0.2">
      <c r="A16" s="1046"/>
      <c r="B16" s="1046" t="s">
        <v>1684</v>
      </c>
    </row>
    <row r="17" spans="1:2" ht="6" customHeight="1" x14ac:dyDescent="0.2"/>
    <row r="18" spans="1:2" ht="24.75" customHeight="1" x14ac:dyDescent="0.2">
      <c r="A18" s="2413" t="s">
        <v>1685</v>
      </c>
      <c r="B18" s="2413"/>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76200</xdr:colOff>
                <xdr:row>4</xdr:row>
                <xdr:rowOff>85725</xdr:rowOff>
              </from>
              <to>
                <xdr:col>1</xdr:col>
                <xdr:colOff>1028700</xdr:colOff>
                <xdr:row>9</xdr:row>
                <xdr:rowOff>76200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view="pageBreakPreview" zoomScale="60" zoomScaleNormal="110" workbookViewId="0">
      <selection activeCell="C12" sqref="C12:F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14" t="s">
        <v>1690</v>
      </c>
      <c r="B1" s="2415"/>
      <c r="C1" s="2415"/>
      <c r="D1" s="2415"/>
      <c r="E1" s="2415"/>
      <c r="F1" s="2416"/>
    </row>
    <row r="2" spans="1:8" ht="45" customHeight="1" x14ac:dyDescent="0.2">
      <c r="A2" s="2424" t="s">
        <v>1984</v>
      </c>
      <c r="B2" s="2425"/>
      <c r="C2" s="2425"/>
      <c r="D2" s="2425"/>
      <c r="E2" s="2425"/>
      <c r="F2" s="2426"/>
      <c r="G2" s="1047"/>
      <c r="H2" s="1047"/>
    </row>
    <row r="3" spans="1:8" ht="57" customHeight="1" x14ac:dyDescent="0.2">
      <c r="A3" s="2427" t="s">
        <v>1686</v>
      </c>
      <c r="B3" s="2428"/>
      <c r="C3" s="2428"/>
      <c r="D3" s="2428"/>
      <c r="E3" s="2428"/>
      <c r="F3" s="2429"/>
      <c r="G3" s="1047"/>
      <c r="H3" s="1047"/>
    </row>
    <row r="4" spans="1:8" ht="14.25" customHeight="1" x14ac:dyDescent="0.2">
      <c r="A4" s="2433" t="s">
        <v>1985</v>
      </c>
      <c r="B4" s="2434"/>
      <c r="C4" s="2434"/>
      <c r="D4" s="2434"/>
      <c r="E4" s="2434"/>
      <c r="F4" s="2435"/>
      <c r="G4" s="1047"/>
      <c r="H4" s="1047"/>
    </row>
    <row r="5" spans="1:8" ht="14.25" customHeight="1" x14ac:dyDescent="0.2">
      <c r="A5" s="2436" t="s">
        <v>1981</v>
      </c>
      <c r="B5" s="2437"/>
      <c r="C5" s="2437"/>
      <c r="D5" s="2437"/>
      <c r="E5" s="2437"/>
      <c r="F5" s="2438"/>
      <c r="G5" s="1047"/>
      <c r="H5" s="1047"/>
    </row>
    <row r="6" spans="1:8" s="1048" customFormat="1" ht="41.25" customHeight="1" x14ac:dyDescent="0.2">
      <c r="A6" s="2430" t="s">
        <v>1691</v>
      </c>
      <c r="B6" s="2431"/>
      <c r="C6" s="2431"/>
      <c r="D6" s="2431"/>
      <c r="E6" s="2431"/>
      <c r="F6" s="2432"/>
    </row>
    <row r="7" spans="1:8" ht="42" customHeight="1" x14ac:dyDescent="0.2">
      <c r="A7" s="1049" t="s">
        <v>481</v>
      </c>
      <c r="B7" s="1050" t="s">
        <v>1496</v>
      </c>
      <c r="C7" s="1050" t="s">
        <v>1497</v>
      </c>
      <c r="D7" s="1050" t="s">
        <v>1495</v>
      </c>
      <c r="E7" s="1050" t="s">
        <v>1498</v>
      </c>
      <c r="F7" s="1050" t="s">
        <v>1367</v>
      </c>
    </row>
    <row r="8" spans="1:8" s="1052" customFormat="1" ht="14.25" customHeight="1" x14ac:dyDescent="0.2">
      <c r="A8" s="1051" t="s">
        <v>1368</v>
      </c>
      <c r="B8" s="1788">
        <f>'Acct Summary 7-8'!C8</f>
        <v>25119953</v>
      </c>
      <c r="C8" s="1788">
        <f>'Acct Summary 7-8'!D8</f>
        <v>2343967</v>
      </c>
      <c r="D8" s="1788">
        <f>'Acct Summary 7-8'!F8</f>
        <v>2339798</v>
      </c>
      <c r="E8" s="1788">
        <f>'Acct Summary 7-8'!I8</f>
        <v>49111</v>
      </c>
      <c r="F8" s="1788">
        <f>SUM(B8:E8)</f>
        <v>29852829</v>
      </c>
    </row>
    <row r="9" spans="1:8" s="1052" customFormat="1" ht="14.25" customHeight="1" thickBot="1" x14ac:dyDescent="0.25">
      <c r="A9" s="1051" t="s">
        <v>1369</v>
      </c>
      <c r="B9" s="1789">
        <f>'Acct Summary 7-8'!C17</f>
        <v>23826366</v>
      </c>
      <c r="C9" s="1789">
        <f>'Acct Summary 7-8'!D17</f>
        <v>2155009</v>
      </c>
      <c r="D9" s="1789">
        <f>'Acct Summary 7-8'!F17</f>
        <v>2457280</v>
      </c>
      <c r="E9" s="1788"/>
      <c r="F9" s="1788">
        <f>SUM(B9:E9)</f>
        <v>28438655</v>
      </c>
    </row>
    <row r="10" spans="1:8" s="1052" customFormat="1" ht="14.25" thickTop="1" thickBot="1" x14ac:dyDescent="0.25">
      <c r="A10" s="1053" t="s">
        <v>1370</v>
      </c>
      <c r="B10" s="1790">
        <f>(B8-B9)</f>
        <v>1293587</v>
      </c>
      <c r="C10" s="1790">
        <f>(C8-C9)</f>
        <v>188958</v>
      </c>
      <c r="D10" s="1790">
        <f>(D8-D9)</f>
        <v>-117482</v>
      </c>
      <c r="E10" s="1789">
        <f>(E8-E9)</f>
        <v>49111</v>
      </c>
      <c r="F10" s="1791">
        <f>SUM(F8-F9)</f>
        <v>1414174</v>
      </c>
    </row>
    <row r="11" spans="1:8" s="1052" customFormat="1" ht="14.25" thickTop="1" thickBot="1" x14ac:dyDescent="0.25">
      <c r="A11" s="1054" t="s">
        <v>1982</v>
      </c>
      <c r="B11" s="1792">
        <f>'Acct Summary 7-8'!C81</f>
        <v>16992058</v>
      </c>
      <c r="C11" s="1792">
        <f>'Acct Summary 7-8'!D81</f>
        <v>2776382</v>
      </c>
      <c r="D11" s="1792">
        <f>'Acct Summary 7-8'!F81</f>
        <v>535041</v>
      </c>
      <c r="E11" s="1792">
        <f>'Acct Summary 7-8'!I81</f>
        <v>2249945</v>
      </c>
      <c r="F11" s="1793">
        <f>SUM(B11:E11)</f>
        <v>22553426</v>
      </c>
    </row>
    <row r="12" spans="1:8" ht="16.5" customHeight="1" thickTop="1" x14ac:dyDescent="0.2">
      <c r="A12" s="1055"/>
      <c r="B12" s="1056"/>
      <c r="C12" s="2418" t="str">
        <f>IF(AND(F10&lt;0,F11&gt;=0,ABS(F10*3)&gt;ABS(F11)),A16,IF(AND(F10&lt;0,F11&gt;0,ABS(F10*3)&lt;=ABS(F11)),A17,IF(AND(F10&lt;0,F11&lt;0),A16,IF(F11=0,A19,A18))))</f>
        <v>Balanced - no deficit reduction plan is required.</v>
      </c>
      <c r="D12" s="2419"/>
      <c r="E12" s="2419"/>
      <c r="F12" s="2420"/>
    </row>
    <row r="13" spans="1:8" ht="19.5" customHeight="1" x14ac:dyDescent="0.2">
      <c r="A13" s="1057"/>
      <c r="B13" s="1058"/>
      <c r="C13" s="2418"/>
      <c r="D13" s="2419"/>
      <c r="E13" s="2419"/>
      <c r="F13" s="2420"/>
      <c r="H13" s="1047"/>
    </row>
    <row r="14" spans="1:8" ht="19.5" customHeight="1" x14ac:dyDescent="0.2">
      <c r="A14" s="1057"/>
      <c r="B14" s="1058"/>
      <c r="C14" s="2418"/>
      <c r="D14" s="2419"/>
      <c r="E14" s="2419"/>
      <c r="F14" s="2420"/>
      <c r="H14" s="1047"/>
    </row>
    <row r="15" spans="1:8" ht="17.25" customHeight="1" x14ac:dyDescent="0.2">
      <c r="A15" s="1057"/>
      <c r="B15" s="1058"/>
      <c r="C15" s="2421"/>
      <c r="D15" s="2422"/>
      <c r="E15" s="2422"/>
      <c r="F15" s="2423"/>
      <c r="H15" s="1047"/>
    </row>
    <row r="16" spans="1:8" s="310" customFormat="1" ht="51.75" hidden="1" customHeight="1" x14ac:dyDescent="0.2">
      <c r="A16" s="2417" t="s">
        <v>1687</v>
      </c>
      <c r="B16" s="2417"/>
      <c r="C16" s="2417"/>
      <c r="D16" s="2417"/>
      <c r="E16" s="2417"/>
      <c r="F16" s="310" t="s">
        <v>1371</v>
      </c>
    </row>
    <row r="17" spans="1:6" hidden="1" x14ac:dyDescent="0.2">
      <c r="A17" s="316" t="s">
        <v>1688</v>
      </c>
      <c r="F17" s="1059"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view="pageBreakPreview" topLeftCell="A78" colorId="8" zoomScaleNormal="110" zoomScaleSheetLayoutView="100" workbookViewId="0">
      <selection activeCell="AF22" sqref="AF22"/>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70"/>
      <c r="B2" s="1871"/>
      <c r="C2" s="1872"/>
      <c r="D2" s="1873"/>
    </row>
    <row r="3" spans="1:4" ht="36" customHeight="1" x14ac:dyDescent="0.2">
      <c r="A3" s="2439" t="s">
        <v>665</v>
      </c>
      <c r="B3" s="2440"/>
      <c r="C3" s="2440"/>
      <c r="D3" s="2441"/>
    </row>
    <row r="4" spans="1:4" x14ac:dyDescent="0.2">
      <c r="A4" s="1125" t="s">
        <v>1692</v>
      </c>
      <c r="B4" s="1126"/>
      <c r="C4" s="1127"/>
      <c r="D4" s="1128"/>
    </row>
    <row r="5" spans="1:4" ht="21" customHeight="1" x14ac:dyDescent="0.2">
      <c r="A5" s="1121"/>
      <c r="B5" s="1122">
        <v>1</v>
      </c>
      <c r="C5" s="1123" t="s">
        <v>1832</v>
      </c>
      <c r="D5" s="1124"/>
    </row>
    <row r="6" spans="1:4" s="643" customFormat="1" ht="14.25" customHeight="1" x14ac:dyDescent="0.2">
      <c r="A6" s="1111"/>
      <c r="B6" s="1066">
        <f t="shared" ref="B6:B13" si="0">B5+1</f>
        <v>2</v>
      </c>
      <c r="C6" s="1067" t="s">
        <v>864</v>
      </c>
      <c r="D6" s="1068"/>
    </row>
    <row r="7" spans="1:4" s="643" customFormat="1" ht="12.75" x14ac:dyDescent="0.2">
      <c r="A7" s="1111"/>
      <c r="B7" s="1066">
        <f t="shared" si="0"/>
        <v>3</v>
      </c>
      <c r="C7" s="2450" t="s">
        <v>1504</v>
      </c>
      <c r="D7" s="2451"/>
    </row>
    <row r="8" spans="1:4" s="643" customFormat="1" ht="12.75" x14ac:dyDescent="0.2">
      <c r="A8" s="1111"/>
      <c r="B8" s="1066"/>
      <c r="C8" s="1069" t="s">
        <v>1503</v>
      </c>
      <c r="D8" s="1070"/>
    </row>
    <row r="9" spans="1:4" s="643" customFormat="1" ht="14.25" customHeight="1" x14ac:dyDescent="0.2">
      <c r="A9" s="1111"/>
      <c r="B9" s="1066">
        <f>B7+1</f>
        <v>4</v>
      </c>
      <c r="C9" s="1067" t="s">
        <v>1910</v>
      </c>
      <c r="D9" s="1068"/>
    </row>
    <row r="10" spans="1:4" s="643" customFormat="1" ht="14.25" customHeight="1" x14ac:dyDescent="0.2">
      <c r="A10" s="1111"/>
      <c r="B10" s="1066">
        <f t="shared" si="0"/>
        <v>5</v>
      </c>
      <c r="C10" s="1067" t="s">
        <v>639</v>
      </c>
      <c r="D10" s="1068"/>
    </row>
    <row r="11" spans="1:4" s="643" customFormat="1" ht="14.25" customHeight="1" x14ac:dyDescent="0.2">
      <c r="A11" s="1111"/>
      <c r="B11" s="1066">
        <f t="shared" si="0"/>
        <v>6</v>
      </c>
      <c r="C11" s="1067" t="s">
        <v>778</v>
      </c>
      <c r="D11" s="1068"/>
    </row>
    <row r="12" spans="1:4" s="643" customFormat="1" ht="14.25" customHeight="1" x14ac:dyDescent="0.2">
      <c r="A12" s="1111"/>
      <c r="B12" s="1066">
        <f t="shared" si="0"/>
        <v>7</v>
      </c>
      <c r="C12" s="1067" t="s">
        <v>1062</v>
      </c>
      <c r="D12" s="1068"/>
    </row>
    <row r="13" spans="1:4" s="643" customFormat="1" ht="14.25" customHeight="1" x14ac:dyDescent="0.2">
      <c r="A13" s="1111"/>
      <c r="B13" s="1066">
        <f t="shared" si="0"/>
        <v>8</v>
      </c>
      <c r="C13" s="1107" t="s">
        <v>779</v>
      </c>
      <c r="D13" s="1068"/>
    </row>
    <row r="14" spans="1:4" s="643" customFormat="1" ht="14.25" customHeight="1" x14ac:dyDescent="0.2">
      <c r="A14" s="1111"/>
      <c r="B14" s="1108">
        <v>9</v>
      </c>
      <c r="C14" s="1109" t="s">
        <v>1505</v>
      </c>
      <c r="D14" s="1110"/>
    </row>
    <row r="15" spans="1:4" s="643" customFormat="1" ht="21.75" customHeight="1" x14ac:dyDescent="0.2">
      <c r="A15" s="2442" t="s">
        <v>1008</v>
      </c>
      <c r="B15" s="2443"/>
      <c r="C15" s="2443"/>
      <c r="D15" s="2444"/>
    </row>
    <row r="16" spans="1:4" s="643" customFormat="1" ht="24" customHeight="1" x14ac:dyDescent="0.2">
      <c r="A16" s="2445" t="s">
        <v>663</v>
      </c>
      <c r="B16" s="2446"/>
      <c r="C16" s="2446"/>
      <c r="D16" s="2447"/>
    </row>
    <row r="17" spans="1:10" s="643" customFormat="1" ht="12.75" customHeight="1" x14ac:dyDescent="0.2">
      <c r="A17" s="1129" t="s">
        <v>1693</v>
      </c>
      <c r="B17" s="1130"/>
      <c r="C17" s="1131"/>
      <c r="D17" s="1132"/>
    </row>
    <row r="18" spans="1:10" s="643" customFormat="1" ht="12.75" customHeight="1" x14ac:dyDescent="0.2">
      <c r="A18" s="1133" t="s">
        <v>1694</v>
      </c>
      <c r="B18" s="1134"/>
      <c r="C18" s="1135"/>
      <c r="D18" s="1136"/>
    </row>
    <row r="19" spans="1:10" ht="6.75" customHeight="1" thickBot="1" x14ac:dyDescent="0.25">
      <c r="A19" s="1137"/>
      <c r="B19" s="1138"/>
      <c r="C19" s="1139"/>
      <c r="D19" s="1140"/>
    </row>
    <row r="20" spans="1:10" s="1144" customFormat="1" ht="12.75" thickTop="1" x14ac:dyDescent="0.2">
      <c r="A20" s="1141"/>
      <c r="B20" s="1142" t="s">
        <v>1695</v>
      </c>
      <c r="C20" s="1143"/>
      <c r="D20" s="1146" t="s">
        <v>710</v>
      </c>
    </row>
    <row r="21" spans="1:10" x14ac:dyDescent="0.2">
      <c r="A21" s="1071"/>
      <c r="B21" s="1072">
        <v>1</v>
      </c>
      <c r="C21" s="2454" t="s">
        <v>314</v>
      </c>
      <c r="D21" s="2455"/>
    </row>
    <row r="22" spans="1:10" ht="12.75" x14ac:dyDescent="0.2">
      <c r="A22" s="1112"/>
      <c r="B22" s="1113">
        <v>2</v>
      </c>
      <c r="C22" s="2452" t="s">
        <v>1524</v>
      </c>
      <c r="D22" s="2453"/>
    </row>
    <row r="23" spans="1:10" ht="12.2" customHeight="1" x14ac:dyDescent="0.2">
      <c r="A23" s="1112"/>
      <c r="B23" s="1113"/>
      <c r="C23" s="1114" t="s">
        <v>954</v>
      </c>
      <c r="D23" s="1115" t="str">
        <f>IF(COVER!O11="X","CASH",IF(COVER!O12="X","ACCRUAL ","PLEASE CHECK AN ACCOUNTING BASIS."))</f>
        <v>CASH</v>
      </c>
    </row>
    <row r="24" spans="1:10" ht="12.2" customHeight="1" x14ac:dyDescent="0.2">
      <c r="A24" s="1112"/>
      <c r="B24" s="1113"/>
      <c r="C24" s="1114" t="s">
        <v>1332</v>
      </c>
      <c r="D24" s="1115" t="str">
        <f>IF(COVER!O11="X","OK",IF(AND('Aud Quest 2'!J90=0,'Aud Quest 2'!I77&lt;DATE(2017,12,31)),"ENTER ACCOUNTING INFO",IF(AND('Aud Quest 2'!J90&gt;0,'Aud Quest 2'!I77&lt;DATE(2017,12,31)),"OK")))</f>
        <v>OK</v>
      </c>
    </row>
    <row r="25" spans="1:10" x14ac:dyDescent="0.2">
      <c r="A25" s="1073"/>
      <c r="B25" s="1074"/>
      <c r="C25" s="1075" t="s">
        <v>1526</v>
      </c>
      <c r="D25" s="1076" t="str">
        <f>IF(AND(COVER!J29="X",COVER!J30="X",COVER!L30&lt;&gt;"X"),"OK",IF(AND(COVER!J29="X",COVER!J30&lt;&gt;"X",COVER!L30="X"),"OK",IF(AND(COVER!L29="X",COVER!J30&lt;&gt;"X"),"OK","PLEASE CHECK YES or NO.")))</f>
        <v>OK</v>
      </c>
    </row>
    <row r="26" spans="1:10" x14ac:dyDescent="0.2">
      <c r="A26" s="1073"/>
      <c r="B26" s="1116"/>
      <c r="C26" s="1077" t="s">
        <v>1525</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975</v>
      </c>
      <c r="D27" s="1078" t="str">
        <f>IF(AND(COVER!J29="X",COVER!J31="X",COVER!L29&lt;&gt;"X"),"OK",IF(AND(COVER!J29="X",COVER!J31&lt;&gt;"X",COVER!L31="X"),"NO FINDINGS WERE ISSUED",IF(AND(COVER!L29="X",COVER!J31&lt;&gt;"X"),"OK","PLEASE CHECK YES or NO.")))</f>
        <v>OK</v>
      </c>
    </row>
    <row r="28" spans="1:10" ht="24" hidden="1" customHeight="1" x14ac:dyDescent="0.2">
      <c r="A28" s="1079"/>
      <c r="B28" s="1116"/>
      <c r="C28" s="1075" t="s">
        <v>842</v>
      </c>
      <c r="D28" s="1080" t="str">
        <f>IF('Aud Quest 2'!B53="X",IF('Aud Quest 2'!F53&gt;"00/00/00 ","Enter Effective Date","ok"))</f>
        <v>ok</v>
      </c>
    </row>
    <row r="29" spans="1:10" x14ac:dyDescent="0.2">
      <c r="A29" s="1073"/>
      <c r="B29" s="1116"/>
      <c r="C29" s="1077" t="s">
        <v>1373</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825</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978</v>
      </c>
      <c r="D32" s="1076" t="str">
        <f>IF(OR(COVER!B6="x",'FP Info 3'!B31="X",'FP Info 3'!B32="X"),"OK","ENTRY IS REQUIRED!")</f>
        <v>OK</v>
      </c>
    </row>
    <row r="33" spans="1:12" s="1089" customFormat="1" ht="12.75" customHeight="1" x14ac:dyDescent="0.2">
      <c r="A33" s="1086"/>
      <c r="B33" s="1113">
        <f>B30+1</f>
        <v>4</v>
      </c>
      <c r="C33" s="1087" t="s">
        <v>780</v>
      </c>
      <c r="D33" s="1088"/>
    </row>
    <row r="34" spans="1:12" s="1089" customFormat="1" x14ac:dyDescent="0.2">
      <c r="A34" s="1090"/>
      <c r="B34" s="1113"/>
      <c r="C34" s="1091" t="s">
        <v>826</v>
      </c>
      <c r="D34" s="1076" t="str">
        <f>IF('Assets-Liab 5-6'!C4&lt;-0.49, "ERROR!","OK")</f>
        <v>OK</v>
      </c>
    </row>
    <row r="35" spans="1:12" x14ac:dyDescent="0.2">
      <c r="A35" s="1090"/>
      <c r="B35" s="1113"/>
      <c r="C35" s="1091" t="s">
        <v>306</v>
      </c>
      <c r="D35" s="1076" t="str">
        <f>IF('Assets-Liab 5-6'!D4&lt;-0.49, "ERROR!","OK")</f>
        <v>OK</v>
      </c>
      <c r="L35" s="1145"/>
    </row>
    <row r="36" spans="1:12" x14ac:dyDescent="0.2">
      <c r="A36" s="1090"/>
      <c r="B36" s="1113"/>
      <c r="C36" s="1091" t="s">
        <v>781</v>
      </c>
      <c r="D36" s="1076" t="str">
        <f>IF('Assets-Liab 5-6'!E4&lt;-0.49, "ERROR!","OK")</f>
        <v>OK</v>
      </c>
    </row>
    <row r="37" spans="1:12" x14ac:dyDescent="0.2">
      <c r="A37" s="1090"/>
      <c r="B37" s="1113"/>
      <c r="C37" s="1091" t="s">
        <v>307</v>
      </c>
      <c r="D37" s="1076" t="str">
        <f>IF('Assets-Liab 5-6'!F4&lt;-0.49, "ERROR!","OK")</f>
        <v>OK</v>
      </c>
    </row>
    <row r="38" spans="1:12" x14ac:dyDescent="0.2">
      <c r="A38" s="1090"/>
      <c r="B38" s="1113"/>
      <c r="C38" s="1091" t="s">
        <v>308</v>
      </c>
      <c r="D38" s="1076" t="str">
        <f>IF('Assets-Liab 5-6'!G4&lt;-0.49, "ERROR!","OK")</f>
        <v>OK</v>
      </c>
    </row>
    <row r="39" spans="1:12" x14ac:dyDescent="0.2">
      <c r="A39" s="1090"/>
      <c r="B39" s="1113"/>
      <c r="C39" s="1091" t="s">
        <v>782</v>
      </c>
      <c r="D39" s="1076" t="str">
        <f>IF('Assets-Liab 5-6'!H4&lt;-0.49, "ERROR!","OK")</f>
        <v>OK</v>
      </c>
    </row>
    <row r="40" spans="1:12" x14ac:dyDescent="0.2">
      <c r="A40" s="1090"/>
      <c r="B40" s="1113"/>
      <c r="C40" s="1091" t="s">
        <v>309</v>
      </c>
      <c r="D40" s="1076" t="str">
        <f>IF('Assets-Liab 5-6'!I4&lt;-0.49, "ERROR!","OK")</f>
        <v>OK</v>
      </c>
    </row>
    <row r="41" spans="1:12" x14ac:dyDescent="0.2">
      <c r="A41" s="1090"/>
      <c r="B41" s="1113"/>
      <c r="C41" s="1091" t="s">
        <v>783</v>
      </c>
      <c r="D41" s="1076" t="str">
        <f>IF('Assets-Liab 5-6'!J4&lt;-0.49, "ERROR!","OK")</f>
        <v>OK</v>
      </c>
    </row>
    <row r="42" spans="1:12" x14ac:dyDescent="0.2">
      <c r="A42" s="1090"/>
      <c r="B42" s="1113"/>
      <c r="C42" s="1091" t="s">
        <v>310</v>
      </c>
      <c r="D42" s="1076" t="str">
        <f>IF('Assets-Liab 5-6'!K4&lt;-0.49, "ERROR!","OK")</f>
        <v>OK</v>
      </c>
    </row>
    <row r="43" spans="1:12" x14ac:dyDescent="0.2">
      <c r="A43" s="1092"/>
      <c r="B43" s="1093">
        <f>B33+1</f>
        <v>5</v>
      </c>
      <c r="C43" s="2456" t="s">
        <v>536</v>
      </c>
      <c r="D43" s="2457"/>
    </row>
    <row r="44" spans="1:12" x14ac:dyDescent="0.2">
      <c r="A44" s="1092"/>
      <c r="B44" s="1094"/>
      <c r="C44" s="1095" t="s">
        <v>1335</v>
      </c>
      <c r="D44" s="1096" t="str">
        <f>IF(SUM('Assets-Liab 5-6'!C13)&lt;&gt;SUM('Assets-Liab 5-6'!C41),"ERROR!","OK")</f>
        <v>OK</v>
      </c>
    </row>
    <row r="45" spans="1:12" x14ac:dyDescent="0.2">
      <c r="A45" s="1092"/>
      <c r="B45" s="1094"/>
      <c r="C45" s="1095" t="s">
        <v>1336</v>
      </c>
      <c r="D45" s="1096" t="str">
        <f>IF(SUM('Assets-Liab 5-6'!D13)&lt;&gt;SUM('Assets-Liab 5-6'!D41),"ERROR!","OK")</f>
        <v>OK</v>
      </c>
    </row>
    <row r="46" spans="1:12" x14ac:dyDescent="0.2">
      <c r="A46" s="1092"/>
      <c r="B46" s="1094"/>
      <c r="C46" s="1095" t="s">
        <v>1337</v>
      </c>
      <c r="D46" s="1096" t="str">
        <f>IF(SUM('Assets-Liab 5-6'!E13)&lt;&gt;SUM('Assets-Liab 5-6'!E41),"ERROR!","OK")</f>
        <v>OK</v>
      </c>
    </row>
    <row r="47" spans="1:12" x14ac:dyDescent="0.2">
      <c r="A47" s="1092"/>
      <c r="B47" s="1094"/>
      <c r="C47" s="1095" t="s">
        <v>1338</v>
      </c>
      <c r="D47" s="1096" t="str">
        <f>IF(SUM('Assets-Liab 5-6'!F13)&lt;&gt;SUM('Assets-Liab 5-6'!F41),"ERROR!","OK")</f>
        <v>OK</v>
      </c>
    </row>
    <row r="48" spans="1:12" x14ac:dyDescent="0.2">
      <c r="A48" s="1092"/>
      <c r="B48" s="1094"/>
      <c r="C48" s="1095" t="s">
        <v>1339</v>
      </c>
      <c r="D48" s="1096" t="str">
        <f>IF(SUM('Assets-Liab 5-6'!G13)&lt;&gt;SUM('Assets-Liab 5-6'!G41),"ERROR!","OK")</f>
        <v>OK</v>
      </c>
    </row>
    <row r="49" spans="1:4" x14ac:dyDescent="0.2">
      <c r="A49" s="1092"/>
      <c r="B49" s="1094"/>
      <c r="C49" s="1095" t="s">
        <v>1340</v>
      </c>
      <c r="D49" s="1096" t="str">
        <f>IF(SUM('Assets-Liab 5-6'!H13)&lt;&gt;SUM('Assets-Liab 5-6'!H41),"ERROR!","OK")</f>
        <v>OK</v>
      </c>
    </row>
    <row r="50" spans="1:4" x14ac:dyDescent="0.2">
      <c r="A50" s="1092"/>
      <c r="B50" s="1094"/>
      <c r="C50" s="1095" t="s">
        <v>1341</v>
      </c>
      <c r="D50" s="1096" t="str">
        <f>IF(SUM('Assets-Liab 5-6'!I13)&lt;&gt;SUM('Assets-Liab 5-6'!I41),"ERROR!","OK")</f>
        <v>OK</v>
      </c>
    </row>
    <row r="51" spans="1:4" x14ac:dyDescent="0.2">
      <c r="A51" s="1092"/>
      <c r="B51" s="1094"/>
      <c r="C51" s="1095" t="s">
        <v>1342</v>
      </c>
      <c r="D51" s="1096" t="str">
        <f>IF(SUM('Assets-Liab 5-6'!J13)&lt;&gt;SUM('Assets-Liab 5-6'!J41),"ERROR!","OK")</f>
        <v>OK</v>
      </c>
    </row>
    <row r="52" spans="1:4" x14ac:dyDescent="0.2">
      <c r="A52" s="1092"/>
      <c r="B52" s="1094"/>
      <c r="C52" s="1095" t="s">
        <v>1343</v>
      </c>
      <c r="D52" s="1096" t="str">
        <f>IF(SUM('Assets-Liab 5-6'!K13)&lt;&gt;SUM('Assets-Liab 5-6'!K41),"ERROR!","OK")</f>
        <v>OK</v>
      </c>
    </row>
    <row r="53" spans="1:4" x14ac:dyDescent="0.2">
      <c r="A53" s="1092"/>
      <c r="B53" s="1094"/>
      <c r="C53" s="1095" t="s">
        <v>1344</v>
      </c>
      <c r="D53" s="1096" t="str">
        <f>IF(SUM('Assets-Liab 5-6'!L13)&lt;&gt;('Assets-Liab 5-6'!L41),"ERROR!","OK")</f>
        <v>OK</v>
      </c>
    </row>
    <row r="54" spans="1:4" x14ac:dyDescent="0.2">
      <c r="A54" s="1092"/>
      <c r="B54" s="1094"/>
      <c r="C54" s="1095" t="s">
        <v>1345</v>
      </c>
      <c r="D54" s="1096" t="str">
        <f>IF(SUM('Assets-Liab 5-6'!M23)&lt;&gt;('Assets-Liab 5-6'!M41),"ERROR!","OK")</f>
        <v>OK</v>
      </c>
    </row>
    <row r="55" spans="1:4" x14ac:dyDescent="0.2">
      <c r="A55" s="1092"/>
      <c r="B55" s="1094"/>
      <c r="C55" s="1095" t="s">
        <v>1346</v>
      </c>
      <c r="D55" s="1096" t="str">
        <f>IF(SUM('Assets-Liab 5-6'!N23)&lt;&gt;('Assets-Liab 5-6'!N41),"ERROR!","OK")</f>
        <v>OK</v>
      </c>
    </row>
    <row r="56" spans="1:4" x14ac:dyDescent="0.2">
      <c r="A56" s="1073"/>
      <c r="B56" s="1093">
        <f>B43+1</f>
        <v>6</v>
      </c>
      <c r="C56" s="2448" t="s">
        <v>784</v>
      </c>
      <c r="D56" s="2449"/>
    </row>
    <row r="57" spans="1:4" s="1089" customFormat="1" x14ac:dyDescent="0.2">
      <c r="A57" s="1073"/>
      <c r="B57" s="1083"/>
      <c r="C57" s="1091" t="s">
        <v>1347</v>
      </c>
      <c r="D57" s="1097" t="str">
        <f>IF('Assets-Liab 5-6'!C38+'Assets-Liab 5-6'!C39='Acct Summary 7-8'!C81,"OK","ERROR!")</f>
        <v>OK</v>
      </c>
    </row>
    <row r="58" spans="1:4" x14ac:dyDescent="0.2">
      <c r="A58" s="1073"/>
      <c r="B58" s="1083"/>
      <c r="C58" s="1091" t="s">
        <v>1348</v>
      </c>
      <c r="D58" s="1097" t="str">
        <f>IF((('Assets-Liab 5-6'!D38+'Assets-Liab 5-6'!D39) ='Acct Summary 7-8'!D81), "OK", "ERROR!" )</f>
        <v>OK</v>
      </c>
    </row>
    <row r="59" spans="1:4" s="1089" customFormat="1" x14ac:dyDescent="0.2">
      <c r="A59" s="1073"/>
      <c r="B59" s="1083"/>
      <c r="C59" s="1091" t="s">
        <v>1349</v>
      </c>
      <c r="D59" s="1097" t="str">
        <f>IF((('Assets-Liab 5-6'!E38 + 'Assets-Liab 5-6'!E39) ='Acct Summary 7-8'!E81), "OK", "ERROR!" )</f>
        <v>OK</v>
      </c>
    </row>
    <row r="60" spans="1:4" x14ac:dyDescent="0.2">
      <c r="A60" s="1073"/>
      <c r="B60" s="1083"/>
      <c r="C60" s="1091" t="s">
        <v>1350</v>
      </c>
      <c r="D60" s="1097" t="str">
        <f>IF((('Assets-Liab 5-6'!F38 + 'Assets-Liab 5-6'!F39) ='Acct Summary 7-8'!F81), "OK", "ERROR!" )</f>
        <v>OK</v>
      </c>
    </row>
    <row r="61" spans="1:4" ht="12.75" customHeight="1" x14ac:dyDescent="0.2">
      <c r="A61" s="1073"/>
      <c r="B61" s="1083"/>
      <c r="C61" s="1091" t="s">
        <v>1363</v>
      </c>
      <c r="D61" s="1097" t="str">
        <f>IF((('Assets-Liab 5-6'!G38 + 'Assets-Liab 5-6'!G39) ='Acct Summary 7-8'!G81), "OK", "ERROR!" )</f>
        <v>OK</v>
      </c>
    </row>
    <row r="62" spans="1:4" x14ac:dyDescent="0.2">
      <c r="A62" s="1073"/>
      <c r="B62" s="1083"/>
      <c r="C62" s="1091" t="s">
        <v>1351</v>
      </c>
      <c r="D62" s="1097" t="str">
        <f>IF((('Assets-Liab 5-6'!H38 + 'Assets-Liab 5-6'!H39) ='Acct Summary 7-8'!H81), "OK", "ERROR!" )</f>
        <v>OK</v>
      </c>
    </row>
    <row r="63" spans="1:4" ht="12.75" customHeight="1" x14ac:dyDescent="0.2">
      <c r="A63" s="1073"/>
      <c r="B63" s="1083"/>
      <c r="C63" s="1091" t="s">
        <v>1352</v>
      </c>
      <c r="D63" s="1097" t="str">
        <f>IF((('Assets-Liab 5-6'!I38 + 'Assets-Liab 5-6'!I39) ='Acct Summary 7-8'!I81), "OK", "ERROR!" )</f>
        <v>OK</v>
      </c>
    </row>
    <row r="64" spans="1:4" x14ac:dyDescent="0.2">
      <c r="A64" s="1073"/>
      <c r="B64" s="1083"/>
      <c r="C64" s="1091" t="s">
        <v>1353</v>
      </c>
      <c r="D64" s="1097" t="str">
        <f>IF((('Assets-Liab 5-6'!J38 + 'Assets-Liab 5-6'!J39) ='Acct Summary 7-8'!J81), "OK", "ERROR!" )</f>
        <v>OK</v>
      </c>
    </row>
    <row r="65" spans="1:4" x14ac:dyDescent="0.2">
      <c r="A65" s="1090"/>
      <c r="B65" s="1083"/>
      <c r="C65" s="1091" t="s">
        <v>1364</v>
      </c>
      <c r="D65" s="1097" t="str">
        <f>IF((('Assets-Liab 5-6'!K38 + 'Assets-Liab 5-6'!K39) ='Acct Summary 7-8'!K81), "OK", "ERROR!" )</f>
        <v>OK</v>
      </c>
    </row>
    <row r="66" spans="1:4" x14ac:dyDescent="0.2">
      <c r="A66" s="1071"/>
      <c r="B66" s="1113">
        <f>B56+1+1</f>
        <v>8</v>
      </c>
      <c r="C66" s="1119" t="s">
        <v>1911</v>
      </c>
      <c r="D66" s="1098"/>
    </row>
    <row r="67" spans="1:4" x14ac:dyDescent="0.2">
      <c r="A67" s="1092"/>
      <c r="B67" s="1113"/>
      <c r="C67" s="1120" t="s">
        <v>1021</v>
      </c>
      <c r="D67" s="1098"/>
    </row>
    <row r="68" spans="1:4" x14ac:dyDescent="0.2">
      <c r="A68" s="1073"/>
      <c r="B68" s="1083"/>
      <c r="C68" s="1075" t="s">
        <v>1912</v>
      </c>
      <c r="D68" s="1097" t="str">
        <f>IF('Short-Term Long-Term Debt 24'!F49=SUM(,'Acct Summary 7-8'!C33:K33),"OK","ERROR!")</f>
        <v>OK</v>
      </c>
    </row>
    <row r="69" spans="1:4" x14ac:dyDescent="0.2">
      <c r="A69" s="1073"/>
      <c r="B69" s="1083"/>
      <c r="C69" s="1075" t="s">
        <v>1913</v>
      </c>
      <c r="D69" s="1097" t="str">
        <f>IF('Expenditures 15-22'!H170&lt;&gt;'Short-Term Long-Term Debt 24'!H49,"ERROR!","OK")</f>
        <v>OK</v>
      </c>
    </row>
    <row r="70" spans="1:4" x14ac:dyDescent="0.2">
      <c r="A70" s="1071"/>
      <c r="B70" s="1093">
        <f>B66+1</f>
        <v>9</v>
      </c>
      <c r="C70" s="2448" t="s">
        <v>1696</v>
      </c>
      <c r="D70" s="2449"/>
    </row>
    <row r="71" spans="1:4" x14ac:dyDescent="0.2">
      <c r="A71" s="1071"/>
      <c r="B71" s="1093"/>
      <c r="C71" s="1075" t="s">
        <v>1354</v>
      </c>
      <c r="D71" s="1099" t="str">
        <f>IF(SUM('Acct Summary 7-8'!C27:K27) =SUM( 'Acct Summary 7-8'!C49:K49),"OK", "ERROR")</f>
        <v>OK</v>
      </c>
    </row>
    <row r="72" spans="1:4" x14ac:dyDescent="0.2">
      <c r="A72" s="1073"/>
      <c r="B72" s="1083"/>
      <c r="C72" s="1091" t="s">
        <v>1355</v>
      </c>
      <c r="D72" s="1097" t="str">
        <f>IF(SUM('Acct Summary 7-8'!C28:K28)=SUM('Acct Summary 7-8'!C50:K50),"OK","ERROR!")</f>
        <v>OK</v>
      </c>
    </row>
    <row r="73" spans="1:4" ht="24" x14ac:dyDescent="0.2">
      <c r="A73" s="1100"/>
      <c r="B73" s="1083"/>
      <c r="C73" s="1091" t="s">
        <v>1697</v>
      </c>
      <c r="D73" s="1099" t="str">
        <f>IF(SUM('Acct Summary 7-8'!C42:K42)&gt;=SUM( 'Acct Summary 7-8'!C74:K74),"OK", "ERROR")</f>
        <v>OK</v>
      </c>
    </row>
    <row r="74" spans="1:4" x14ac:dyDescent="0.2">
      <c r="A74" s="1071"/>
      <c r="B74" s="1093">
        <f>B70+1</f>
        <v>10</v>
      </c>
      <c r="C74" s="1087" t="s">
        <v>1914</v>
      </c>
      <c r="D74" s="1101"/>
    </row>
    <row r="75" spans="1:4" x14ac:dyDescent="0.2">
      <c r="A75" s="1073"/>
      <c r="B75" s="1083"/>
      <c r="C75" s="1091" t="s">
        <v>1377</v>
      </c>
      <c r="D75" s="1097" t="str">
        <f>IF(SUM('Assets-Liab 5-6'!C38:H38)&gt;=SUM('Rest Tax Levies-Tort Im 25'!G25:K25),"OK","ERROR")</f>
        <v>OK</v>
      </c>
    </row>
    <row r="76" spans="1:4" x14ac:dyDescent="0.2">
      <c r="A76" s="1073"/>
      <c r="B76" s="1083"/>
      <c r="C76" s="1091" t="s">
        <v>1418</v>
      </c>
      <c r="D76" s="1097" t="str">
        <f>IF(SUM('Assets-Liab 5-6'!C39:K39)&gt;0,"OK","ENTRY IS REQUIRED!")</f>
        <v>OK</v>
      </c>
    </row>
    <row r="77" spans="1:4" x14ac:dyDescent="0.2">
      <c r="A77" s="1073"/>
      <c r="B77" s="1102">
        <f>B74+1</f>
        <v>11</v>
      </c>
      <c r="C77" s="1147" t="s">
        <v>1378</v>
      </c>
      <c r="D77" s="1097"/>
    </row>
    <row r="78" spans="1:4" x14ac:dyDescent="0.2">
      <c r="A78" s="1073"/>
      <c r="B78" s="1083"/>
      <c r="C78" s="1091" t="s">
        <v>1915</v>
      </c>
      <c r="D78" s="1097" t="str">
        <f>IF(ISNUMBER('Acct Summary 7-8'!C9),"OK","ENTRY IS REQUIRED!")</f>
        <v>OK</v>
      </c>
    </row>
    <row r="79" spans="1:4" x14ac:dyDescent="0.2">
      <c r="A79" s="1092"/>
      <c r="B79" s="1093">
        <f>B74+1+1</f>
        <v>12</v>
      </c>
      <c r="C79" s="1103" t="s">
        <v>1900</v>
      </c>
      <c r="D79" s="1104" t="str">
        <f>IF(OR(COVER!$B$6="X",'PCTC-OEPP 27-28'!F78&gt;0),"OK","PLEASE ENTER 9 MO ADA.")</f>
        <v>OK</v>
      </c>
    </row>
    <row r="80" spans="1:4" x14ac:dyDescent="0.2">
      <c r="A80" s="1071"/>
      <c r="B80" s="1093">
        <v>13</v>
      </c>
      <c r="C80" s="1103" t="s">
        <v>1916</v>
      </c>
      <c r="D80" s="1104" t="str">
        <f>IF('Contracts Paid in CY 29'!D141&gt;0,"OK","PLEASE ENTER CONTRACTS PAID IN CURRENT YEAR.")</f>
        <v>OK</v>
      </c>
    </row>
    <row r="81" spans="1:4" x14ac:dyDescent="0.2">
      <c r="A81" s="1071"/>
      <c r="B81" s="1093">
        <v>14</v>
      </c>
      <c r="C81" s="1103" t="s">
        <v>1424</v>
      </c>
      <c r="D81" s="1096" t="str">
        <f>IF('Shared Outsourced Services 31'!B8="X","OK",IF('Shared Outsourced Services 31'!K34&gt;0,"OK","ENTRY REQUIRED!"))</f>
        <v>OK</v>
      </c>
    </row>
    <row r="82" spans="1:4" x14ac:dyDescent="0.2">
      <c r="A82" s="1092"/>
      <c r="B82" s="1093">
        <v>15</v>
      </c>
      <c r="C82" s="1103" t="s">
        <v>1423</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34049041004</v>
      </c>
    </row>
    <row r="3" spans="1:2" x14ac:dyDescent="0.2">
      <c r="A3" t="s">
        <v>956</v>
      </c>
      <c r="B3" s="138" t="str">
        <f>COVER!A15</f>
        <v>LAKE</v>
      </c>
    </row>
    <row r="4" spans="1:2" x14ac:dyDescent="0.2">
      <c r="A4" t="s">
        <v>1007</v>
      </c>
      <c r="B4" s="138" t="str">
        <f>COVER!A17</f>
        <v>Lake Villa CCSD 41</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066-005142</v>
      </c>
    </row>
    <row r="16" spans="1:2" x14ac:dyDescent="0.2">
      <c r="A16" t="s">
        <v>422</v>
      </c>
      <c r="B16" s="138" t="str">
        <f>COVER!T13</f>
        <v>EDER, CASELLA &amp; CO.</v>
      </c>
    </row>
    <row r="17" spans="1:2" x14ac:dyDescent="0.2">
      <c r="A17" t="s">
        <v>884</v>
      </c>
      <c r="B17" s="138" t="str">
        <f>COVER!T15</f>
        <v>CHERYDEN JUERGENSEN</v>
      </c>
    </row>
    <row r="18" spans="1:2" x14ac:dyDescent="0.2">
      <c r="A18" t="s">
        <v>1150</v>
      </c>
      <c r="B18" s="138" t="str">
        <f>COVER!T17</f>
        <v>5400 WEST ELM STREET, SUITE 203</v>
      </c>
    </row>
    <row r="19" spans="1:2" x14ac:dyDescent="0.2">
      <c r="A19" t="s">
        <v>886</v>
      </c>
      <c r="B19" s="138" t="str">
        <f>COVER!T25</f>
        <v>CPAS@EDERCASELLA.COM</v>
      </c>
    </row>
    <row r="20" spans="1:2" x14ac:dyDescent="0.2">
      <c r="A20" t="s">
        <v>887</v>
      </c>
      <c r="B20" s="138" t="str">
        <f>COVER!T19</f>
        <v>MCHENRY</v>
      </c>
    </row>
    <row r="21" spans="1:2" x14ac:dyDescent="0.2">
      <c r="A21" t="s">
        <v>479</v>
      </c>
      <c r="B21" s="138" t="str">
        <f>COVER!X19</f>
        <v>IL</v>
      </c>
    </row>
    <row r="22" spans="1:2" x14ac:dyDescent="0.2">
      <c r="A22" t="s">
        <v>888</v>
      </c>
      <c r="B22" s="138">
        <f>COVER!Z19</f>
        <v>60050</v>
      </c>
    </row>
    <row r="23" spans="1:2" x14ac:dyDescent="0.2">
      <c r="A23" t="s">
        <v>1152</v>
      </c>
      <c r="B23" s="138" t="str">
        <f>COVER!T21</f>
        <v>815-344-1300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13238440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16992058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15013213</v>
      </c>
      <c r="D92" s="2" t="str">
        <f t="shared" si="0"/>
        <v>Error?</v>
      </c>
    </row>
    <row r="93" spans="1:4" x14ac:dyDescent="0.2">
      <c r="A93" s="5">
        <v>32</v>
      </c>
      <c r="B93" s="138">
        <f>'Assets-Liab 5-6'!C41</f>
        <v>16992058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2163067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2776382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2718959</v>
      </c>
      <c r="D123" s="2" t="str">
        <f t="shared" si="0"/>
        <v>Error?</v>
      </c>
    </row>
    <row r="124" spans="1:4" x14ac:dyDescent="0.2">
      <c r="A124" s="5">
        <v>63</v>
      </c>
      <c r="B124" s="138">
        <f>'Assets-Liab 5-6'!D41</f>
        <v>2776382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2363448</v>
      </c>
      <c r="D129" s="2" t="str">
        <f t="shared" si="1"/>
        <v>Error?</v>
      </c>
    </row>
    <row r="130" spans="1:4" x14ac:dyDescent="0.2">
      <c r="A130" s="5">
        <v>69</v>
      </c>
      <c r="B130" s="138">
        <f>'Assets-Liab 5-6'!E12</f>
        <v>0</v>
      </c>
      <c r="D130" s="2" t="str">
        <f t="shared" si="1"/>
        <v>Error?</v>
      </c>
    </row>
    <row r="131" spans="1:4" x14ac:dyDescent="0.2">
      <c r="A131" s="5">
        <v>70</v>
      </c>
      <c r="B131" s="138">
        <f>'Assets-Liab 5-6'!E13</f>
        <v>3033578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3033578</v>
      </c>
      <c r="D140" s="2" t="str">
        <f t="shared" si="1"/>
        <v>Error?</v>
      </c>
    </row>
    <row r="141" spans="1:4" x14ac:dyDescent="0.2">
      <c r="A141" s="5">
        <v>80</v>
      </c>
      <c r="B141" s="138">
        <f>'Assets-Liab 5-6'!E41</f>
        <v>3033578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416848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535041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535041</v>
      </c>
      <c r="D170" s="2" t="str">
        <f t="shared" si="1"/>
        <v>Error?</v>
      </c>
    </row>
    <row r="171" spans="1:4" x14ac:dyDescent="0.2">
      <c r="A171" s="5">
        <v>110</v>
      </c>
      <c r="B171" s="138">
        <f>'Assets-Liab 5-6'!F41</f>
        <v>535041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419650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538637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349067</v>
      </c>
      <c r="D189" s="2" t="str">
        <f t="shared" si="1"/>
        <v>Error?</v>
      </c>
    </row>
    <row r="190" spans="1:4" x14ac:dyDescent="0.2">
      <c r="A190" s="5">
        <v>129</v>
      </c>
      <c r="B190" s="138">
        <f>'Assets-Liab 5-6'!G41</f>
        <v>538637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13682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17562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17562</v>
      </c>
      <c r="D212" s="2" t="str">
        <f t="shared" si="2"/>
        <v>Error?</v>
      </c>
    </row>
    <row r="213" spans="1:4" x14ac:dyDescent="0.2">
      <c r="A213" s="12">
        <v>152</v>
      </c>
      <c r="B213" s="138">
        <f>'Assets-Liab 5-6'!H41</f>
        <v>17562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6064657</v>
      </c>
      <c r="D273" s="2" t="str">
        <f t="shared" si="3"/>
        <v>Error?</v>
      </c>
    </row>
    <row r="274" spans="1:4" x14ac:dyDescent="0.2">
      <c r="A274" s="5">
        <v>213</v>
      </c>
      <c r="B274" s="138">
        <f>'Assets-Liab 5-6'!M17</f>
        <v>44505848</v>
      </c>
      <c r="D274" s="2" t="str">
        <f t="shared" si="3"/>
        <v>Error?</v>
      </c>
    </row>
    <row r="275" spans="1:4" x14ac:dyDescent="0.2">
      <c r="A275" s="5">
        <v>214</v>
      </c>
      <c r="B275" s="138">
        <f>'Assets-Liab 5-6'!M18</f>
        <v>2304019</v>
      </c>
      <c r="D275" s="2" t="str">
        <f t="shared" si="3"/>
        <v>Error?</v>
      </c>
    </row>
    <row r="276" spans="1:4" x14ac:dyDescent="0.2">
      <c r="A276" s="5">
        <v>215</v>
      </c>
      <c r="B276" s="138">
        <f>'Assets-Liab 5-6'!M19</f>
        <v>9599809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63631255</v>
      </c>
      <c r="C279" s="2" t="s">
        <v>573</v>
      </c>
      <c r="D279" s="2" t="str">
        <f t="shared" si="3"/>
        <v>Error?</v>
      </c>
    </row>
    <row r="280" spans="1:4" x14ac:dyDescent="0.2">
      <c r="A280" s="5">
        <v>219</v>
      </c>
      <c r="B280" s="138">
        <f>'Assets-Liab 5-6'!M40</f>
        <v>63631255</v>
      </c>
      <c r="D280" s="2" t="str">
        <f t="shared" si="3"/>
        <v>Error?</v>
      </c>
    </row>
    <row r="281" spans="1:4" x14ac:dyDescent="0.2">
      <c r="A281" s="5">
        <v>220</v>
      </c>
      <c r="B281" s="138">
        <f>'Assets-Liab 5-6'!M41</f>
        <v>63631255</v>
      </c>
      <c r="C281" s="2" t="s">
        <v>573</v>
      </c>
      <c r="D281" s="2" t="str">
        <f t="shared" si="3"/>
        <v>Error?</v>
      </c>
    </row>
    <row r="282" spans="1:4" x14ac:dyDescent="0.2">
      <c r="A282" s="5">
        <v>221</v>
      </c>
      <c r="B282" s="138">
        <f>'Assets-Liab 5-6'!N21</f>
        <v>3033578</v>
      </c>
      <c r="D282" s="2" t="str">
        <f t="shared" si="3"/>
        <v>Error?</v>
      </c>
    </row>
    <row r="283" spans="1:4" x14ac:dyDescent="0.2">
      <c r="A283" s="5">
        <v>222</v>
      </c>
      <c r="B283" s="138">
        <f>'Assets-Liab 5-6'!N22</f>
        <v>2160780</v>
      </c>
      <c r="D283" s="2" t="str">
        <f t="shared" si="3"/>
        <v>Error?</v>
      </c>
    </row>
    <row r="284" spans="1:4" x14ac:dyDescent="0.2">
      <c r="A284" s="5">
        <v>223</v>
      </c>
      <c r="B284" s="138">
        <f>'Assets-Liab 5-6'!N23</f>
        <v>5194358</v>
      </c>
      <c r="C284" s="2" t="s">
        <v>573</v>
      </c>
      <c r="D284" s="2" t="str">
        <f t="shared" si="3"/>
        <v>Error?</v>
      </c>
    </row>
    <row r="285" spans="1:4" x14ac:dyDescent="0.2">
      <c r="A285" s="5">
        <v>224</v>
      </c>
      <c r="B285" s="138">
        <f>'Assets-Liab 5-6'!N36</f>
        <v>5194358</v>
      </c>
      <c r="D285" s="2" t="str">
        <f t="shared" si="3"/>
        <v>Error?</v>
      </c>
    </row>
    <row r="286" spans="1:4" x14ac:dyDescent="0.2">
      <c r="A286" s="10">
        <v>225</v>
      </c>
      <c r="D286" s="2" t="str">
        <f t="shared" si="3"/>
        <v>OK</v>
      </c>
    </row>
    <row r="287" spans="1:4" x14ac:dyDescent="0.2">
      <c r="A287" s="5">
        <v>226</v>
      </c>
      <c r="B287" s="138">
        <f>'Assets-Liab 5-6'!N37</f>
        <v>5194358</v>
      </c>
      <c r="C287" s="2" t="s">
        <v>573</v>
      </c>
      <c r="D287" s="2" t="str">
        <f t="shared" si="3"/>
        <v>Error?</v>
      </c>
    </row>
    <row r="288" spans="1:4" x14ac:dyDescent="0.2">
      <c r="A288" s="5">
        <v>227</v>
      </c>
      <c r="B288" s="138">
        <f>'Assets-Liab 5-6'!N41</f>
        <v>5194358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42000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7491422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502702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93660</v>
      </c>
      <c r="D718" s="2" t="str">
        <f t="shared" si="10"/>
        <v>Error?</v>
      </c>
    </row>
    <row r="719" spans="1:4" x14ac:dyDescent="0.2">
      <c r="A719" s="5">
        <v>658</v>
      </c>
      <c r="B719" s="138">
        <f>'Expenditures 15-22'!C15</f>
        <v>142607</v>
      </c>
      <c r="D719" s="2" t="str">
        <f t="shared" si="10"/>
        <v>Error?</v>
      </c>
    </row>
    <row r="720" spans="1:4" x14ac:dyDescent="0.2">
      <c r="A720" s="5">
        <v>659</v>
      </c>
      <c r="B720" s="138">
        <f>'Expenditures 15-22'!C33</f>
        <v>11141412</v>
      </c>
      <c r="C720" s="2" t="s">
        <v>573</v>
      </c>
      <c r="D720" s="2" t="str">
        <f t="shared" si="10"/>
        <v>Error?</v>
      </c>
    </row>
    <row r="721" spans="1:4" x14ac:dyDescent="0.2">
      <c r="A721" s="5">
        <v>660</v>
      </c>
      <c r="B721" s="138">
        <f>'Expenditures 15-22'!C36</f>
        <v>284690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162709</v>
      </c>
      <c r="D723" s="2" t="str">
        <f t="shared" si="10"/>
        <v>Error?</v>
      </c>
    </row>
    <row r="724" spans="1:4" x14ac:dyDescent="0.2">
      <c r="A724" s="5">
        <v>663</v>
      </c>
      <c r="B724" s="138">
        <f>'Expenditures 15-22'!C39</f>
        <v>244372</v>
      </c>
      <c r="D724" s="2" t="str">
        <f t="shared" si="10"/>
        <v>Error?</v>
      </c>
    </row>
    <row r="725" spans="1:4" x14ac:dyDescent="0.2">
      <c r="A725" s="5">
        <v>664</v>
      </c>
      <c r="B725" s="138">
        <f>'Expenditures 15-22'!C40</f>
        <v>457307</v>
      </c>
      <c r="D725" s="2" t="str">
        <f t="shared" si="10"/>
        <v>Error?</v>
      </c>
    </row>
    <row r="726" spans="1:4" x14ac:dyDescent="0.2">
      <c r="A726" s="5">
        <v>665</v>
      </c>
      <c r="B726" s="138">
        <f>'Expenditures 15-22'!C41</f>
        <v>276462</v>
      </c>
      <c r="D726" s="2" t="str">
        <f t="shared" si="10"/>
        <v>Error?</v>
      </c>
    </row>
    <row r="727" spans="1:4" x14ac:dyDescent="0.2">
      <c r="A727" s="5">
        <v>666</v>
      </c>
      <c r="B727" s="138">
        <f>'Expenditures 15-22'!C42</f>
        <v>1425540</v>
      </c>
      <c r="C727" s="2" t="s">
        <v>573</v>
      </c>
      <c r="D727" s="2" t="str">
        <f t="shared" si="10"/>
        <v>Error?</v>
      </c>
    </row>
    <row r="728" spans="1:4" x14ac:dyDescent="0.2">
      <c r="A728" s="5">
        <v>667</v>
      </c>
      <c r="B728" s="138">
        <f>'Expenditures 15-22'!C44</f>
        <v>162000</v>
      </c>
      <c r="D728" s="2" t="str">
        <f t="shared" si="10"/>
        <v>Error?</v>
      </c>
    </row>
    <row r="729" spans="1:4" x14ac:dyDescent="0.2">
      <c r="A729" s="5">
        <v>668</v>
      </c>
      <c r="B729" s="138">
        <f>'Expenditures 15-22'!C45</f>
        <v>133290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295290</v>
      </c>
      <c r="C731" s="2" t="s">
        <v>573</v>
      </c>
      <c r="D731" s="2" t="str">
        <f t="shared" si="10"/>
        <v>Error?</v>
      </c>
    </row>
    <row r="732" spans="1:4" x14ac:dyDescent="0.2">
      <c r="A732" s="5">
        <v>671</v>
      </c>
      <c r="B732" s="138">
        <f>'Expenditures 15-22'!C49</f>
        <v>42136</v>
      </c>
      <c r="D732" s="2" t="str">
        <f t="shared" si="10"/>
        <v>Error?</v>
      </c>
    </row>
    <row r="733" spans="1:4" x14ac:dyDescent="0.2">
      <c r="A733" s="5">
        <v>672</v>
      </c>
      <c r="B733" s="138">
        <f>'Expenditures 15-22'!C50</f>
        <v>238357</v>
      </c>
      <c r="D733" s="2" t="str">
        <f t="shared" si="10"/>
        <v>Error?</v>
      </c>
    </row>
    <row r="734" spans="1:4" x14ac:dyDescent="0.2">
      <c r="A734" s="5">
        <v>673</v>
      </c>
      <c r="B734" s="138">
        <f>'Expenditures 15-22'!C53</f>
        <v>459725</v>
      </c>
      <c r="C734" s="2" t="s">
        <v>573</v>
      </c>
      <c r="D734" s="2" t="str">
        <f t="shared" si="10"/>
        <v>Error?</v>
      </c>
    </row>
    <row r="735" spans="1:4" x14ac:dyDescent="0.2">
      <c r="A735" s="5">
        <v>674</v>
      </c>
      <c r="B735" s="138">
        <f>'Expenditures 15-22'!C55</f>
        <v>729162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729162</v>
      </c>
      <c r="C737" s="2" t="s">
        <v>573</v>
      </c>
      <c r="D737" s="2" t="str">
        <f t="shared" si="10"/>
        <v>Error?</v>
      </c>
    </row>
    <row r="738" spans="1:4" x14ac:dyDescent="0.2">
      <c r="A738" s="5">
        <v>677</v>
      </c>
      <c r="B738" s="138">
        <f>'Expenditures 15-22'!C59</f>
        <v>120462</v>
      </c>
      <c r="D738" s="2" t="str">
        <f t="shared" si="10"/>
        <v>Error?</v>
      </c>
    </row>
    <row r="739" spans="1:4" x14ac:dyDescent="0.2">
      <c r="A739" s="5">
        <v>678</v>
      </c>
      <c r="B739" s="138">
        <f>'Expenditures 15-22'!C60</f>
        <v>187902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308364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269975</v>
      </c>
      <c r="D751" s="2" t="str">
        <f t="shared" si="10"/>
        <v>Error?</v>
      </c>
    </row>
    <row r="752" spans="1:4" x14ac:dyDescent="0.2">
      <c r="A752" s="10">
        <v>691</v>
      </c>
      <c r="D752" s="2" t="str">
        <f t="shared" si="10"/>
        <v>OK</v>
      </c>
    </row>
    <row r="753" spans="1:4" x14ac:dyDescent="0.2">
      <c r="A753" s="5">
        <v>692</v>
      </c>
      <c r="B753" s="138">
        <f>'Expenditures 15-22'!C72</f>
        <v>269975</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3488056</v>
      </c>
      <c r="C755" s="2" t="s">
        <v>573</v>
      </c>
      <c r="D755" s="2" t="str">
        <f t="shared" si="10"/>
        <v>Error?</v>
      </c>
    </row>
    <row r="756" spans="1:4" x14ac:dyDescent="0.2">
      <c r="A756" s="5">
        <v>695</v>
      </c>
      <c r="B756" s="138">
        <f>'Expenditures 15-22'!C75</f>
        <v>9642</v>
      </c>
      <c r="D756" s="2" t="str">
        <f t="shared" si="10"/>
        <v>Error?</v>
      </c>
    </row>
    <row r="757" spans="1:4" x14ac:dyDescent="0.2">
      <c r="A757" s="5">
        <v>696</v>
      </c>
      <c r="B757" s="138">
        <f>'Expenditures 15-22'!C114</f>
        <v>14639110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994224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81847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1269</v>
      </c>
      <c r="D776" s="2" t="str">
        <f t="shared" si="11"/>
        <v>Error?</v>
      </c>
    </row>
    <row r="777" spans="1:4" x14ac:dyDescent="0.2">
      <c r="A777" s="5">
        <v>716</v>
      </c>
      <c r="B777" s="138">
        <f>'Expenditures 15-22'!D15</f>
        <v>4250</v>
      </c>
      <c r="D777" s="2" t="str">
        <f t="shared" si="11"/>
        <v>Error?</v>
      </c>
    </row>
    <row r="778" spans="1:4" x14ac:dyDescent="0.2">
      <c r="A778" s="5">
        <v>717</v>
      </c>
      <c r="B778" s="138">
        <f>'Expenditures 15-22'!D33</f>
        <v>1617120</v>
      </c>
      <c r="C778" s="2" t="s">
        <v>573</v>
      </c>
      <c r="D778" s="2" t="str">
        <f t="shared" si="11"/>
        <v>Error?</v>
      </c>
    </row>
    <row r="779" spans="1:4" x14ac:dyDescent="0.2">
      <c r="A779" s="5">
        <v>718</v>
      </c>
      <c r="B779" s="138">
        <f>'Expenditures 15-22'!D36</f>
        <v>37282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53791</v>
      </c>
      <c r="D781" s="2" t="str">
        <f t="shared" si="11"/>
        <v>Error?</v>
      </c>
    </row>
    <row r="782" spans="1:4" x14ac:dyDescent="0.2">
      <c r="A782" s="5">
        <v>721</v>
      </c>
      <c r="B782" s="138">
        <f>'Expenditures 15-22'!D39</f>
        <v>24960</v>
      </c>
      <c r="D782" s="2" t="str">
        <f t="shared" si="11"/>
        <v>Error?</v>
      </c>
    </row>
    <row r="783" spans="1:4" x14ac:dyDescent="0.2">
      <c r="A783" s="5">
        <v>722</v>
      </c>
      <c r="B783" s="138">
        <f>'Expenditures 15-22'!D40</f>
        <v>63527</v>
      </c>
      <c r="D783" s="2" t="str">
        <f t="shared" si="11"/>
        <v>Error?</v>
      </c>
    </row>
    <row r="784" spans="1:4" x14ac:dyDescent="0.2">
      <c r="A784" s="5">
        <v>723</v>
      </c>
      <c r="B784" s="138">
        <f>'Expenditures 15-22'!D41</f>
        <v>42576</v>
      </c>
      <c r="D784" s="2" t="str">
        <f t="shared" si="11"/>
        <v>Error?</v>
      </c>
    </row>
    <row r="785" spans="1:4" x14ac:dyDescent="0.2">
      <c r="A785" s="5">
        <v>724</v>
      </c>
      <c r="B785" s="138">
        <f>'Expenditures 15-22'!D42</f>
        <v>222136</v>
      </c>
      <c r="C785" s="2" t="s">
        <v>573</v>
      </c>
      <c r="D785" s="2" t="str">
        <f t="shared" si="11"/>
        <v>Error?</v>
      </c>
    </row>
    <row r="786" spans="1:4" x14ac:dyDescent="0.2">
      <c r="A786" s="5">
        <v>725</v>
      </c>
      <c r="B786" s="138">
        <f>'Expenditures 15-22'!D44</f>
        <v>13771</v>
      </c>
      <c r="D786" s="2" t="str">
        <f t="shared" si="11"/>
        <v>Error?</v>
      </c>
    </row>
    <row r="787" spans="1:4" x14ac:dyDescent="0.2">
      <c r="A787" s="5">
        <v>726</v>
      </c>
      <c r="B787" s="138">
        <f>'Expenditures 15-22'!D45</f>
        <v>43566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57337</v>
      </c>
      <c r="C789" s="2" t="s">
        <v>573</v>
      </c>
      <c r="D789" s="2" t="str">
        <f t="shared" si="11"/>
        <v>Error?</v>
      </c>
    </row>
    <row r="790" spans="1:4" x14ac:dyDescent="0.2">
      <c r="A790" s="5">
        <v>729</v>
      </c>
      <c r="B790" s="138">
        <f>'Expenditures 15-22'!D49</f>
        <v>24817</v>
      </c>
      <c r="D790" s="2" t="str">
        <f t="shared" si="11"/>
        <v>Error?</v>
      </c>
    </row>
    <row r="791" spans="1:4" x14ac:dyDescent="0.2">
      <c r="A791" s="5">
        <v>730</v>
      </c>
      <c r="B791" s="138">
        <f>'Expenditures 15-22'!D50</f>
        <v>57637</v>
      </c>
      <c r="D791" s="2" t="str">
        <f t="shared" si="11"/>
        <v>Error?</v>
      </c>
    </row>
    <row r="792" spans="1:4" x14ac:dyDescent="0.2">
      <c r="A792" s="5">
        <v>731</v>
      </c>
      <c r="B792" s="138">
        <f>'Expenditures 15-22'!D53</f>
        <v>130722</v>
      </c>
      <c r="C792" s="2" t="s">
        <v>573</v>
      </c>
      <c r="D792" s="2" t="str">
        <f t="shared" si="11"/>
        <v>Error?</v>
      </c>
    </row>
    <row r="793" spans="1:4" x14ac:dyDescent="0.2">
      <c r="A793" s="5">
        <v>732</v>
      </c>
      <c r="B793" s="138">
        <f>'Expenditures 15-22'!D55</f>
        <v>239825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239825</v>
      </c>
      <c r="C795" s="2" t="s">
        <v>573</v>
      </c>
      <c r="D795" s="2" t="str">
        <f t="shared" si="11"/>
        <v>Error?</v>
      </c>
    </row>
    <row r="796" spans="1:4" x14ac:dyDescent="0.2">
      <c r="A796" s="5">
        <v>735</v>
      </c>
      <c r="B796" s="138">
        <f>'Expenditures 15-22'!D59</f>
        <v>40481</v>
      </c>
      <c r="D796" s="2" t="str">
        <f t="shared" si="11"/>
        <v>Error?</v>
      </c>
    </row>
    <row r="797" spans="1:4" x14ac:dyDescent="0.2">
      <c r="A797" s="5">
        <v>736</v>
      </c>
      <c r="B797" s="138">
        <f>'Expenditures 15-22'!D60</f>
        <v>15068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55549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46880</v>
      </c>
      <c r="D809" s="2" t="str">
        <f t="shared" si="11"/>
        <v>Error?</v>
      </c>
    </row>
    <row r="810" spans="1:4" x14ac:dyDescent="0.2">
      <c r="A810" s="10">
        <v>749</v>
      </c>
      <c r="D810" s="2" t="str">
        <f t="shared" si="11"/>
        <v>OK</v>
      </c>
    </row>
    <row r="811" spans="1:4" x14ac:dyDescent="0.2">
      <c r="A811" s="5">
        <v>750</v>
      </c>
      <c r="B811" s="138">
        <f>'Expenditures 15-22'!D72</f>
        <v>46880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752449</v>
      </c>
      <c r="C813" s="2" t="s">
        <v>573</v>
      </c>
      <c r="D813" s="2" t="str">
        <f t="shared" si="11"/>
        <v>Error?</v>
      </c>
    </row>
    <row r="814" spans="1:4" x14ac:dyDescent="0.2">
      <c r="A814" s="5">
        <v>753</v>
      </c>
      <c r="B814" s="138">
        <f>'Expenditures 15-22'!D75</f>
        <v>1091</v>
      </c>
      <c r="D814" s="2" t="str">
        <f t="shared" si="11"/>
        <v>Error?</v>
      </c>
    </row>
    <row r="815" spans="1:4" x14ac:dyDescent="0.2">
      <c r="A815" s="5">
        <v>754</v>
      </c>
      <c r="B815" s="138">
        <f>'Expenditures 15-22'!D114</f>
        <v>2370660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92657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2609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7381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117571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26546</v>
      </c>
      <c r="D839" s="2" t="str">
        <f t="shared" si="12"/>
        <v>Error?</v>
      </c>
    </row>
    <row r="840" spans="1:4" x14ac:dyDescent="0.2">
      <c r="A840" s="5">
        <v>779</v>
      </c>
      <c r="B840" s="138">
        <f>'Expenditures 15-22'!E39</f>
        <v>68544</v>
      </c>
      <c r="D840" s="2" t="str">
        <f t="shared" si="12"/>
        <v>Error?</v>
      </c>
    </row>
    <row r="841" spans="1:4" x14ac:dyDescent="0.2">
      <c r="A841" s="5">
        <v>780</v>
      </c>
      <c r="B841" s="138">
        <f>'Expenditures 15-22'!E40</f>
        <v>31685</v>
      </c>
      <c r="D841" s="2" t="str">
        <f t="shared" si="12"/>
        <v>Error?</v>
      </c>
    </row>
    <row r="842" spans="1:4" x14ac:dyDescent="0.2">
      <c r="A842" s="5">
        <v>781</v>
      </c>
      <c r="B842" s="138">
        <f>'Expenditures 15-22'!E41</f>
        <v>62271</v>
      </c>
      <c r="D842" s="2" t="str">
        <f t="shared" si="12"/>
        <v>Error?</v>
      </c>
    </row>
    <row r="843" spans="1:4" x14ac:dyDescent="0.2">
      <c r="A843" s="5">
        <v>782</v>
      </c>
      <c r="B843" s="138">
        <f>'Expenditures 15-22'!E42</f>
        <v>189046</v>
      </c>
      <c r="C843" s="2" t="s">
        <v>573</v>
      </c>
      <c r="D843" s="2" t="str">
        <f t="shared" si="12"/>
        <v>Error?</v>
      </c>
    </row>
    <row r="844" spans="1:4" x14ac:dyDescent="0.2">
      <c r="A844" s="5">
        <v>783</v>
      </c>
      <c r="B844" s="138">
        <f>'Expenditures 15-22'!E44</f>
        <v>109861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109861</v>
      </c>
      <c r="C847" s="2" t="s">
        <v>573</v>
      </c>
      <c r="D847" s="2" t="str">
        <f t="shared" si="12"/>
        <v>Error?</v>
      </c>
    </row>
    <row r="848" spans="1:4" x14ac:dyDescent="0.2">
      <c r="A848" s="5">
        <v>787</v>
      </c>
      <c r="B848" s="138">
        <f>'Expenditures 15-22'!E49</f>
        <v>175964</v>
      </c>
      <c r="D848" s="2" t="str">
        <f t="shared" si="12"/>
        <v>Error?</v>
      </c>
    </row>
    <row r="849" spans="1:4" x14ac:dyDescent="0.2">
      <c r="A849" s="5">
        <v>788</v>
      </c>
      <c r="B849" s="138">
        <f>'Expenditures 15-22'!E50</f>
        <v>761</v>
      </c>
      <c r="D849" s="2" t="str">
        <f t="shared" si="12"/>
        <v>Error?</v>
      </c>
    </row>
    <row r="850" spans="1:4" x14ac:dyDescent="0.2">
      <c r="A850" s="5">
        <v>789</v>
      </c>
      <c r="B850" s="138">
        <f>'Expenditures 15-22'!E53</f>
        <v>176725</v>
      </c>
      <c r="C850" s="2" t="s">
        <v>573</v>
      </c>
      <c r="D850" s="2" t="str">
        <f t="shared" si="12"/>
        <v>Error?</v>
      </c>
    </row>
    <row r="851" spans="1:4" x14ac:dyDescent="0.2">
      <c r="A851" s="5">
        <v>790</v>
      </c>
      <c r="B851" s="138">
        <f>'Expenditures 15-22'!E55</f>
        <v>1379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1379</v>
      </c>
      <c r="C853" s="2" t="s">
        <v>573</v>
      </c>
      <c r="D853" s="2" t="str">
        <f t="shared" si="12"/>
        <v>Error?</v>
      </c>
    </row>
    <row r="854" spans="1:4" x14ac:dyDescent="0.2">
      <c r="A854" s="5">
        <v>793</v>
      </c>
      <c r="B854" s="138">
        <f>'Expenditures 15-22'!E59</f>
        <v>1155</v>
      </c>
      <c r="D854" s="2" t="str">
        <f t="shared" si="12"/>
        <v>Error?</v>
      </c>
    </row>
    <row r="855" spans="1:4" x14ac:dyDescent="0.2">
      <c r="A855" s="5">
        <v>794</v>
      </c>
      <c r="B855" s="138">
        <f>'Expenditures 15-22'!E60</f>
        <v>39348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559580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600083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356526</v>
      </c>
      <c r="D867" s="2" t="str">
        <f t="shared" si="12"/>
        <v>Error?</v>
      </c>
    </row>
    <row r="868" spans="1:4" x14ac:dyDescent="0.2">
      <c r="A868" s="10">
        <v>807</v>
      </c>
      <c r="D868" s="2" t="str">
        <f t="shared" si="12"/>
        <v>OK</v>
      </c>
    </row>
    <row r="869" spans="1:4" x14ac:dyDescent="0.2">
      <c r="A869" s="5">
        <v>808</v>
      </c>
      <c r="B869" s="138">
        <f>'Expenditures 15-22'!E72</f>
        <v>356526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1433620</v>
      </c>
      <c r="C871" s="2" t="s">
        <v>573</v>
      </c>
      <c r="D871" s="2" t="str">
        <f t="shared" si="12"/>
        <v>Error?</v>
      </c>
    </row>
    <row r="872" spans="1:4" x14ac:dyDescent="0.2">
      <c r="A872" s="5">
        <v>811</v>
      </c>
      <c r="B872" s="138">
        <f>'Expenditures 15-22'!E75</f>
        <v>905</v>
      </c>
      <c r="D872" s="2" t="str">
        <f t="shared" si="12"/>
        <v>Error?</v>
      </c>
    </row>
    <row r="873" spans="1:4" x14ac:dyDescent="0.2">
      <c r="A873" s="5">
        <v>812</v>
      </c>
      <c r="B873" s="138">
        <f>'Expenditures 15-22'!E114</f>
        <v>1717676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753044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2236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13752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793961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3681</v>
      </c>
      <c r="D897" s="2" t="str">
        <f t="shared" si="13"/>
        <v>Error?</v>
      </c>
    </row>
    <row r="898" spans="1:4" x14ac:dyDescent="0.2">
      <c r="A898" s="5">
        <v>837</v>
      </c>
      <c r="B898" s="138">
        <f>'Expenditures 15-22'!F39</f>
        <v>3087</v>
      </c>
      <c r="D898" s="2" t="str">
        <f t="shared" si="13"/>
        <v>Error?</v>
      </c>
    </row>
    <row r="899" spans="1:4" x14ac:dyDescent="0.2">
      <c r="A899" s="5">
        <v>838</v>
      </c>
      <c r="B899" s="138">
        <f>'Expenditures 15-22'!F40</f>
        <v>6461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13229</v>
      </c>
      <c r="C901" s="2" t="s">
        <v>573</v>
      </c>
      <c r="D901" s="2" t="str">
        <f t="shared" si="13"/>
        <v>Error?</v>
      </c>
    </row>
    <row r="902" spans="1:4" x14ac:dyDescent="0.2">
      <c r="A902" s="5">
        <v>841</v>
      </c>
      <c r="B902" s="138">
        <f>'Expenditures 15-22'!F44</f>
        <v>152</v>
      </c>
      <c r="D902" s="2" t="str">
        <f t="shared" si="13"/>
        <v>Error?</v>
      </c>
    </row>
    <row r="903" spans="1:4" x14ac:dyDescent="0.2">
      <c r="A903" s="5">
        <v>842</v>
      </c>
      <c r="B903" s="138">
        <f>'Expenditures 15-22'!F45</f>
        <v>12282</v>
      </c>
      <c r="D903" s="2" t="str">
        <f t="shared" si="13"/>
        <v>Error?</v>
      </c>
    </row>
    <row r="904" spans="1:4" x14ac:dyDescent="0.2">
      <c r="A904" s="5">
        <v>843</v>
      </c>
      <c r="B904" s="138">
        <f>'Expenditures 15-22'!F46</f>
        <v>4050</v>
      </c>
      <c r="D904" s="2" t="str">
        <f t="shared" si="13"/>
        <v>Error?</v>
      </c>
    </row>
    <row r="905" spans="1:4" x14ac:dyDescent="0.2">
      <c r="A905" s="5">
        <v>844</v>
      </c>
      <c r="B905" s="138">
        <f>'Expenditures 15-22'!F47</f>
        <v>16484</v>
      </c>
      <c r="C905" s="2" t="s">
        <v>573</v>
      </c>
      <c r="D905" s="2" t="str">
        <f t="shared" si="13"/>
        <v>Error?</v>
      </c>
    </row>
    <row r="906" spans="1:4" x14ac:dyDescent="0.2">
      <c r="A906" s="5">
        <v>845</v>
      </c>
      <c r="B906" s="138">
        <f>'Expenditures 15-22'!F49</f>
        <v>6036</v>
      </c>
      <c r="D906" s="2" t="str">
        <f t="shared" si="13"/>
        <v>Error?</v>
      </c>
    </row>
    <row r="907" spans="1:4" x14ac:dyDescent="0.2">
      <c r="A907" s="5">
        <v>846</v>
      </c>
      <c r="B907" s="138">
        <f>'Expenditures 15-22'!F50</f>
        <v>1433</v>
      </c>
      <c r="D907" s="2" t="str">
        <f t="shared" si="13"/>
        <v>Error?</v>
      </c>
    </row>
    <row r="908" spans="1:4" x14ac:dyDescent="0.2">
      <c r="A908" s="5">
        <v>847</v>
      </c>
      <c r="B908" s="138">
        <f>'Expenditures 15-22'!F53</f>
        <v>8257</v>
      </c>
      <c r="C908" s="2" t="s">
        <v>573</v>
      </c>
      <c r="D908" s="2" t="str">
        <f t="shared" si="13"/>
        <v>Error?</v>
      </c>
    </row>
    <row r="909" spans="1:4" x14ac:dyDescent="0.2">
      <c r="A909" s="5">
        <v>848</v>
      </c>
      <c r="B909" s="138">
        <f>'Expenditures 15-22'!F55</f>
        <v>181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181</v>
      </c>
      <c r="C911" s="2" t="s">
        <v>573</v>
      </c>
      <c r="D911" s="2" t="str">
        <f t="shared" si="13"/>
        <v>Error?</v>
      </c>
    </row>
    <row r="912" spans="1:4" x14ac:dyDescent="0.2">
      <c r="A912" s="5">
        <v>851</v>
      </c>
      <c r="B912" s="138">
        <f>'Expenditures 15-22'!F59</f>
        <v>791</v>
      </c>
      <c r="D912" s="2" t="str">
        <f t="shared" si="13"/>
        <v>Error?</v>
      </c>
    </row>
    <row r="913" spans="1:4" x14ac:dyDescent="0.2">
      <c r="A913" s="5">
        <v>852</v>
      </c>
      <c r="B913" s="138">
        <f>'Expenditures 15-22'!F60</f>
        <v>2859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3647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7297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258559</v>
      </c>
      <c r="D925" s="2" t="str">
        <f t="shared" si="13"/>
        <v>Error?</v>
      </c>
    </row>
    <row r="926" spans="1:4" x14ac:dyDescent="0.2">
      <c r="A926" s="10">
        <v>865</v>
      </c>
      <c r="D926" s="2" t="str">
        <f t="shared" si="13"/>
        <v>OK</v>
      </c>
    </row>
    <row r="927" spans="1:4" x14ac:dyDescent="0.2">
      <c r="A927" s="5">
        <v>866</v>
      </c>
      <c r="B927" s="138">
        <f>'Expenditures 15-22'!F72</f>
        <v>258559</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304007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1097968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4461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4461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2777</v>
      </c>
      <c r="D983" s="2" t="str">
        <f t="shared" si="14"/>
        <v>Error?</v>
      </c>
    </row>
    <row r="984" spans="1:4" x14ac:dyDescent="0.2">
      <c r="A984" s="10">
        <v>923</v>
      </c>
      <c r="D984" s="2" t="str">
        <f t="shared" si="14"/>
        <v>OK</v>
      </c>
    </row>
    <row r="985" spans="1:4" x14ac:dyDescent="0.2">
      <c r="A985" s="5">
        <v>924</v>
      </c>
      <c r="B985" s="138">
        <f>'Expenditures 15-22'!G72</f>
        <v>2777</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7238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7238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1910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2030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823210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250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250</v>
      </c>
      <c r="C1021" s="2" t="s">
        <v>573</v>
      </c>
      <c r="D1021" s="2" t="str">
        <f t="shared" si="14"/>
        <v>Error?</v>
      </c>
    </row>
    <row r="1022" spans="1:4" x14ac:dyDescent="0.2">
      <c r="A1022" s="5">
        <v>961</v>
      </c>
      <c r="B1022" s="138">
        <f>'Expenditures 15-22'!H49</f>
        <v>13431</v>
      </c>
      <c r="D1022" s="2" t="str">
        <f t="shared" si="14"/>
        <v>Error?</v>
      </c>
    </row>
    <row r="1023" spans="1:4" x14ac:dyDescent="0.2">
      <c r="A1023" s="5">
        <v>962</v>
      </c>
      <c r="B1023" s="138">
        <f>'Expenditures 15-22'!H50</f>
        <v>2750</v>
      </c>
      <c r="D1023" s="2" t="str">
        <f t="shared" ref="D1023:D1086" si="15">IF(ISBLANK(B1023),"OK",IF(A1023-B1023=0,"OK","Error?"))</f>
        <v>Error?</v>
      </c>
    </row>
    <row r="1024" spans="1:4" x14ac:dyDescent="0.2">
      <c r="A1024" s="5">
        <v>963</v>
      </c>
      <c r="B1024" s="138">
        <f>'Expenditures 15-22'!H53</f>
        <v>16181</v>
      </c>
      <c r="C1024" s="2" t="s">
        <v>573</v>
      </c>
      <c r="D1024" s="2" t="str">
        <f t="shared" si="15"/>
        <v>Error?</v>
      </c>
    </row>
    <row r="1025" spans="1:4" x14ac:dyDescent="0.2">
      <c r="A1025" s="5">
        <v>964</v>
      </c>
      <c r="B1025" s="138">
        <f>'Expenditures 15-22'!H55</f>
        <v>311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311</v>
      </c>
      <c r="C1027" s="2" t="s">
        <v>573</v>
      </c>
      <c r="D1027" s="2" t="str">
        <f t="shared" si="15"/>
        <v>Error?</v>
      </c>
    </row>
    <row r="1028" spans="1:4" x14ac:dyDescent="0.2">
      <c r="A1028" s="5">
        <v>967</v>
      </c>
      <c r="B1028" s="138">
        <f>'Expenditures 15-22'!H59</f>
        <v>1085</v>
      </c>
      <c r="D1028" s="2" t="str">
        <f t="shared" si="15"/>
        <v>Error?</v>
      </c>
    </row>
    <row r="1029" spans="1:4" x14ac:dyDescent="0.2">
      <c r="A1029" s="5">
        <v>968</v>
      </c>
      <c r="B1029" s="138">
        <f>'Expenditures 15-22'!H60</f>
        <v>13516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1240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15841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317</v>
      </c>
      <c r="D1041" s="2" t="str">
        <f t="shared" si="15"/>
        <v>Error?</v>
      </c>
    </row>
    <row r="1042" spans="1:4" x14ac:dyDescent="0.2">
      <c r="A1042" s="10">
        <v>981</v>
      </c>
      <c r="D1042" s="2" t="str">
        <f t="shared" si="15"/>
        <v>OK</v>
      </c>
    </row>
    <row r="1043" spans="1:4" x14ac:dyDescent="0.2">
      <c r="A1043" s="5">
        <v>982</v>
      </c>
      <c r="B1043" s="138">
        <f>'Expenditures 15-22'!H72</f>
        <v>317</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32900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3068559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3924669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9349534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589394</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118092</v>
      </c>
      <c r="C1106" s="2" t="s">
        <v>573</v>
      </c>
      <c r="D1106" s="2" t="str">
        <f t="shared" si="16"/>
        <v>Error?</v>
      </c>
    </row>
    <row r="1107" spans="1:4" x14ac:dyDescent="0.2">
      <c r="A1107" s="5">
        <v>1046</v>
      </c>
      <c r="B1107" s="138">
        <f>'Expenditures 15-22'!K15</f>
        <v>146857</v>
      </c>
      <c r="C1107" s="2" t="s">
        <v>573</v>
      </c>
      <c r="D1107" s="2" t="str">
        <f t="shared" si="16"/>
        <v>Error?</v>
      </c>
    </row>
    <row r="1108" spans="1:4" x14ac:dyDescent="0.2">
      <c r="A1108" s="5">
        <v>1047</v>
      </c>
      <c r="B1108" s="138">
        <f>'Expenditures 15-22'!K33</f>
        <v>14513287</v>
      </c>
      <c r="C1108" s="2" t="s">
        <v>573</v>
      </c>
      <c r="D1108" s="2" t="str">
        <f t="shared" si="16"/>
        <v>Error?</v>
      </c>
    </row>
    <row r="1109" spans="1:4" x14ac:dyDescent="0.2">
      <c r="A1109" s="5">
        <v>1048</v>
      </c>
      <c r="B1109" s="138">
        <f>'Expenditures 15-22'!K36</f>
        <v>321972</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246727</v>
      </c>
      <c r="C1111" s="2" t="s">
        <v>573</v>
      </c>
      <c r="D1111" s="2" t="str">
        <f t="shared" si="16"/>
        <v>Error?</v>
      </c>
    </row>
    <row r="1112" spans="1:4" x14ac:dyDescent="0.2">
      <c r="A1112" s="5">
        <v>1051</v>
      </c>
      <c r="B1112" s="138">
        <f>'Expenditures 15-22'!K39</f>
        <v>340963</v>
      </c>
      <c r="C1112" s="2" t="s">
        <v>573</v>
      </c>
      <c r="D1112" s="2" t="str">
        <f t="shared" si="16"/>
        <v>Error?</v>
      </c>
    </row>
    <row r="1113" spans="1:4" x14ac:dyDescent="0.2">
      <c r="A1113" s="5">
        <v>1052</v>
      </c>
      <c r="B1113" s="138">
        <f>'Expenditures 15-22'!K40</f>
        <v>558980</v>
      </c>
      <c r="C1113" s="2" t="s">
        <v>573</v>
      </c>
      <c r="D1113" s="2" t="str">
        <f t="shared" si="16"/>
        <v>Error?</v>
      </c>
    </row>
    <row r="1114" spans="1:4" x14ac:dyDescent="0.2">
      <c r="A1114" s="5">
        <v>1053</v>
      </c>
      <c r="B1114" s="138">
        <f>'Expenditures 15-22'!K41</f>
        <v>381309</v>
      </c>
      <c r="C1114" s="2" t="s">
        <v>573</v>
      </c>
      <c r="D1114" s="2" t="str">
        <f t="shared" si="16"/>
        <v>Error?</v>
      </c>
    </row>
    <row r="1115" spans="1:4" x14ac:dyDescent="0.2">
      <c r="A1115" s="5">
        <v>1054</v>
      </c>
      <c r="B1115" s="138">
        <f>'Expenditures 15-22'!K42</f>
        <v>1849951</v>
      </c>
      <c r="C1115" s="2" t="s">
        <v>573</v>
      </c>
      <c r="D1115" s="2" t="str">
        <f t="shared" si="16"/>
        <v>Error?</v>
      </c>
    </row>
    <row r="1116" spans="1:4" x14ac:dyDescent="0.2">
      <c r="A1116" s="5">
        <v>1055</v>
      </c>
      <c r="B1116" s="138">
        <f>'Expenditures 15-22'!K44</f>
        <v>286034</v>
      </c>
      <c r="C1116" s="2" t="s">
        <v>573</v>
      </c>
      <c r="D1116" s="2" t="str">
        <f t="shared" si="16"/>
        <v>Error?</v>
      </c>
    </row>
    <row r="1117" spans="1:4" x14ac:dyDescent="0.2">
      <c r="A1117" s="5">
        <v>1056</v>
      </c>
      <c r="B1117" s="138">
        <f>'Expenditures 15-22'!K45</f>
        <v>189138</v>
      </c>
      <c r="C1117" s="2" t="s">
        <v>573</v>
      </c>
      <c r="D1117" s="2" t="str">
        <f t="shared" si="16"/>
        <v>Error?</v>
      </c>
    </row>
    <row r="1118" spans="1:4" x14ac:dyDescent="0.2">
      <c r="A1118" s="5">
        <v>1057</v>
      </c>
      <c r="B1118" s="138">
        <f>'Expenditures 15-22'!K46</f>
        <v>4050</v>
      </c>
      <c r="C1118" s="2" t="s">
        <v>573</v>
      </c>
      <c r="D1118" s="2" t="str">
        <f t="shared" si="16"/>
        <v>Error?</v>
      </c>
    </row>
    <row r="1119" spans="1:4" x14ac:dyDescent="0.2">
      <c r="A1119" s="5">
        <v>1058</v>
      </c>
      <c r="B1119" s="138">
        <f>'Expenditures 15-22'!K47</f>
        <v>479222</v>
      </c>
      <c r="C1119" s="2" t="s">
        <v>573</v>
      </c>
      <c r="D1119" s="2" t="str">
        <f t="shared" si="16"/>
        <v>Error?</v>
      </c>
    </row>
    <row r="1120" spans="1:4" x14ac:dyDescent="0.2">
      <c r="A1120" s="5">
        <v>1059</v>
      </c>
      <c r="B1120" s="138">
        <f>'Expenditures 15-22'!K49</f>
        <v>262384</v>
      </c>
      <c r="C1120" s="2" t="s">
        <v>573</v>
      </c>
      <c r="D1120" s="2" t="str">
        <f t="shared" si="16"/>
        <v>Error?</v>
      </c>
    </row>
    <row r="1121" spans="1:4" x14ac:dyDescent="0.2">
      <c r="A1121" s="5">
        <v>1060</v>
      </c>
      <c r="B1121" s="138">
        <f>'Expenditures 15-22'!K50</f>
        <v>300938</v>
      </c>
      <c r="C1121" s="2" t="s">
        <v>573</v>
      </c>
      <c r="D1121" s="2" t="str">
        <f t="shared" si="16"/>
        <v>Error?</v>
      </c>
    </row>
    <row r="1122" spans="1:4" x14ac:dyDescent="0.2">
      <c r="A1122" s="5">
        <v>1061</v>
      </c>
      <c r="B1122" s="138">
        <f>'Expenditures 15-22'!K53</f>
        <v>791610</v>
      </c>
      <c r="C1122" s="2" t="s">
        <v>573</v>
      </c>
      <c r="D1122" s="2" t="str">
        <f t="shared" si="16"/>
        <v>Error?</v>
      </c>
    </row>
    <row r="1123" spans="1:4" x14ac:dyDescent="0.2">
      <c r="A1123" s="5">
        <v>1062</v>
      </c>
      <c r="B1123" s="138">
        <f>'Expenditures 15-22'!K55</f>
        <v>970858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970858</v>
      </c>
      <c r="C1125" s="2" t="s">
        <v>573</v>
      </c>
      <c r="D1125" s="2" t="str">
        <f t="shared" si="16"/>
        <v>Error?</v>
      </c>
    </row>
    <row r="1126" spans="1:4" x14ac:dyDescent="0.2">
      <c r="A1126" s="5">
        <v>1065</v>
      </c>
      <c r="B1126" s="138">
        <f>'Expenditures 15-22'!K59</f>
        <v>163974</v>
      </c>
      <c r="C1126" s="2" t="s">
        <v>573</v>
      </c>
      <c r="D1126" s="2" t="str">
        <f t="shared" si="16"/>
        <v>Error?</v>
      </c>
    </row>
    <row r="1127" spans="1:4" x14ac:dyDescent="0.2">
      <c r="A1127" s="5">
        <v>1066</v>
      </c>
      <c r="B1127" s="138">
        <f>'Expenditures 15-22'!K60</f>
        <v>258693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570344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993011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982650</v>
      </c>
      <c r="C1139" s="2" t="s">
        <v>573</v>
      </c>
      <c r="D1139" s="2" t="str">
        <f t="shared" si="16"/>
        <v>Error?</v>
      </c>
    </row>
    <row r="1140" spans="1:4" x14ac:dyDescent="0.2">
      <c r="A1140" s="10">
        <v>1079</v>
      </c>
      <c r="D1140" s="2" t="str">
        <f t="shared" si="16"/>
        <v>OK</v>
      </c>
    </row>
    <row r="1141" spans="1:4" x14ac:dyDescent="0.2">
      <c r="A1141" s="5">
        <v>1080</v>
      </c>
      <c r="B1141" s="138">
        <f>'Expenditures 15-22'!K72</f>
        <v>982650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6067302</v>
      </c>
      <c r="C1143" s="2" t="s">
        <v>573</v>
      </c>
      <c r="D1143" s="2" t="str">
        <f t="shared" si="16"/>
        <v>Error?</v>
      </c>
    </row>
    <row r="1144" spans="1:4" x14ac:dyDescent="0.2">
      <c r="A1144" s="5">
        <v>1083</v>
      </c>
      <c r="B1144" s="138">
        <f>'Expenditures 15-22'!K75</f>
        <v>11638</v>
      </c>
      <c r="C1144" s="2" t="s">
        <v>573</v>
      </c>
      <c r="D1144" s="2" t="str">
        <f t="shared" si="16"/>
        <v>Error?</v>
      </c>
    </row>
    <row r="1145" spans="1:4" x14ac:dyDescent="0.2">
      <c r="A1145" s="5">
        <v>1084</v>
      </c>
      <c r="B1145" s="138">
        <f>'Expenditures 15-22'!K102</f>
        <v>3234139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23826366</v>
      </c>
      <c r="C1152" s="2" t="s">
        <v>573</v>
      </c>
      <c r="D1152" s="2" t="str">
        <f t="shared" si="17"/>
        <v>Error?</v>
      </c>
    </row>
    <row r="1153" spans="1:4" x14ac:dyDescent="0.2">
      <c r="A1153" s="5">
        <v>1092</v>
      </c>
      <c r="B1153" s="138">
        <f>'Expenditures 15-22'!K115</f>
        <v>1293587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318004</v>
      </c>
      <c r="D1221" s="2" t="str">
        <f t="shared" si="18"/>
        <v>Error?</v>
      </c>
    </row>
    <row r="1222" spans="1:4" x14ac:dyDescent="0.2">
      <c r="A1222" s="10">
        <v>1161</v>
      </c>
      <c r="D1222" s="2" t="str">
        <f t="shared" si="18"/>
        <v>OK</v>
      </c>
    </row>
    <row r="1223" spans="1:4" x14ac:dyDescent="0.2">
      <c r="A1223" s="5">
        <v>1162</v>
      </c>
      <c r="B1223" s="138">
        <f>'Expenditures 15-22'!C127</f>
        <v>318004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318004</v>
      </c>
      <c r="C1225" s="2" t="s">
        <v>573</v>
      </c>
      <c r="D1225" s="2" t="str">
        <f t="shared" si="18"/>
        <v>Error?</v>
      </c>
    </row>
    <row r="1226" spans="1:4" x14ac:dyDescent="0.2">
      <c r="A1226" s="5">
        <v>1165</v>
      </c>
      <c r="B1226" s="138">
        <f>'Expenditures 15-22'!C151</f>
        <v>318004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55689</v>
      </c>
      <c r="D1229" s="2" t="str">
        <f t="shared" si="18"/>
        <v>Error?</v>
      </c>
    </row>
    <row r="1230" spans="1:4" x14ac:dyDescent="0.2">
      <c r="A1230" s="10">
        <v>1169</v>
      </c>
      <c r="D1230" s="2" t="str">
        <f t="shared" si="18"/>
        <v>OK</v>
      </c>
    </row>
    <row r="1231" spans="1:4" x14ac:dyDescent="0.2">
      <c r="A1231" s="5">
        <v>1170</v>
      </c>
      <c r="B1231" s="138">
        <f>'Expenditures 15-22'!D127</f>
        <v>55689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55689</v>
      </c>
      <c r="C1233" s="2" t="s">
        <v>573</v>
      </c>
      <c r="D1233" s="2" t="str">
        <f t="shared" si="18"/>
        <v>Error?</v>
      </c>
    </row>
    <row r="1234" spans="1:4" x14ac:dyDescent="0.2">
      <c r="A1234" s="5">
        <v>1173</v>
      </c>
      <c r="B1234" s="138">
        <f>'Expenditures 15-22'!D151</f>
        <v>55689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893758</v>
      </c>
      <c r="D1237" s="2" t="str">
        <f t="shared" si="18"/>
        <v>Error?</v>
      </c>
    </row>
    <row r="1238" spans="1:4" x14ac:dyDescent="0.2">
      <c r="A1238" s="10">
        <v>1177</v>
      </c>
      <c r="D1238" s="2" t="str">
        <f t="shared" si="18"/>
        <v>OK</v>
      </c>
    </row>
    <row r="1239" spans="1:4" x14ac:dyDescent="0.2">
      <c r="A1239" s="5">
        <v>1178</v>
      </c>
      <c r="B1239" s="138">
        <f>'Expenditures 15-22'!E127</f>
        <v>893758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893758</v>
      </c>
      <c r="C1241" s="2" t="s">
        <v>573</v>
      </c>
      <c r="D1241" s="2" t="str">
        <f t="shared" si="18"/>
        <v>Error?</v>
      </c>
    </row>
    <row r="1242" spans="1:4" x14ac:dyDescent="0.2">
      <c r="A1242" s="5">
        <v>1181</v>
      </c>
      <c r="B1242" s="138">
        <f>'Expenditures 15-22'!E151</f>
        <v>966206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548035</v>
      </c>
      <c r="D1245" s="2" t="str">
        <f t="shared" si="18"/>
        <v>Error?</v>
      </c>
    </row>
    <row r="1246" spans="1:4" x14ac:dyDescent="0.2">
      <c r="A1246" s="10">
        <v>1185</v>
      </c>
      <c r="D1246" s="2" t="str">
        <f t="shared" si="18"/>
        <v>OK</v>
      </c>
    </row>
    <row r="1247" spans="1:4" x14ac:dyDescent="0.2">
      <c r="A1247" s="5">
        <v>1186</v>
      </c>
      <c r="B1247" s="138">
        <f>'Expenditures 15-22'!F127</f>
        <v>548035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548035</v>
      </c>
      <c r="C1249" s="2" t="s">
        <v>573</v>
      </c>
      <c r="D1249" s="2" t="str">
        <f t="shared" si="18"/>
        <v>Error?</v>
      </c>
    </row>
    <row r="1250" spans="1:4" x14ac:dyDescent="0.2">
      <c r="A1250" s="5">
        <v>1189</v>
      </c>
      <c r="B1250" s="138">
        <f>'Expenditures 15-22'!F151</f>
        <v>548035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251156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251156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251156</v>
      </c>
      <c r="C1258" s="2" t="s">
        <v>573</v>
      </c>
      <c r="D1258" s="2" t="str">
        <f t="shared" si="18"/>
        <v>Error?</v>
      </c>
    </row>
    <row r="1259" spans="1:4" x14ac:dyDescent="0.2">
      <c r="A1259" s="5">
        <v>1198</v>
      </c>
      <c r="B1259" s="138">
        <f>'Expenditures 15-22'!G151</f>
        <v>251156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1351</v>
      </c>
      <c r="D1262" s="2" t="str">
        <f t="shared" si="18"/>
        <v>Error?</v>
      </c>
    </row>
    <row r="1263" spans="1:4" x14ac:dyDescent="0.2">
      <c r="A1263" s="10">
        <v>1202</v>
      </c>
      <c r="D1263" s="2" t="str">
        <f t="shared" si="18"/>
        <v>OK</v>
      </c>
    </row>
    <row r="1264" spans="1:4" x14ac:dyDescent="0.2">
      <c r="A1264" s="5">
        <v>1203</v>
      </c>
      <c r="B1264" s="138">
        <f>'Expenditures 15-22'!H127</f>
        <v>1351</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1351</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1351</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2082561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2082561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2082561</v>
      </c>
      <c r="C1281" s="2" t="s">
        <v>573</v>
      </c>
      <c r="D1281" s="2" t="str">
        <f t="shared" si="19"/>
        <v>Error?</v>
      </c>
    </row>
    <row r="1282" spans="1:4" x14ac:dyDescent="0.2">
      <c r="A1282" s="5">
        <v>1221</v>
      </c>
      <c r="B1282" s="138">
        <f>'Expenditures 15-22'!K139</f>
        <v>72448</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2155009</v>
      </c>
      <c r="C1288" s="2" t="s">
        <v>573</v>
      </c>
      <c r="D1288" s="2" t="str">
        <f t="shared" si="19"/>
        <v>Error?</v>
      </c>
    </row>
    <row r="1289" spans="1:4" x14ac:dyDescent="0.2">
      <c r="A1289" s="5">
        <v>1228</v>
      </c>
      <c r="B1289" s="138">
        <f>'Expenditures 15-22'!K152</f>
        <v>188958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2831459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2305494</v>
      </c>
      <c r="D1315" s="2" t="str">
        <f t="shared" si="19"/>
        <v>Error?</v>
      </c>
    </row>
    <row r="1316" spans="1:4" x14ac:dyDescent="0.2">
      <c r="A1316" s="5">
        <v>1255</v>
      </c>
      <c r="B1316" s="138">
        <f>'Expenditures 15-22'!H171</f>
        <v>975</v>
      </c>
      <c r="D1316" s="2" t="str">
        <f t="shared" si="19"/>
        <v>Error?</v>
      </c>
    </row>
    <row r="1317" spans="1:4" x14ac:dyDescent="0.2">
      <c r="A1317" s="5">
        <v>1256</v>
      </c>
      <c r="B1317" s="138">
        <f>'Expenditures 15-22'!H172</f>
        <v>5137928</v>
      </c>
      <c r="C1317" s="2" t="s">
        <v>573</v>
      </c>
      <c r="D1317" s="2" t="str">
        <f t="shared" si="19"/>
        <v>Error?</v>
      </c>
    </row>
    <row r="1318" spans="1:4" x14ac:dyDescent="0.2">
      <c r="A1318" s="5">
        <v>1257</v>
      </c>
      <c r="B1318" s="138">
        <f>'Expenditures 15-22'!H174</f>
        <v>5137928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2831459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2305494</v>
      </c>
      <c r="C1329" s="2" t="s">
        <v>573</v>
      </c>
      <c r="D1329" s="2" t="str">
        <f t="shared" si="19"/>
        <v>Error?</v>
      </c>
    </row>
    <row r="1330" spans="1:4" x14ac:dyDescent="0.2">
      <c r="A1330" s="5">
        <v>1269</v>
      </c>
      <c r="B1330" s="138">
        <f>'Expenditures 15-22'!K171</f>
        <v>975</v>
      </c>
      <c r="C1330" s="2" t="s">
        <v>573</v>
      </c>
      <c r="D1330" s="2" t="str">
        <f t="shared" si="19"/>
        <v>Error?</v>
      </c>
    </row>
    <row r="1331" spans="1:4" x14ac:dyDescent="0.2">
      <c r="A1331" s="5">
        <v>1270</v>
      </c>
      <c r="B1331" s="138">
        <f>'Expenditures 15-22'!K172</f>
        <v>5137928</v>
      </c>
      <c r="C1331" s="2" t="s">
        <v>573</v>
      </c>
      <c r="D1331" s="2" t="str">
        <f t="shared" si="19"/>
        <v>Error?</v>
      </c>
    </row>
    <row r="1332" spans="1:4" x14ac:dyDescent="0.2">
      <c r="A1332" s="5">
        <v>1271</v>
      </c>
      <c r="B1332" s="138">
        <f>'Expenditures 15-22'!K174</f>
        <v>5137928</v>
      </c>
      <c r="C1332" s="2" t="s">
        <v>573</v>
      </c>
      <c r="D1332" s="2" t="str">
        <f t="shared" si="19"/>
        <v>Error?</v>
      </c>
    </row>
    <row r="1333" spans="1:4" x14ac:dyDescent="0.2">
      <c r="A1333" s="5">
        <v>1272</v>
      </c>
      <c r="B1333" s="138">
        <f>'Expenditures 15-22'!K175</f>
        <v>-65657</v>
      </c>
      <c r="C1333" s="2" t="s">
        <v>573</v>
      </c>
      <c r="D1333" s="2" t="str">
        <f t="shared" si="19"/>
        <v>Error?</v>
      </c>
    </row>
    <row r="1334" spans="1:4" x14ac:dyDescent="0.2">
      <c r="A1334" s="10">
        <v>1273</v>
      </c>
      <c r="D1334" s="2" t="str">
        <f t="shared" si="19"/>
        <v>OK</v>
      </c>
    </row>
    <row r="1335" spans="1:4" x14ac:dyDescent="0.2">
      <c r="A1335" s="5">
        <v>1274</v>
      </c>
      <c r="B1335" s="138">
        <f>'Expenditures 15-22'!C182</f>
        <v>12869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12869</v>
      </c>
      <c r="C1339" s="2" t="s">
        <v>573</v>
      </c>
      <c r="D1339" s="2" t="str">
        <f t="shared" si="19"/>
        <v>Error?</v>
      </c>
    </row>
    <row r="1340" spans="1:4" x14ac:dyDescent="0.2">
      <c r="A1340" s="5">
        <v>1279</v>
      </c>
      <c r="B1340" s="138">
        <f>'Expenditures 15-22'!C210</f>
        <v>12869</v>
      </c>
      <c r="C1340" s="2" t="s">
        <v>573</v>
      </c>
      <c r="D1340" s="2" t="str">
        <f t="shared" si="19"/>
        <v>Error?</v>
      </c>
    </row>
    <row r="1341" spans="1:4" x14ac:dyDescent="0.2">
      <c r="A1341" s="5">
        <v>1280</v>
      </c>
      <c r="B1341" s="138">
        <f>'Expenditures 15-22'!D182</f>
        <v>4431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4431</v>
      </c>
      <c r="C1345" s="2" t="s">
        <v>573</v>
      </c>
      <c r="D1345" s="2" t="str">
        <f t="shared" si="20"/>
        <v>Error?</v>
      </c>
    </row>
    <row r="1346" spans="1:4" x14ac:dyDescent="0.2">
      <c r="A1346" s="5">
        <v>1285</v>
      </c>
      <c r="B1346" s="138">
        <f>'Expenditures 15-22'!D210</f>
        <v>4431</v>
      </c>
      <c r="C1346" s="2" t="s">
        <v>573</v>
      </c>
      <c r="D1346" s="2" t="str">
        <f t="shared" si="20"/>
        <v>Error?</v>
      </c>
    </row>
    <row r="1347" spans="1:4" x14ac:dyDescent="0.2">
      <c r="A1347" s="5">
        <v>1286</v>
      </c>
      <c r="B1347" s="138">
        <f>'Expenditures 15-22'!E182</f>
        <v>2433542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2433542</v>
      </c>
      <c r="C1351" s="2" t="s">
        <v>573</v>
      </c>
      <c r="D1351" s="2" t="str">
        <f t="shared" si="20"/>
        <v>Error?</v>
      </c>
    </row>
    <row r="1352" spans="1:4" x14ac:dyDescent="0.2">
      <c r="A1352" s="5">
        <v>1291</v>
      </c>
      <c r="B1352" s="138">
        <f>'Expenditures 15-22'!E196</f>
        <v>4815</v>
      </c>
      <c r="C1352" s="2" t="s">
        <v>573</v>
      </c>
      <c r="D1352" s="2" t="str">
        <f t="shared" si="20"/>
        <v>Error?</v>
      </c>
    </row>
    <row r="1353" spans="1:4" x14ac:dyDescent="0.2">
      <c r="A1353" s="5">
        <v>1292</v>
      </c>
      <c r="B1353" s="138">
        <f>'Expenditures 15-22'!E210</f>
        <v>2438357</v>
      </c>
      <c r="C1353" s="2" t="s">
        <v>573</v>
      </c>
      <c r="D1353" s="2" t="str">
        <f t="shared" si="20"/>
        <v>Error?</v>
      </c>
    </row>
    <row r="1354" spans="1:4" x14ac:dyDescent="0.2">
      <c r="A1354" s="5">
        <v>1293</v>
      </c>
      <c r="B1354" s="138">
        <f>'Expenditures 15-22'!F182</f>
        <v>1623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1623</v>
      </c>
      <c r="C1358" s="2" t="s">
        <v>573</v>
      </c>
      <c r="D1358" s="2" t="str">
        <f t="shared" si="20"/>
        <v>Error?</v>
      </c>
    </row>
    <row r="1359" spans="1:4" x14ac:dyDescent="0.2">
      <c r="A1359" s="5">
        <v>1298</v>
      </c>
      <c r="B1359" s="138">
        <f>'Expenditures 15-22'!F210</f>
        <v>1623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2452465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2452465</v>
      </c>
      <c r="C1381" s="2" t="s">
        <v>573</v>
      </c>
      <c r="D1381" s="2" t="str">
        <f t="shared" si="20"/>
        <v>Error?</v>
      </c>
    </row>
    <row r="1382" spans="1:4" x14ac:dyDescent="0.2">
      <c r="A1382" s="5">
        <v>1321</v>
      </c>
      <c r="B1382" s="138">
        <f>'Expenditures 15-22'!K196</f>
        <v>4815</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2457280</v>
      </c>
      <c r="C1388" s="2" t="s">
        <v>573</v>
      </c>
      <c r="D1388" s="2" t="str">
        <f t="shared" si="20"/>
        <v>Error?</v>
      </c>
    </row>
    <row r="1389" spans="1:4" x14ac:dyDescent="0.2">
      <c r="A1389" s="5">
        <v>1328</v>
      </c>
      <c r="B1389" s="138">
        <f>'Expenditures 15-22'!K211</f>
        <v>-117482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7034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9378</v>
      </c>
      <c r="D1408" s="2" t="str">
        <f t="shared" si="21"/>
        <v>Error?</v>
      </c>
    </row>
    <row r="1409" spans="1:4" x14ac:dyDescent="0.2">
      <c r="A1409" s="5">
        <v>1348</v>
      </c>
      <c r="B1409" s="138">
        <f>'Expenditures 15-22'!D224</f>
        <v>3839</v>
      </c>
      <c r="D1409" s="2" t="str">
        <f t="shared" si="21"/>
        <v>Error?</v>
      </c>
    </row>
    <row r="1410" spans="1:4" x14ac:dyDescent="0.2">
      <c r="A1410" s="5">
        <v>1349</v>
      </c>
      <c r="B1410" s="138">
        <f>'Expenditures 15-22'!D229</f>
        <v>309446</v>
      </c>
      <c r="C1410" s="2" t="s">
        <v>573</v>
      </c>
      <c r="D1410" s="2" t="str">
        <f t="shared" si="21"/>
        <v>Error?</v>
      </c>
    </row>
    <row r="1411" spans="1:4" x14ac:dyDescent="0.2">
      <c r="A1411" s="5">
        <v>1350</v>
      </c>
      <c r="B1411" s="138">
        <f>'Expenditures 15-22'!D232</f>
        <v>3805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31785</v>
      </c>
      <c r="D1413" s="2" t="str">
        <f t="shared" si="21"/>
        <v>Error?</v>
      </c>
    </row>
    <row r="1414" spans="1:4" x14ac:dyDescent="0.2">
      <c r="A1414" s="5">
        <v>1353</v>
      </c>
      <c r="B1414" s="138">
        <f>'Expenditures 15-22'!D235</f>
        <v>3486</v>
      </c>
      <c r="D1414" s="2" t="str">
        <f t="shared" si="21"/>
        <v>Error?</v>
      </c>
    </row>
    <row r="1415" spans="1:4" x14ac:dyDescent="0.2">
      <c r="A1415" s="5">
        <v>1354</v>
      </c>
      <c r="B1415" s="138">
        <f>'Expenditures 15-22'!D236</f>
        <v>6351</v>
      </c>
      <c r="D1415" s="2" t="str">
        <f t="shared" si="21"/>
        <v>Error?</v>
      </c>
    </row>
    <row r="1416" spans="1:4" x14ac:dyDescent="0.2">
      <c r="A1416" s="5">
        <v>1355</v>
      </c>
      <c r="B1416" s="138">
        <f>'Expenditures 15-22'!D237</f>
        <v>41604</v>
      </c>
      <c r="D1416" s="2" t="str">
        <f t="shared" si="21"/>
        <v>Error?</v>
      </c>
    </row>
    <row r="1417" spans="1:4" x14ac:dyDescent="0.2">
      <c r="A1417" s="5">
        <v>1356</v>
      </c>
      <c r="B1417" s="138">
        <f>'Expenditures 15-22'!D238</f>
        <v>87031</v>
      </c>
      <c r="C1417" s="2" t="s">
        <v>573</v>
      </c>
      <c r="D1417" s="2" t="str">
        <f t="shared" si="21"/>
        <v>Error?</v>
      </c>
    </row>
    <row r="1418" spans="1:4" x14ac:dyDescent="0.2">
      <c r="A1418" s="5">
        <v>1357</v>
      </c>
      <c r="B1418" s="138">
        <f>'Expenditures 15-22'!D240</f>
        <v>3698</v>
      </c>
      <c r="D1418" s="2" t="str">
        <f t="shared" si="21"/>
        <v>Error?</v>
      </c>
    </row>
    <row r="1419" spans="1:4" x14ac:dyDescent="0.2">
      <c r="A1419" s="5">
        <v>1358</v>
      </c>
      <c r="B1419" s="138">
        <f>'Expenditures 15-22'!D241</f>
        <v>16677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20375</v>
      </c>
      <c r="C1421" s="2" t="s">
        <v>573</v>
      </c>
      <c r="D1421" s="2" t="str">
        <f t="shared" si="21"/>
        <v>Error?</v>
      </c>
    </row>
    <row r="1422" spans="1:4" x14ac:dyDescent="0.2">
      <c r="A1422" s="5">
        <v>1361</v>
      </c>
      <c r="B1422" s="138">
        <f>'Expenditures 15-22'!D245</f>
        <v>8506</v>
      </c>
      <c r="D1422" s="2" t="str">
        <f t="shared" si="21"/>
        <v>Error?</v>
      </c>
    </row>
    <row r="1423" spans="1:4" x14ac:dyDescent="0.2">
      <c r="A1423" s="5">
        <v>1362</v>
      </c>
      <c r="B1423" s="138">
        <f>'Expenditures 15-22'!D246</f>
        <v>10757</v>
      </c>
      <c r="D1423" s="2" t="str">
        <f t="shared" si="21"/>
        <v>Error?</v>
      </c>
    </row>
    <row r="1424" spans="1:4" x14ac:dyDescent="0.2">
      <c r="A1424" s="5">
        <v>1363</v>
      </c>
      <c r="B1424" s="138">
        <f>'Expenditures 15-22'!D257</f>
        <v>26564</v>
      </c>
      <c r="C1424" s="2" t="s">
        <v>573</v>
      </c>
      <c r="D1424" s="2" t="str">
        <f t="shared" si="21"/>
        <v>Error?</v>
      </c>
    </row>
    <row r="1425" spans="1:4" x14ac:dyDescent="0.2">
      <c r="A1425" s="5">
        <v>1364</v>
      </c>
      <c r="B1425" s="138">
        <f>'Expenditures 15-22'!D259</f>
        <v>31054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31054</v>
      </c>
      <c r="C1427" s="2" t="s">
        <v>573</v>
      </c>
      <c r="D1427" s="2" t="str">
        <f t="shared" si="21"/>
        <v>Error?</v>
      </c>
    </row>
    <row r="1428" spans="1:4" x14ac:dyDescent="0.2">
      <c r="A1428" s="5">
        <v>1367</v>
      </c>
      <c r="B1428" s="138">
        <f>'Expenditures 15-22'!D263</f>
        <v>1724</v>
      </c>
      <c r="D1428" s="2" t="str">
        <f t="shared" si="21"/>
        <v>Error?</v>
      </c>
    </row>
    <row r="1429" spans="1:4" x14ac:dyDescent="0.2">
      <c r="A1429" s="5">
        <v>1368</v>
      </c>
      <c r="B1429" s="138">
        <f>'Expenditures 15-22'!D264</f>
        <v>37408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62757</v>
      </c>
      <c r="D1431" s="2" t="str">
        <f t="shared" si="21"/>
        <v>Error?</v>
      </c>
    </row>
    <row r="1432" spans="1:4" x14ac:dyDescent="0.2">
      <c r="A1432" s="5">
        <v>1371</v>
      </c>
      <c r="B1432" s="138">
        <f>'Expenditures 15-22'!D267</f>
        <v>184</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102073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54504</v>
      </c>
      <c r="D1442" s="2" t="str">
        <f t="shared" si="21"/>
        <v>Error?</v>
      </c>
    </row>
    <row r="1443" spans="1:4" x14ac:dyDescent="0.2">
      <c r="A1443" s="10">
        <v>1382</v>
      </c>
      <c r="D1443" s="2" t="str">
        <f t="shared" si="21"/>
        <v>OK</v>
      </c>
    </row>
    <row r="1444" spans="1:4" x14ac:dyDescent="0.2">
      <c r="A1444" s="5">
        <v>1383</v>
      </c>
      <c r="B1444" s="138">
        <f>'Expenditures 15-22'!D277</f>
        <v>54504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321601</v>
      </c>
      <c r="C1446" s="2" t="s">
        <v>573</v>
      </c>
      <c r="D1446" s="2" t="str">
        <f t="shared" si="21"/>
        <v>Error?</v>
      </c>
    </row>
    <row r="1447" spans="1:4" x14ac:dyDescent="0.2">
      <c r="A1447" s="5">
        <v>1386</v>
      </c>
      <c r="B1447" s="138">
        <f>'Expenditures 15-22'!D280</f>
        <v>134</v>
      </c>
      <c r="D1447" s="2" t="str">
        <f t="shared" si="21"/>
        <v>Error?</v>
      </c>
    </row>
    <row r="1448" spans="1:4" x14ac:dyDescent="0.2">
      <c r="A1448" s="5">
        <v>1387</v>
      </c>
      <c r="B1448" s="138">
        <f>'Expenditures 15-22'!D295</f>
        <v>668058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7034</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9378</v>
      </c>
      <c r="C1472" s="2" t="s">
        <v>573</v>
      </c>
      <c r="D1472" s="2" t="str">
        <f t="shared" si="22"/>
        <v>Error?</v>
      </c>
    </row>
    <row r="1473" spans="1:4" x14ac:dyDescent="0.2">
      <c r="A1473" s="5">
        <v>1412</v>
      </c>
      <c r="B1473" s="138">
        <f>'Expenditures 15-22'!K224</f>
        <v>3839</v>
      </c>
      <c r="C1473" s="2" t="s">
        <v>573</v>
      </c>
      <c r="D1473" s="2" t="str">
        <f t="shared" si="22"/>
        <v>Error?</v>
      </c>
    </row>
    <row r="1474" spans="1:4" x14ac:dyDescent="0.2">
      <c r="A1474" s="5">
        <v>1413</v>
      </c>
      <c r="B1474" s="138">
        <f>'Expenditures 15-22'!K229</f>
        <v>309446</v>
      </c>
      <c r="C1474" s="2" t="s">
        <v>573</v>
      </c>
      <c r="D1474" s="2" t="str">
        <f t="shared" si="22"/>
        <v>Error?</v>
      </c>
    </row>
    <row r="1475" spans="1:4" x14ac:dyDescent="0.2">
      <c r="A1475" s="5">
        <v>1414</v>
      </c>
      <c r="B1475" s="138">
        <f>'Expenditures 15-22'!K232</f>
        <v>3805</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31785</v>
      </c>
      <c r="C1477" s="2" t="s">
        <v>573</v>
      </c>
      <c r="D1477" s="2" t="str">
        <f t="shared" si="22"/>
        <v>Error?</v>
      </c>
    </row>
    <row r="1478" spans="1:4" x14ac:dyDescent="0.2">
      <c r="A1478" s="5">
        <v>1417</v>
      </c>
      <c r="B1478" s="138">
        <f>'Expenditures 15-22'!K235</f>
        <v>3486</v>
      </c>
      <c r="C1478" s="2" t="s">
        <v>573</v>
      </c>
      <c r="D1478" s="2" t="str">
        <f t="shared" si="22"/>
        <v>Error?</v>
      </c>
    </row>
    <row r="1479" spans="1:4" x14ac:dyDescent="0.2">
      <c r="A1479" s="5">
        <v>1418</v>
      </c>
      <c r="B1479" s="138">
        <f>'Expenditures 15-22'!K236</f>
        <v>6351</v>
      </c>
      <c r="C1479" s="2" t="s">
        <v>573</v>
      </c>
      <c r="D1479" s="2" t="str">
        <f t="shared" si="22"/>
        <v>Error?</v>
      </c>
    </row>
    <row r="1480" spans="1:4" x14ac:dyDescent="0.2">
      <c r="A1480" s="5">
        <v>1419</v>
      </c>
      <c r="B1480" s="138">
        <f>'Expenditures 15-22'!K237</f>
        <v>41604</v>
      </c>
      <c r="C1480" s="2" t="s">
        <v>573</v>
      </c>
      <c r="D1480" s="2" t="str">
        <f t="shared" si="22"/>
        <v>Error?</v>
      </c>
    </row>
    <row r="1481" spans="1:4" x14ac:dyDescent="0.2">
      <c r="A1481" s="5">
        <v>1420</v>
      </c>
      <c r="B1481" s="138">
        <f>'Expenditures 15-22'!K238</f>
        <v>87031</v>
      </c>
      <c r="C1481" s="2" t="s">
        <v>573</v>
      </c>
      <c r="D1481" s="2" t="str">
        <f t="shared" si="22"/>
        <v>Error?</v>
      </c>
    </row>
    <row r="1482" spans="1:4" x14ac:dyDescent="0.2">
      <c r="A1482" s="5">
        <v>1421</v>
      </c>
      <c r="B1482" s="138">
        <f>'Expenditures 15-22'!K240</f>
        <v>3698</v>
      </c>
      <c r="C1482" s="2" t="s">
        <v>573</v>
      </c>
      <c r="D1482" s="2" t="str">
        <f t="shared" si="22"/>
        <v>Error?</v>
      </c>
    </row>
    <row r="1483" spans="1:4" x14ac:dyDescent="0.2">
      <c r="A1483" s="5">
        <v>1422</v>
      </c>
      <c r="B1483" s="138">
        <f>'Expenditures 15-22'!K241</f>
        <v>16677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20375</v>
      </c>
      <c r="C1485" s="2" t="s">
        <v>573</v>
      </c>
      <c r="D1485" s="2" t="str">
        <f t="shared" si="22"/>
        <v>Error?</v>
      </c>
    </row>
    <row r="1486" spans="1:4" x14ac:dyDescent="0.2">
      <c r="A1486" s="5">
        <v>1425</v>
      </c>
      <c r="B1486" s="138">
        <f>'Expenditures 15-22'!K245</f>
        <v>8506</v>
      </c>
      <c r="C1486" s="2" t="s">
        <v>573</v>
      </c>
      <c r="D1486" s="2" t="str">
        <f t="shared" si="22"/>
        <v>Error?</v>
      </c>
    </row>
    <row r="1487" spans="1:4" x14ac:dyDescent="0.2">
      <c r="A1487" s="5">
        <v>1426</v>
      </c>
      <c r="B1487" s="138">
        <f>'Expenditures 15-22'!K246</f>
        <v>10757</v>
      </c>
      <c r="C1487" s="2" t="s">
        <v>573</v>
      </c>
      <c r="D1487" s="2" t="str">
        <f t="shared" si="22"/>
        <v>Error?</v>
      </c>
    </row>
    <row r="1488" spans="1:4" x14ac:dyDescent="0.2">
      <c r="A1488" s="5">
        <v>1427</v>
      </c>
      <c r="B1488" s="138">
        <f>'Expenditures 15-22'!K257</f>
        <v>26564</v>
      </c>
      <c r="C1488" s="2" t="s">
        <v>573</v>
      </c>
      <c r="D1488" s="2" t="str">
        <f t="shared" si="22"/>
        <v>Error?</v>
      </c>
    </row>
    <row r="1489" spans="1:4" x14ac:dyDescent="0.2">
      <c r="A1489" s="5">
        <v>1428</v>
      </c>
      <c r="B1489" s="138">
        <f>'Expenditures 15-22'!K259</f>
        <v>31054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31054</v>
      </c>
      <c r="C1491" s="2" t="s">
        <v>573</v>
      </c>
      <c r="D1491" s="2" t="str">
        <f t="shared" si="22"/>
        <v>Error?</v>
      </c>
    </row>
    <row r="1492" spans="1:4" x14ac:dyDescent="0.2">
      <c r="A1492" s="5">
        <v>1431</v>
      </c>
      <c r="B1492" s="138">
        <f>'Expenditures 15-22'!K263</f>
        <v>1724</v>
      </c>
      <c r="C1492" s="2" t="s">
        <v>573</v>
      </c>
      <c r="D1492" s="2" t="str">
        <f t="shared" si="22"/>
        <v>Error?</v>
      </c>
    </row>
    <row r="1493" spans="1:4" x14ac:dyDescent="0.2">
      <c r="A1493" s="5">
        <v>1432</v>
      </c>
      <c r="B1493" s="138">
        <f>'Expenditures 15-22'!K264</f>
        <v>37408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62757</v>
      </c>
      <c r="C1495" s="2" t="s">
        <v>573</v>
      </c>
      <c r="D1495" s="2" t="str">
        <f t="shared" si="22"/>
        <v>Error?</v>
      </c>
    </row>
    <row r="1496" spans="1:4" x14ac:dyDescent="0.2">
      <c r="A1496" s="5">
        <v>1435</v>
      </c>
      <c r="B1496" s="138">
        <f>'Expenditures 15-22'!K267</f>
        <v>184</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102073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54504</v>
      </c>
      <c r="C1506" s="2" t="s">
        <v>573</v>
      </c>
      <c r="D1506" s="2" t="str">
        <f t="shared" si="22"/>
        <v>Error?</v>
      </c>
    </row>
    <row r="1507" spans="1:4" x14ac:dyDescent="0.2">
      <c r="A1507" s="10">
        <v>1446</v>
      </c>
      <c r="D1507" s="2" t="str">
        <f t="shared" si="22"/>
        <v>OK</v>
      </c>
    </row>
    <row r="1508" spans="1:4" x14ac:dyDescent="0.2">
      <c r="A1508" s="5">
        <v>1447</v>
      </c>
      <c r="B1508" s="138">
        <f>'Expenditures 15-22'!K277</f>
        <v>54504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321601</v>
      </c>
      <c r="C1510" s="2" t="s">
        <v>573</v>
      </c>
      <c r="D1510" s="2" t="str">
        <f t="shared" si="22"/>
        <v>Error?</v>
      </c>
    </row>
    <row r="1511" spans="1:4" x14ac:dyDescent="0.2">
      <c r="A1511" s="5">
        <v>1450</v>
      </c>
      <c r="B1511" s="138">
        <f>'Expenditures 15-22'!K280</f>
        <v>134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668058</v>
      </c>
      <c r="C1517" s="2" t="s">
        <v>573</v>
      </c>
      <c r="D1517" s="2" t="str">
        <f t="shared" si="22"/>
        <v>Error?</v>
      </c>
    </row>
    <row r="1518" spans="1:4" x14ac:dyDescent="0.2">
      <c r="A1518" s="5">
        <v>1457</v>
      </c>
      <c r="B1518" s="138">
        <f>'Expenditures 15-22'!K296</f>
        <v>75128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1113233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1113233</v>
      </c>
      <c r="C1547" s="2" t="s">
        <v>573</v>
      </c>
      <c r="D1547" s="2" t="str">
        <f t="shared" si="23"/>
        <v>Error?</v>
      </c>
    </row>
    <row r="1548" spans="1:4" x14ac:dyDescent="0.2">
      <c r="A1548" s="5">
        <v>1487</v>
      </c>
      <c r="B1548" s="138">
        <f>'Expenditures 15-22'!G312</f>
        <v>1113233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1113233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1113233</v>
      </c>
      <c r="C1559" s="2" t="s">
        <v>573</v>
      </c>
      <c r="D1559" s="2" t="str">
        <f t="shared" si="23"/>
        <v>Error?</v>
      </c>
    </row>
    <row r="1560" spans="1:4" x14ac:dyDescent="0.2">
      <c r="A1560" s="5">
        <v>1499</v>
      </c>
      <c r="B1560" s="138">
        <f>'Expenditures 15-22'!K312</f>
        <v>1113233</v>
      </c>
      <c r="C1560" s="2" t="s">
        <v>573</v>
      </c>
      <c r="D1560" s="2" t="str">
        <f t="shared" si="23"/>
        <v>Error?</v>
      </c>
    </row>
    <row r="1561" spans="1:4" x14ac:dyDescent="0.2">
      <c r="A1561" s="5">
        <v>1500</v>
      </c>
      <c r="B1561" s="138">
        <f>'Expenditures 15-22'!K313</f>
        <v>-1111921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15935905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16992058</v>
      </c>
      <c r="C1630" s="2" t="s">
        <v>573</v>
      </c>
      <c r="D1630" s="2" t="str">
        <f t="shared" si="24"/>
        <v>Error?</v>
      </c>
    </row>
    <row r="1631" spans="1:4" x14ac:dyDescent="0.2">
      <c r="A1631" s="5">
        <v>1570</v>
      </c>
      <c r="B1631" s="138">
        <f>'Acct Summary 7-8'!D79</f>
        <v>2981424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2776382</v>
      </c>
      <c r="C1644" s="2" t="s">
        <v>573</v>
      </c>
      <c r="D1644" s="2" t="str">
        <f t="shared" si="24"/>
        <v>Error?</v>
      </c>
    </row>
    <row r="1645" spans="1:4" x14ac:dyDescent="0.2">
      <c r="A1645" s="5">
        <v>1584</v>
      </c>
      <c r="B1645" s="138">
        <f>'Acct Summary 7-8'!E79</f>
        <v>3019801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3033578</v>
      </c>
      <c r="C1658" s="2" t="s">
        <v>573</v>
      </c>
      <c r="D1658" s="2" t="str">
        <f t="shared" si="24"/>
        <v>Error?</v>
      </c>
    </row>
    <row r="1659" spans="1:4" x14ac:dyDescent="0.2">
      <c r="A1659" s="5">
        <v>1598</v>
      </c>
      <c r="B1659" s="138">
        <f>'Acct Summary 7-8'!F79</f>
        <v>652523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535041</v>
      </c>
      <c r="C1672" s="2" t="s">
        <v>573</v>
      </c>
      <c r="D1672" s="2" t="str">
        <f t="shared" si="25"/>
        <v>Error?</v>
      </c>
    </row>
    <row r="1673" spans="1:4" x14ac:dyDescent="0.2">
      <c r="A1673" s="5">
        <v>1612</v>
      </c>
      <c r="B1673" s="138">
        <f>'Acct Summary 7-8'!G79</f>
        <v>463509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538637</v>
      </c>
      <c r="C1686" s="2" t="s">
        <v>573</v>
      </c>
      <c r="D1686" s="2" t="str">
        <f t="shared" si="25"/>
        <v>Error?</v>
      </c>
    </row>
    <row r="1687" spans="1:4" x14ac:dyDescent="0.2">
      <c r="A1687" s="5">
        <v>1626</v>
      </c>
      <c r="B1687" s="138">
        <f>'Acct Summary 7-8'!H79</f>
        <v>35483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17562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13918317</v>
      </c>
      <c r="C1744" s="2" t="s">
        <v>573</v>
      </c>
      <c r="D1744" s="2" t="str">
        <f t="shared" si="26"/>
        <v>Error?</v>
      </c>
    </row>
    <row r="1745" spans="1:5" x14ac:dyDescent="0.2">
      <c r="A1745" s="5">
        <v>1684</v>
      </c>
      <c r="B1745" s="138">
        <f>'Tax Sched 23'!B5</f>
        <v>1984451</v>
      </c>
      <c r="C1745" s="2" t="s">
        <v>573</v>
      </c>
      <c r="D1745" s="2" t="str">
        <f t="shared" si="26"/>
        <v>Error?</v>
      </c>
    </row>
    <row r="1746" spans="1:5" x14ac:dyDescent="0.2">
      <c r="A1746" s="5">
        <v>1685</v>
      </c>
      <c r="B1746" s="138">
        <f>'Tax Sched 23'!B6</f>
        <v>5055250</v>
      </c>
      <c r="C1746" s="2" t="s">
        <v>573</v>
      </c>
      <c r="D1746" s="2" t="str">
        <f t="shared" si="26"/>
        <v>Error?</v>
      </c>
    </row>
    <row r="1747" spans="1:5" x14ac:dyDescent="0.2">
      <c r="A1747" s="5">
        <v>1686</v>
      </c>
      <c r="B1747" s="138">
        <f>'Tax Sched 23'!B7</f>
        <v>895344</v>
      </c>
      <c r="C1747" s="2" t="s">
        <v>573</v>
      </c>
      <c r="D1747" s="2" t="str">
        <f t="shared" si="26"/>
        <v>Error?</v>
      </c>
    </row>
    <row r="1748" spans="1:5" x14ac:dyDescent="0.2">
      <c r="A1748" s="5">
        <v>1687</v>
      </c>
      <c r="B1748" s="138">
        <f>'Tax Sched 23'!B8</f>
        <v>343414</v>
      </c>
      <c r="C1748" s="2" t="s">
        <v>573</v>
      </c>
      <c r="D1748" s="2" t="str">
        <f t="shared" si="26"/>
        <v>Error?</v>
      </c>
    </row>
    <row r="1749" spans="1:5" x14ac:dyDescent="0.2">
      <c r="A1749" s="5">
        <v>1688</v>
      </c>
      <c r="B1749" s="138">
        <f>'Tax Sched 23'!B10</f>
        <v>5052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191964</v>
      </c>
      <c r="C1752" s="2" t="s">
        <v>573</v>
      </c>
      <c r="D1752" s="2" t="str">
        <f t="shared" si="26"/>
        <v>Error?</v>
      </c>
    </row>
    <row r="1753" spans="1:5" x14ac:dyDescent="0.2">
      <c r="A1753" s="5">
        <v>1692</v>
      </c>
      <c r="B1753" s="138">
        <f>'Tax Sched 23'!B12</f>
        <v>76</v>
      </c>
      <c r="C1753" s="2" t="s">
        <v>573</v>
      </c>
      <c r="D1753" s="2" t="str">
        <f t="shared" si="26"/>
        <v>Error?</v>
      </c>
    </row>
    <row r="1754" spans="1:5" x14ac:dyDescent="0.2">
      <c r="A1754" s="5">
        <v>1693</v>
      </c>
      <c r="B1754" s="138">
        <f>'Tax Sched 23'!B14</f>
        <v>76190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22846382</v>
      </c>
      <c r="C1759" s="2" t="s">
        <v>573</v>
      </c>
      <c r="D1759" s="2" t="str">
        <f t="shared" si="26"/>
        <v>Error?</v>
      </c>
    </row>
    <row r="1760" spans="1:5" x14ac:dyDescent="0.2">
      <c r="A1760" s="5">
        <v>1699</v>
      </c>
      <c r="B1760" s="138">
        <f>'Tax Sched 23'!D4</f>
        <v>6770779</v>
      </c>
      <c r="C1760" s="2" t="s">
        <v>573</v>
      </c>
      <c r="D1760" s="2" t="str">
        <f t="shared" si="26"/>
        <v>Error?</v>
      </c>
    </row>
    <row r="1761" spans="1:5" x14ac:dyDescent="0.2">
      <c r="A1761" s="5">
        <v>1700</v>
      </c>
      <c r="B1761" s="138">
        <f>'Tax Sched 23'!D5</f>
        <v>970093</v>
      </c>
      <c r="C1761" s="2" t="s">
        <v>573</v>
      </c>
      <c r="D1761" s="2" t="str">
        <f t="shared" si="26"/>
        <v>Error?</v>
      </c>
    </row>
    <row r="1762" spans="1:5" s="8" customFormat="1" x14ac:dyDescent="0.2">
      <c r="A1762" s="5">
        <v>1701</v>
      </c>
      <c r="B1762" s="138">
        <f>'Tax Sched 23'!D6</f>
        <v>2397555</v>
      </c>
      <c r="C1762" s="2" t="s">
        <v>573</v>
      </c>
      <c r="D1762" s="2" t="str">
        <f t="shared" si="26"/>
        <v>Error?</v>
      </c>
      <c r="E1762" s="9"/>
    </row>
    <row r="1763" spans="1:5" x14ac:dyDescent="0.2">
      <c r="A1763" s="5">
        <v>1702</v>
      </c>
      <c r="B1763" s="138">
        <f>'Tax Sched 23'!D7</f>
        <v>336226</v>
      </c>
      <c r="C1763" s="2" t="s">
        <v>573</v>
      </c>
      <c r="D1763" s="2" t="str">
        <f t="shared" si="26"/>
        <v>Error?</v>
      </c>
    </row>
    <row r="1764" spans="1:5" x14ac:dyDescent="0.2">
      <c r="A1764" s="5">
        <v>1703</v>
      </c>
      <c r="B1764" s="138">
        <f>'Tax Sched 23'!D8</f>
        <v>164694</v>
      </c>
      <c r="C1764" s="2" t="s">
        <v>573</v>
      </c>
      <c r="D1764" s="2" t="str">
        <f t="shared" si="26"/>
        <v>Error?</v>
      </c>
    </row>
    <row r="1765" spans="1:5" x14ac:dyDescent="0.2">
      <c r="A1765" s="5">
        <v>1704</v>
      </c>
      <c r="B1765" s="138">
        <f>'Tax Sched 23'!D10</f>
        <v>2395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112219</v>
      </c>
      <c r="C1768" s="2" t="s">
        <v>573</v>
      </c>
      <c r="D1768" s="2" t="str">
        <f t="shared" si="26"/>
        <v>Error?</v>
      </c>
    </row>
    <row r="1769" spans="1:5" x14ac:dyDescent="0.2">
      <c r="A1769" s="5">
        <v>1708</v>
      </c>
      <c r="B1769" s="138">
        <f>'Tax Sched 23'!D12</f>
        <v>76</v>
      </c>
      <c r="C1769" s="2" t="s">
        <v>573</v>
      </c>
      <c r="D1769" s="2" t="str">
        <f t="shared" si="26"/>
        <v>Error?</v>
      </c>
    </row>
    <row r="1770" spans="1:5" x14ac:dyDescent="0.2">
      <c r="A1770" s="5">
        <v>1709</v>
      </c>
      <c r="B1770" s="138">
        <f>'Tax Sched 23'!D14</f>
        <v>36579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10972492</v>
      </c>
      <c r="C1775" s="2" t="s">
        <v>573</v>
      </c>
      <c r="D1775" s="2" t="str">
        <f t="shared" si="26"/>
        <v>Error?</v>
      </c>
    </row>
    <row r="1776" spans="1:5" x14ac:dyDescent="0.2">
      <c r="A1776" s="5">
        <v>1715</v>
      </c>
      <c r="B1776" s="138">
        <f>'Tax Sched 23'!C4</f>
        <v>7147538</v>
      </c>
      <c r="D1776" s="2" t="str">
        <f t="shared" si="26"/>
        <v>Error?</v>
      </c>
    </row>
    <row r="1777" spans="1:4" x14ac:dyDescent="0.2">
      <c r="A1777" s="5">
        <v>1716</v>
      </c>
      <c r="B1777" s="138">
        <f>'Tax Sched 23'!C5</f>
        <v>1014358</v>
      </c>
      <c r="D1777" s="2" t="str">
        <f t="shared" si="26"/>
        <v>Error?</v>
      </c>
    </row>
    <row r="1778" spans="1:4" x14ac:dyDescent="0.2">
      <c r="A1778" s="5">
        <v>1717</v>
      </c>
      <c r="B1778" s="138">
        <f>'Tax Sched 23'!C6</f>
        <v>2657695</v>
      </c>
      <c r="D1778" s="2" t="str">
        <f t="shared" si="26"/>
        <v>Error?</v>
      </c>
    </row>
    <row r="1779" spans="1:4" x14ac:dyDescent="0.2">
      <c r="A1779" s="5">
        <v>1718</v>
      </c>
      <c r="B1779" s="138">
        <f>'Tax Sched 23'!C7</f>
        <v>559118</v>
      </c>
      <c r="D1779" s="2" t="str">
        <f t="shared" si="26"/>
        <v>Error?</v>
      </c>
    </row>
    <row r="1780" spans="1:4" x14ac:dyDescent="0.2">
      <c r="A1780" s="5">
        <v>1719</v>
      </c>
      <c r="B1780" s="138">
        <f>'Tax Sched 23'!C8</f>
        <v>178720</v>
      </c>
      <c r="D1780" s="2" t="str">
        <f t="shared" si="26"/>
        <v>Error?</v>
      </c>
    </row>
    <row r="1781" spans="1:4" x14ac:dyDescent="0.2">
      <c r="A1781" s="5">
        <v>1720</v>
      </c>
      <c r="B1781" s="138">
        <f>'Tax Sched 23'!C10</f>
        <v>2657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79745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39611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11873890</v>
      </c>
      <c r="C1791" s="2" t="s">
        <v>573</v>
      </c>
      <c r="D1791" s="2" t="str">
        <f t="shared" ref="D1791:D1854" si="27">IF(ISBLANK(B1791),"OK",IF(A1791-B1791=0,"OK","Error?"))</f>
        <v>Error?</v>
      </c>
    </row>
    <row r="1792" spans="1:4" x14ac:dyDescent="0.2">
      <c r="A1792" s="5">
        <v>1731</v>
      </c>
      <c r="B1792" s="138">
        <f>'Tax Sched 23'!F4</f>
        <v>7359567</v>
      </c>
      <c r="C1792" s="2" t="s">
        <v>573</v>
      </c>
      <c r="D1792" s="2" t="str">
        <f t="shared" si="27"/>
        <v>Error?</v>
      </c>
    </row>
    <row r="1793" spans="1:4" x14ac:dyDescent="0.2">
      <c r="A1793" s="5">
        <v>1732</v>
      </c>
      <c r="B1793" s="138">
        <f>'Tax Sched 23'!F5</f>
        <v>1044448</v>
      </c>
      <c r="C1793" s="2" t="s">
        <v>573</v>
      </c>
      <c r="D1793" s="2" t="str">
        <f t="shared" si="27"/>
        <v>Error?</v>
      </c>
    </row>
    <row r="1794" spans="1:4" x14ac:dyDescent="0.2">
      <c r="A1794" s="5">
        <v>1733</v>
      </c>
      <c r="B1794" s="138">
        <f>'Tax Sched 23'!F6</f>
        <v>2736534</v>
      </c>
      <c r="C1794" s="2" t="s">
        <v>573</v>
      </c>
      <c r="D1794" s="2" t="str">
        <f t="shared" si="27"/>
        <v>Error?</v>
      </c>
    </row>
    <row r="1795" spans="1:4" x14ac:dyDescent="0.2">
      <c r="A1795" s="5">
        <v>1734</v>
      </c>
      <c r="B1795" s="138">
        <f>'Tax Sched 23'!F7</f>
        <v>575705</v>
      </c>
      <c r="C1795" s="2" t="s">
        <v>573</v>
      </c>
      <c r="D1795" s="2" t="str">
        <f t="shared" si="27"/>
        <v>Error?</v>
      </c>
    </row>
    <row r="1796" spans="1:4" x14ac:dyDescent="0.2">
      <c r="A1796" s="5">
        <v>1735</v>
      </c>
      <c r="B1796" s="138">
        <f>'Tax Sched 23'!F8</f>
        <v>184022</v>
      </c>
      <c r="C1796" s="2" t="s">
        <v>573</v>
      </c>
      <c r="D1796" s="2" t="str">
        <f t="shared" si="27"/>
        <v>Error?</v>
      </c>
    </row>
    <row r="1797" spans="1:4" x14ac:dyDescent="0.2">
      <c r="A1797" s="5">
        <v>1736</v>
      </c>
      <c r="B1797" s="138">
        <f>'Tax Sched 23'!F10</f>
        <v>2735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82110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40786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12226123</v>
      </c>
      <c r="C1807" s="2" t="s">
        <v>573</v>
      </c>
      <c r="D1807" s="2" t="str">
        <f t="shared" si="27"/>
        <v>Error?</v>
      </c>
    </row>
    <row r="1808" spans="1:4" x14ac:dyDescent="0.2">
      <c r="A1808" s="5">
        <v>1747</v>
      </c>
      <c r="B1808" s="138">
        <f>'Tax Sched 23'!E4</f>
        <v>14507105</v>
      </c>
      <c r="D1808" s="2" t="str">
        <f t="shared" si="27"/>
        <v>Error?</v>
      </c>
    </row>
    <row r="1809" spans="1:4" x14ac:dyDescent="0.2">
      <c r="A1809" s="5">
        <v>1748</v>
      </c>
      <c r="B1809" s="138">
        <f>'Tax Sched 23'!E5</f>
        <v>2058806</v>
      </c>
      <c r="D1809" s="2" t="str">
        <f t="shared" si="27"/>
        <v>Error?</v>
      </c>
    </row>
    <row r="1810" spans="1:4" x14ac:dyDescent="0.2">
      <c r="A1810" s="5">
        <v>1749</v>
      </c>
      <c r="B1810" s="138">
        <f>'Tax Sched 23'!E6</f>
        <v>5394229</v>
      </c>
      <c r="D1810" s="2" t="str">
        <f t="shared" si="27"/>
        <v>Error?</v>
      </c>
    </row>
    <row r="1811" spans="1:4" x14ac:dyDescent="0.2">
      <c r="A1811" s="5">
        <v>1750</v>
      </c>
      <c r="B1811" s="138">
        <f>'Tax Sched 23'!E7</f>
        <v>1134823</v>
      </c>
      <c r="D1811" s="2" t="str">
        <f t="shared" si="27"/>
        <v>Error?</v>
      </c>
    </row>
    <row r="1812" spans="1:4" x14ac:dyDescent="0.2">
      <c r="A1812" s="5">
        <v>1751</v>
      </c>
      <c r="B1812" s="138">
        <f>'Tax Sched 23'!E8</f>
        <v>362742</v>
      </c>
      <c r="D1812" s="2" t="str">
        <f t="shared" si="27"/>
        <v>Error?</v>
      </c>
    </row>
    <row r="1813" spans="1:4" x14ac:dyDescent="0.2">
      <c r="A1813" s="5">
        <v>1752</v>
      </c>
      <c r="B1813" s="138">
        <f>'Tax Sched 23'!E10</f>
        <v>5392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161855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80397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24100013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7370221</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76190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76190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76190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6064657</v>
      </c>
      <c r="D2008" s="2" t="str">
        <f t="shared" si="30"/>
        <v>Error?</v>
      </c>
    </row>
    <row r="2009" spans="1:4" x14ac:dyDescent="0.2">
      <c r="A2009" s="5">
        <v>1948</v>
      </c>
      <c r="B2009" s="138">
        <f>'Cap Outlay Deprec 26'!C8</f>
        <v>42509646</v>
      </c>
      <c r="D2009" s="2" t="str">
        <f t="shared" si="30"/>
        <v>Error?</v>
      </c>
    </row>
    <row r="2010" spans="1:4" x14ac:dyDescent="0.2">
      <c r="A2010" s="5">
        <v>1949</v>
      </c>
      <c r="B2010" s="138">
        <f>'Cap Outlay Deprec 26'!C10</f>
        <v>2199485</v>
      </c>
      <c r="D2010" s="2" t="str">
        <f t="shared" si="30"/>
        <v>Error?</v>
      </c>
    </row>
    <row r="2011" spans="1:4" x14ac:dyDescent="0.2">
      <c r="A2011" s="5">
        <v>1950</v>
      </c>
      <c r="B2011" s="138">
        <f>'Cap Outlay Deprec 26'!C12</f>
        <v>9564172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61475990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1996202</v>
      </c>
      <c r="D2015" s="2" t="str">
        <f t="shared" si="30"/>
        <v>Error?</v>
      </c>
    </row>
    <row r="2016" spans="1:4" x14ac:dyDescent="0.2">
      <c r="A2016" s="5">
        <v>1955</v>
      </c>
      <c r="B2016" s="138">
        <f>'Cap Outlay Deprec 26'!D10</f>
        <v>104534</v>
      </c>
      <c r="D2016" s="2" t="str">
        <f t="shared" si="30"/>
        <v>Error?</v>
      </c>
    </row>
    <row r="2017" spans="1:4" x14ac:dyDescent="0.2">
      <c r="A2017" s="5">
        <v>1956</v>
      </c>
      <c r="B2017" s="138">
        <f>'Cap Outlay Deprec 26'!D12</f>
        <v>35637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3293295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1138030</v>
      </c>
      <c r="C2025" s="2" t="s">
        <v>573</v>
      </c>
      <c r="D2025" s="2" t="str">
        <f t="shared" si="30"/>
        <v>Error?</v>
      </c>
    </row>
    <row r="2026" spans="1:4" x14ac:dyDescent="0.2">
      <c r="A2026" s="5">
        <v>1965</v>
      </c>
      <c r="B2026" s="138">
        <f>'Cap Outlay Deprec 26'!F5</f>
        <v>6064657</v>
      </c>
      <c r="C2026" s="2" t="s">
        <v>573</v>
      </c>
      <c r="D2026" s="2" t="str">
        <f t="shared" si="30"/>
        <v>Error?</v>
      </c>
    </row>
    <row r="2027" spans="1:4" x14ac:dyDescent="0.2">
      <c r="A2027" s="5">
        <v>1966</v>
      </c>
      <c r="B2027" s="138">
        <f>'Cap Outlay Deprec 26'!F8</f>
        <v>44505848</v>
      </c>
      <c r="C2027" s="2" t="s">
        <v>573</v>
      </c>
      <c r="D2027" s="2" t="str">
        <f t="shared" si="30"/>
        <v>Error?</v>
      </c>
    </row>
    <row r="2028" spans="1:4" x14ac:dyDescent="0.2">
      <c r="A2028" s="5">
        <v>1967</v>
      </c>
      <c r="B2028" s="138">
        <f>'Cap Outlay Deprec 26'!F10</f>
        <v>2304019</v>
      </c>
      <c r="C2028" s="2" t="s">
        <v>573</v>
      </c>
      <c r="D2028" s="2" t="str">
        <f t="shared" si="30"/>
        <v>Error?</v>
      </c>
    </row>
    <row r="2029" spans="1:4" x14ac:dyDescent="0.2">
      <c r="A2029" s="5">
        <v>1968</v>
      </c>
      <c r="B2029" s="138">
        <f>'Cap Outlay Deprec 26'!F12</f>
        <v>9599809</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63631255</v>
      </c>
      <c r="C2031" s="2" t="s">
        <v>573</v>
      </c>
      <c r="D2031" s="2" t="str">
        <f t="shared" si="30"/>
        <v>Error?</v>
      </c>
    </row>
    <row r="2032" spans="1:4" x14ac:dyDescent="0.2">
      <c r="A2032" s="10">
        <v>1971</v>
      </c>
      <c r="D2032" s="2" t="str">
        <f t="shared" si="30"/>
        <v>OK</v>
      </c>
    </row>
    <row r="2033" spans="1:4" x14ac:dyDescent="0.2">
      <c r="A2033" s="5">
        <v>1972</v>
      </c>
      <c r="B2033" s="138">
        <f>'Cap Outlay Deprec 26'!H8</f>
        <v>16796005</v>
      </c>
      <c r="D2033" s="2" t="str">
        <f t="shared" si="30"/>
        <v>Error?</v>
      </c>
    </row>
    <row r="2034" spans="1:4" x14ac:dyDescent="0.2">
      <c r="A2034" s="5">
        <v>1973</v>
      </c>
      <c r="B2034" s="138">
        <f>'Cap Outlay Deprec 26'!H10</f>
        <v>1625451</v>
      </c>
      <c r="D2034" s="2" t="str">
        <f t="shared" si="30"/>
        <v>Error?</v>
      </c>
    </row>
    <row r="2035" spans="1:4" x14ac:dyDescent="0.2">
      <c r="A2035" s="5">
        <v>1974</v>
      </c>
      <c r="B2035" s="138">
        <f>'Cap Outlay Deprec 26'!H12</f>
        <v>8952140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27373596</v>
      </c>
      <c r="C2037" s="2" t="s">
        <v>573</v>
      </c>
      <c r="D2037" s="2" t="str">
        <f t="shared" si="30"/>
        <v>Error?</v>
      </c>
    </row>
    <row r="2038" spans="1:4" x14ac:dyDescent="0.2">
      <c r="A2038" s="10">
        <v>1977</v>
      </c>
      <c r="D2038" s="2" t="str">
        <f t="shared" si="30"/>
        <v>OK</v>
      </c>
    </row>
    <row r="2039" spans="1:4" x14ac:dyDescent="0.2">
      <c r="A2039" s="5">
        <v>1978</v>
      </c>
      <c r="B2039" s="138">
        <f>'Cap Outlay Deprec 26'!I8</f>
        <v>870155</v>
      </c>
      <c r="D2039" s="2" t="str">
        <f t="shared" si="30"/>
        <v>Error?</v>
      </c>
    </row>
    <row r="2040" spans="1:4" x14ac:dyDescent="0.2">
      <c r="A2040" s="5">
        <v>1979</v>
      </c>
      <c r="B2040" s="138">
        <f>'Cap Outlay Deprec 26'!I10</f>
        <v>69896</v>
      </c>
      <c r="D2040" s="2" t="str">
        <f t="shared" si="30"/>
        <v>Error?</v>
      </c>
    </row>
    <row r="2041" spans="1:4" x14ac:dyDescent="0.2">
      <c r="A2041" s="5">
        <v>1980</v>
      </c>
      <c r="B2041" s="138">
        <f>'Cap Outlay Deprec 26'!I12</f>
        <v>186122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1126173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17666160</v>
      </c>
      <c r="C2051" s="2" t="s">
        <v>573</v>
      </c>
      <c r="D2051" s="2" t="str">
        <f t="shared" si="31"/>
        <v>Error?</v>
      </c>
    </row>
    <row r="2052" spans="1:4" x14ac:dyDescent="0.2">
      <c r="A2052" s="5">
        <v>1991</v>
      </c>
      <c r="B2052" s="138">
        <f>'Cap Outlay Deprec 26'!K10</f>
        <v>1695347</v>
      </c>
      <c r="C2052" s="2" t="s">
        <v>573</v>
      </c>
      <c r="D2052" s="2" t="str">
        <f t="shared" si="31"/>
        <v>Error?</v>
      </c>
    </row>
    <row r="2053" spans="1:4" x14ac:dyDescent="0.2">
      <c r="A2053" s="5">
        <v>1992</v>
      </c>
      <c r="B2053" s="138">
        <f>'Cap Outlay Deprec 26'!K12</f>
        <v>9138262</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28499769</v>
      </c>
      <c r="C2055" s="2" t="s">
        <v>573</v>
      </c>
      <c r="D2055" s="2" t="str">
        <f t="shared" si="31"/>
        <v>Error?</v>
      </c>
    </row>
    <row r="2056" spans="1:4" x14ac:dyDescent="0.2">
      <c r="A2056" s="5">
        <v>1995</v>
      </c>
      <c r="B2056" s="138">
        <f>'Cap Outlay Deprec 26'!L5</f>
        <v>6064657</v>
      </c>
      <c r="C2056" s="2" t="s">
        <v>573</v>
      </c>
      <c r="D2056" s="2" t="str">
        <f t="shared" si="31"/>
        <v>Error?</v>
      </c>
    </row>
    <row r="2057" spans="1:4" x14ac:dyDescent="0.2">
      <c r="A2057" s="5">
        <v>1996</v>
      </c>
      <c r="B2057" s="138">
        <f>'Cap Outlay Deprec 26'!L8</f>
        <v>26839688</v>
      </c>
      <c r="C2057" s="2" t="s">
        <v>573</v>
      </c>
      <c r="D2057" s="2" t="str">
        <f t="shared" si="31"/>
        <v>Error?</v>
      </c>
    </row>
    <row r="2058" spans="1:4" x14ac:dyDescent="0.2">
      <c r="A2058" s="5">
        <v>1997</v>
      </c>
      <c r="B2058" s="138">
        <f>'Cap Outlay Deprec 26'!L10</f>
        <v>608672</v>
      </c>
      <c r="C2058" s="2" t="s">
        <v>573</v>
      </c>
      <c r="D2058" s="2" t="str">
        <f t="shared" si="31"/>
        <v>Error?</v>
      </c>
    </row>
    <row r="2059" spans="1:4" x14ac:dyDescent="0.2">
      <c r="A2059" s="5">
        <v>1998</v>
      </c>
      <c r="B2059" s="138">
        <f>'Cap Outlay Deprec 26'!L12</f>
        <v>461547</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35131486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165580</v>
      </c>
      <c r="C2088" s="2" t="s">
        <v>573</v>
      </c>
      <c r="D2088" s="2" t="str">
        <f t="shared" si="31"/>
        <v>Error?</v>
      </c>
    </row>
    <row r="2089" spans="1:4" x14ac:dyDescent="0.2">
      <c r="A2089" s="5">
        <v>2028</v>
      </c>
      <c r="B2089" s="138">
        <f>'Expenditures 15-22'!K92</f>
        <v>3068559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72448</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500000</v>
      </c>
      <c r="C2105" s="2" t="s">
        <v>573</v>
      </c>
      <c r="D2105" s="2" t="str">
        <f t="shared" si="31"/>
        <v>Error?</v>
      </c>
    </row>
    <row r="2106" spans="1:4" x14ac:dyDescent="0.2">
      <c r="A2106" s="5">
        <v>2045</v>
      </c>
      <c r="B2106" s="138">
        <f>'Acct Summary 7-8'!I48</f>
        <v>42000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1978845</v>
      </c>
      <c r="D2435" s="2" t="str">
        <f t="shared" si="37"/>
        <v>Error?</v>
      </c>
    </row>
    <row r="2436" spans="1:4" x14ac:dyDescent="0.2">
      <c r="A2436" s="10">
        <v>2375</v>
      </c>
      <c r="D2436" s="2" t="str">
        <f t="shared" si="37"/>
        <v>OK</v>
      </c>
    </row>
    <row r="2437" spans="1:4" x14ac:dyDescent="0.2">
      <c r="A2437" s="5">
        <v>2376</v>
      </c>
      <c r="B2437" s="138">
        <f>'Assets-Liab 5-6'!D38</f>
        <v>57423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189570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15453487</v>
      </c>
      <c r="C2551" s="2" t="s">
        <v>573</v>
      </c>
      <c r="D2551" s="2" t="str">
        <f t="shared" si="38"/>
        <v>Error?</v>
      </c>
    </row>
    <row r="2552" spans="1:4" x14ac:dyDescent="0.2">
      <c r="A2552" s="10">
        <v>2491</v>
      </c>
      <c r="D2552" s="2" t="str">
        <f t="shared" si="38"/>
        <v>OK</v>
      </c>
    </row>
    <row r="2553" spans="1:4" x14ac:dyDescent="0.2">
      <c r="A2553" s="5">
        <v>2492</v>
      </c>
      <c r="B2553" s="138">
        <f>'Acct Summary 7-8'!C6</f>
        <v>7593256</v>
      </c>
      <c r="C2553" s="2" t="s">
        <v>573</v>
      </c>
      <c r="D2553" s="2" t="str">
        <f t="shared" si="38"/>
        <v>Error?</v>
      </c>
    </row>
    <row r="2554" spans="1:4" x14ac:dyDescent="0.2">
      <c r="A2554" s="5">
        <v>2493</v>
      </c>
      <c r="B2554" s="138">
        <f>'Acct Summary 7-8'!C7</f>
        <v>1263510</v>
      </c>
      <c r="C2554" s="2" t="s">
        <v>573</v>
      </c>
      <c r="D2554" s="2" t="str">
        <f t="shared" si="38"/>
        <v>Error?</v>
      </c>
    </row>
    <row r="2555" spans="1:4" x14ac:dyDescent="0.2">
      <c r="A2555" s="5">
        <v>2494</v>
      </c>
      <c r="B2555" s="138">
        <f>'Acct Summary 7-8'!C8</f>
        <v>25119953</v>
      </c>
      <c r="C2555" s="2" t="s">
        <v>573</v>
      </c>
      <c r="D2555" s="2" t="str">
        <f t="shared" si="38"/>
        <v>Error?</v>
      </c>
    </row>
    <row r="2556" spans="1:4" x14ac:dyDescent="0.2">
      <c r="A2556" s="5">
        <v>2495</v>
      </c>
      <c r="B2556" s="138">
        <f>'Acct Summary 7-8'!C12</f>
        <v>14513287</v>
      </c>
      <c r="C2556" s="2" t="s">
        <v>573</v>
      </c>
      <c r="D2556" s="2" t="str">
        <f t="shared" si="38"/>
        <v>Error?</v>
      </c>
    </row>
    <row r="2557" spans="1:4" x14ac:dyDescent="0.2">
      <c r="A2557" s="5">
        <v>2496</v>
      </c>
      <c r="B2557" s="138">
        <f>'Acct Summary 7-8'!C13</f>
        <v>6067302</v>
      </c>
      <c r="C2557" s="2" t="s">
        <v>573</v>
      </c>
      <c r="D2557" s="2" t="str">
        <f t="shared" si="38"/>
        <v>Error?</v>
      </c>
    </row>
    <row r="2558" spans="1:4" x14ac:dyDescent="0.2">
      <c r="A2558" s="5">
        <v>2497</v>
      </c>
      <c r="B2558" s="138">
        <f>'Acct Summary 7-8'!C14</f>
        <v>11638</v>
      </c>
      <c r="C2558" s="2" t="s">
        <v>573</v>
      </c>
      <c r="D2558" s="2" t="str">
        <f t="shared" si="38"/>
        <v>Error?</v>
      </c>
    </row>
    <row r="2559" spans="1:4" x14ac:dyDescent="0.2">
      <c r="A2559" s="5">
        <v>2498</v>
      </c>
      <c r="B2559" s="138">
        <f>'Acct Summary 7-8'!C15</f>
        <v>3234139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23826366</v>
      </c>
      <c r="C2561" s="2" t="s">
        <v>573</v>
      </c>
      <c r="D2561" s="2" t="str">
        <f t="shared" si="39"/>
        <v>Error?</v>
      </c>
    </row>
    <row r="2562" spans="1:4" x14ac:dyDescent="0.2">
      <c r="A2562" s="5">
        <v>2501</v>
      </c>
      <c r="B2562" s="138">
        <f>'Acct Summary 7-8'!C20</f>
        <v>1293587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2343967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2343967</v>
      </c>
      <c r="C2568" s="2" t="s">
        <v>573</v>
      </c>
      <c r="D2568" s="2" t="str">
        <f t="shared" si="39"/>
        <v>Error?</v>
      </c>
    </row>
    <row r="2569" spans="1:4" x14ac:dyDescent="0.2">
      <c r="A2569" s="5">
        <v>2508</v>
      </c>
      <c r="B2569" s="138">
        <f>'Acct Summary 7-8'!D13</f>
        <v>2082561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72448</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2155009</v>
      </c>
      <c r="C2573" s="2" t="s">
        <v>573</v>
      </c>
      <c r="D2573" s="2" t="str">
        <f t="shared" si="39"/>
        <v>Error?</v>
      </c>
    </row>
    <row r="2574" spans="1:4" x14ac:dyDescent="0.2">
      <c r="A2574" s="5">
        <v>2513</v>
      </c>
      <c r="B2574" s="138">
        <f>'Acct Summary 7-8'!D20</f>
        <v>188958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917386</v>
      </c>
      <c r="C2591" s="2" t="s">
        <v>573</v>
      </c>
      <c r="D2591" s="2" t="str">
        <f t="shared" si="39"/>
        <v>Error?</v>
      </c>
    </row>
    <row r="2592" spans="1:4" x14ac:dyDescent="0.2">
      <c r="A2592" s="10">
        <v>2531</v>
      </c>
      <c r="D2592" s="2" t="str">
        <f t="shared" si="39"/>
        <v>OK</v>
      </c>
    </row>
    <row r="2593" spans="1:4" x14ac:dyDescent="0.2">
      <c r="A2593" s="5">
        <v>2532</v>
      </c>
      <c r="B2593" s="138">
        <f>'Acct Summary 7-8'!F6</f>
        <v>1412083</v>
      </c>
      <c r="C2593" s="2" t="s">
        <v>573</v>
      </c>
      <c r="D2593" s="2" t="str">
        <f t="shared" si="39"/>
        <v>Error?</v>
      </c>
    </row>
    <row r="2594" spans="1:4" x14ac:dyDescent="0.2">
      <c r="A2594" s="5">
        <v>2533</v>
      </c>
      <c r="B2594" s="138">
        <f>'Acct Summary 7-8'!F7</f>
        <v>10329</v>
      </c>
      <c r="C2594" s="2" t="s">
        <v>573</v>
      </c>
      <c r="D2594" s="2" t="str">
        <f t="shared" si="39"/>
        <v>Error?</v>
      </c>
    </row>
    <row r="2595" spans="1:4" x14ac:dyDescent="0.2">
      <c r="A2595" s="5">
        <v>2534</v>
      </c>
      <c r="B2595" s="138">
        <f>'Acct Summary 7-8'!F8</f>
        <v>2339798</v>
      </c>
      <c r="C2595" s="2" t="s">
        <v>573</v>
      </c>
      <c r="D2595" s="2" t="str">
        <f t="shared" si="39"/>
        <v>Error?</v>
      </c>
    </row>
    <row r="2596" spans="1:4" x14ac:dyDescent="0.2">
      <c r="A2596" s="5">
        <v>2535</v>
      </c>
      <c r="B2596" s="138">
        <f>'Acct Summary 7-8'!F13</f>
        <v>2452465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4815</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2457280</v>
      </c>
      <c r="C2600" s="2" t="s">
        <v>573</v>
      </c>
      <c r="D2600" s="2" t="str">
        <f t="shared" si="39"/>
        <v>Error?</v>
      </c>
    </row>
    <row r="2601" spans="1:4" x14ac:dyDescent="0.2">
      <c r="A2601" s="5">
        <v>2540</v>
      </c>
      <c r="B2601" s="138">
        <f>'Acct Summary 7-8'!F20</f>
        <v>-117482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743186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743186</v>
      </c>
      <c r="C2606" s="2" t="s">
        <v>573</v>
      </c>
      <c r="D2606" s="2" t="str">
        <f t="shared" si="39"/>
        <v>Error?</v>
      </c>
    </row>
    <row r="2607" spans="1:4" x14ac:dyDescent="0.2">
      <c r="A2607" s="5">
        <v>2546</v>
      </c>
      <c r="B2607" s="138">
        <f>'Acct Summary 7-8'!G12</f>
        <v>309446</v>
      </c>
      <c r="C2607" s="2" t="s">
        <v>573</v>
      </c>
      <c r="D2607" s="2" t="str">
        <f t="shared" si="39"/>
        <v>Error?</v>
      </c>
    </row>
    <row r="2608" spans="1:4" x14ac:dyDescent="0.2">
      <c r="A2608" s="5">
        <v>2547</v>
      </c>
      <c r="B2608" s="138">
        <f>'Acct Summary 7-8'!G13</f>
        <v>321601</v>
      </c>
      <c r="C2608" s="2" t="s">
        <v>573</v>
      </c>
      <c r="D2608" s="2" t="str">
        <f t="shared" si="39"/>
        <v>Error?</v>
      </c>
    </row>
    <row r="2609" spans="1:4" x14ac:dyDescent="0.2">
      <c r="A2609" s="5">
        <v>2548</v>
      </c>
      <c r="B2609" s="138">
        <f>'Acct Summary 7-8'!G14</f>
        <v>134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668058</v>
      </c>
      <c r="C2612" s="2" t="s">
        <v>573</v>
      </c>
      <c r="D2612" s="2" t="str">
        <f t="shared" si="39"/>
        <v>Error?</v>
      </c>
    </row>
    <row r="2613" spans="1:4" x14ac:dyDescent="0.2">
      <c r="A2613" s="5">
        <v>2552</v>
      </c>
      <c r="B2613" s="138">
        <f>'Acct Summary 7-8'!G20</f>
        <v>75128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5072271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5072271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5137928</v>
      </c>
      <c r="C2634" s="2" t="s">
        <v>573</v>
      </c>
      <c r="D2634" s="2" t="str">
        <f t="shared" si="40"/>
        <v>Error?</v>
      </c>
    </row>
    <row r="2635" spans="1:4" x14ac:dyDescent="0.2">
      <c r="A2635" s="5">
        <v>2574</v>
      </c>
      <c r="B2635" s="138">
        <f>'Acct Summary 7-8'!E17</f>
        <v>5137928</v>
      </c>
      <c r="C2635" s="2" t="s">
        <v>573</v>
      </c>
      <c r="D2635" s="2" t="str">
        <f t="shared" si="40"/>
        <v>Error?</v>
      </c>
    </row>
    <row r="2636" spans="1:4" x14ac:dyDescent="0.2">
      <c r="A2636" s="5">
        <v>2575</v>
      </c>
      <c r="B2636" s="138">
        <f>'Acct Summary 7-8'!E20</f>
        <v>-65657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1312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1312</v>
      </c>
      <c r="C2658" s="2" t="s">
        <v>573</v>
      </c>
      <c r="D2658" s="2" t="str">
        <f t="shared" si="40"/>
        <v>Error?</v>
      </c>
    </row>
    <row r="2659" spans="1:4" x14ac:dyDescent="0.2">
      <c r="A2659" s="5">
        <v>2598</v>
      </c>
      <c r="B2659" s="138">
        <f>'Acct Summary 7-8'!H13</f>
        <v>1113233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1113233</v>
      </c>
      <c r="C2661" s="2" t="s">
        <v>573</v>
      </c>
      <c r="D2661" s="2" t="str">
        <f t="shared" si="40"/>
        <v>Error?</v>
      </c>
    </row>
    <row r="2662" spans="1:4" x14ac:dyDescent="0.2">
      <c r="A2662" s="5">
        <v>2601</v>
      </c>
      <c r="B2662" s="138">
        <f>'Acct Summary 7-8'!H20</f>
        <v>-1111921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179232</v>
      </c>
      <c r="D2718" s="2" t="str">
        <f t="shared" si="41"/>
        <v>Error?</v>
      </c>
    </row>
    <row r="2719" spans="1:4" x14ac:dyDescent="0.2">
      <c r="A2719" s="5">
        <v>2658</v>
      </c>
      <c r="B2719" s="138">
        <f>'Expenditures 15-22'!D51</f>
        <v>48268</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788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228288</v>
      </c>
      <c r="C2724" s="2" t="s">
        <v>573</v>
      </c>
      <c r="D2724" s="2" t="str">
        <f t="shared" si="41"/>
        <v>Error?</v>
      </c>
    </row>
    <row r="2725" spans="1:4" x14ac:dyDescent="0.2">
      <c r="A2725" s="5">
        <v>2664</v>
      </c>
      <c r="B2725" s="138">
        <f>'Expenditures 15-22'!D247</f>
        <v>7301</v>
      </c>
      <c r="D2725" s="2" t="str">
        <f t="shared" si="41"/>
        <v>Error?</v>
      </c>
    </row>
    <row r="2726" spans="1:4" x14ac:dyDescent="0.2">
      <c r="A2726" s="5">
        <v>2665</v>
      </c>
      <c r="B2726" s="138">
        <f>'Expenditures 15-22'!K247</f>
        <v>7301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158000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165580</v>
      </c>
      <c r="C2789" s="2" t="s">
        <v>573</v>
      </c>
      <c r="D2789" s="2" t="str">
        <f t="shared" si="42"/>
        <v>Error?</v>
      </c>
    </row>
    <row r="2790" spans="1:4" x14ac:dyDescent="0.2">
      <c r="A2790" s="5">
        <v>2729</v>
      </c>
      <c r="B2790" s="138">
        <f>'Expenditures 15-22'!E102</f>
        <v>165580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158000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4815</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4815</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1156922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1752922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2249945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21656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2249945</v>
      </c>
      <c r="D2912" s="2" t="str">
        <f t="shared" si="44"/>
        <v>Error?</v>
      </c>
    </row>
    <row r="2913" spans="1:4" x14ac:dyDescent="0.2">
      <c r="A2913" s="5">
        <v>2852</v>
      </c>
      <c r="B2913" s="138">
        <f>'Assets-Liab 5-6'!I41</f>
        <v>2249945</v>
      </c>
      <c r="C2913" s="2" t="s">
        <v>573</v>
      </c>
      <c r="D2913" s="2" t="str">
        <f t="shared" si="44"/>
        <v>Error?</v>
      </c>
    </row>
    <row r="2914" spans="1:4" x14ac:dyDescent="0.2">
      <c r="A2914" s="5">
        <v>2853</v>
      </c>
      <c r="B2914" s="138">
        <f>'Assets-Liab 5-6'!L33</f>
        <v>21656</v>
      </c>
      <c r="D2914" s="2" t="str">
        <f t="shared" si="44"/>
        <v>Error?</v>
      </c>
    </row>
    <row r="2915" spans="1:4" x14ac:dyDescent="0.2">
      <c r="A2915" s="10">
        <v>2854</v>
      </c>
      <c r="D2915" s="2" t="str">
        <f t="shared" si="44"/>
        <v>OK</v>
      </c>
    </row>
    <row r="2916" spans="1:4" x14ac:dyDescent="0.2">
      <c r="A2916" s="5">
        <v>2855</v>
      </c>
      <c r="B2916" s="138">
        <f>'Assets-Liab 5-6'!L34</f>
        <v>21656</v>
      </c>
      <c r="C2916" s="2" t="s">
        <v>573</v>
      </c>
      <c r="D2916" s="2" t="str">
        <f t="shared" si="44"/>
        <v>Error?</v>
      </c>
    </row>
    <row r="2917" spans="1:4" x14ac:dyDescent="0.2">
      <c r="A2917" s="5">
        <v>2856</v>
      </c>
      <c r="B2917" s="138">
        <f>'Assets-Liab 5-6'!L41</f>
        <v>21656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165580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165580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72448</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4815</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4815</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660209</v>
      </c>
      <c r="D3055" s="2" t="str">
        <f t="shared" si="46"/>
        <v>Error?</v>
      </c>
    </row>
    <row r="3056" spans="1:4" x14ac:dyDescent="0.2">
      <c r="A3056" s="5">
        <v>2995</v>
      </c>
      <c r="B3056" s="138">
        <f>'Expenditures 15-22'!D10</f>
        <v>124675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784884</v>
      </c>
      <c r="C3062" s="2" t="s">
        <v>573</v>
      </c>
      <c r="D3062" s="2" t="str">
        <f t="shared" si="46"/>
        <v>Error?</v>
      </c>
    </row>
    <row r="3063" spans="1:4" x14ac:dyDescent="0.2">
      <c r="A3063" s="10">
        <v>3002</v>
      </c>
      <c r="D3063" s="2" t="str">
        <f t="shared" si="46"/>
        <v>OK</v>
      </c>
    </row>
    <row r="3064" spans="1:4" x14ac:dyDescent="0.2">
      <c r="A3064" s="5">
        <v>3003</v>
      </c>
      <c r="B3064" s="138">
        <f>'Expenditures 15-22'!D219</f>
        <v>8939</v>
      </c>
      <c r="D3064" s="2" t="str">
        <f t="shared" si="46"/>
        <v>Error?</v>
      </c>
    </row>
    <row r="3065" spans="1:4" x14ac:dyDescent="0.2">
      <c r="A3065" s="5">
        <v>3004</v>
      </c>
      <c r="B3065" s="138">
        <f>'Expenditures 15-22'!K219</f>
        <v>8939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49111</v>
      </c>
      <c r="C3225" s="2" t="s">
        <v>573</v>
      </c>
      <c r="D3225" s="2" t="str">
        <f t="shared" si="49"/>
        <v>Error?</v>
      </c>
    </row>
    <row r="3226" spans="1:4" x14ac:dyDescent="0.2">
      <c r="A3226" s="5">
        <v>3165</v>
      </c>
      <c r="B3226" s="138">
        <f>'Acct Summary 7-8'!I8</f>
        <v>49111</v>
      </c>
      <c r="C3226" s="2" t="s">
        <v>573</v>
      </c>
      <c r="D3226" s="2" t="str">
        <f t="shared" si="49"/>
        <v>Error?</v>
      </c>
    </row>
    <row r="3227" spans="1:4" x14ac:dyDescent="0.2">
      <c r="A3227" s="5">
        <v>3166</v>
      </c>
      <c r="B3227" s="138">
        <f>'Acct Summary 7-8'!I20</f>
        <v>49111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237434</v>
      </c>
      <c r="C3231" s="2" t="s">
        <v>573</v>
      </c>
      <c r="D3231" s="2" t="str">
        <f t="shared" si="49"/>
        <v>Error?</v>
      </c>
    </row>
    <row r="3232" spans="1:4" x14ac:dyDescent="0.2">
      <c r="A3232" s="5">
        <v>3171</v>
      </c>
      <c r="B3232" s="138">
        <f>'Acct Summary 7-8'!C77</f>
        <v>-237434</v>
      </c>
      <c r="C3232" s="2" t="s">
        <v>573</v>
      </c>
      <c r="D3232" s="2" t="str">
        <f t="shared" si="49"/>
        <v>Error?</v>
      </c>
    </row>
    <row r="3233" spans="1:4" x14ac:dyDescent="0.2">
      <c r="A3233" s="5">
        <v>3172</v>
      </c>
      <c r="B3233" s="138">
        <f>'Acct Summary 7-8'!C78</f>
        <v>1056153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1094000</v>
      </c>
      <c r="C3237" s="2" t="s">
        <v>573</v>
      </c>
      <c r="D3237" s="2" t="str">
        <f t="shared" si="49"/>
        <v>Error?</v>
      </c>
    </row>
    <row r="3238" spans="1:4" x14ac:dyDescent="0.2">
      <c r="A3238" s="5">
        <v>3177</v>
      </c>
      <c r="B3238" s="138">
        <f>'Acct Summary 7-8'!D77</f>
        <v>-394000</v>
      </c>
      <c r="C3238" s="2" t="s">
        <v>573</v>
      </c>
      <c r="D3238" s="2" t="str">
        <f t="shared" si="49"/>
        <v>Error?</v>
      </c>
    </row>
    <row r="3239" spans="1:4" x14ac:dyDescent="0.2">
      <c r="A3239" s="5">
        <v>3178</v>
      </c>
      <c r="B3239" s="138">
        <f>'Acct Summary 7-8'!D78</f>
        <v>-205042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-117482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75128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79434</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79434</v>
      </c>
      <c r="C3277" s="2" t="s">
        <v>573</v>
      </c>
      <c r="D3277" s="2" t="str">
        <f t="shared" si="50"/>
        <v>Error?</v>
      </c>
    </row>
    <row r="3278" spans="1:4" x14ac:dyDescent="0.2">
      <c r="A3278" s="5">
        <v>3217</v>
      </c>
      <c r="B3278" s="138">
        <f>'Acct Summary 7-8'!E78</f>
        <v>13777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1094000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1094000</v>
      </c>
      <c r="C3299" s="2" t="s">
        <v>573</v>
      </c>
      <c r="D3299" s="2" t="str">
        <f t="shared" si="50"/>
        <v>Error?</v>
      </c>
    </row>
    <row r="3300" spans="1:4" x14ac:dyDescent="0.2">
      <c r="A3300" s="5">
        <v>3239</v>
      </c>
      <c r="B3300" s="138">
        <f>'Acct Summary 7-8'!H78</f>
        <v>-17921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542000</v>
      </c>
      <c r="C3318" s="2" t="s">
        <v>573</v>
      </c>
      <c r="D3318" s="2" t="str">
        <f t="shared" si="50"/>
        <v>Error?</v>
      </c>
    </row>
    <row r="3319" spans="1:4" x14ac:dyDescent="0.2">
      <c r="A3319" s="5">
        <v>3258</v>
      </c>
      <c r="B3319" s="138">
        <f>'Acct Summary 7-8'!I77</f>
        <v>-542000</v>
      </c>
      <c r="C3319" s="2" t="s">
        <v>573</v>
      </c>
      <c r="D3319" s="2" t="str">
        <f t="shared" si="50"/>
        <v>Error?</v>
      </c>
    </row>
    <row r="3320" spans="1:4" x14ac:dyDescent="0.2">
      <c r="A3320" s="5">
        <v>3259</v>
      </c>
      <c r="B3320" s="138">
        <f>'Acct Summary 7-8'!I78</f>
        <v>-492889</v>
      </c>
      <c r="C3320" s="2" t="s">
        <v>573</v>
      </c>
      <c r="D3320" s="2" t="str">
        <f t="shared" si="50"/>
        <v>Error?</v>
      </c>
    </row>
    <row r="3321" spans="1:4" x14ac:dyDescent="0.2">
      <c r="A3321" s="5">
        <v>3260</v>
      </c>
      <c r="B3321" s="138">
        <f>'Acct Summary 7-8'!I79</f>
        <v>2742834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2249945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2097097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395264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12753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10264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1102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2520216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103329</v>
      </c>
      <c r="D3387" s="2" t="str">
        <f t="shared" si="51"/>
        <v>Error?</v>
      </c>
    </row>
    <row r="3388" spans="1:4" x14ac:dyDescent="0.2">
      <c r="A3388" s="5">
        <v>3327</v>
      </c>
      <c r="B3388" s="138">
        <f>'Expenditures 15-22'!D217</f>
        <v>171204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103329</v>
      </c>
      <c r="C3390" s="2" t="s">
        <v>573</v>
      </c>
      <c r="D3390" s="2" t="str">
        <f t="shared" si="51"/>
        <v>Error?</v>
      </c>
    </row>
    <row r="3391" spans="1:4" x14ac:dyDescent="0.2">
      <c r="A3391" s="5">
        <v>3330</v>
      </c>
      <c r="B3391" s="138">
        <f>'Expenditures 15-22'!K217</f>
        <v>171204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809700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3753618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613315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670130</v>
      </c>
      <c r="D3417" s="2" t="str">
        <f t="shared" si="52"/>
        <v>Error?</v>
      </c>
    </row>
    <row r="3418" spans="1:4" x14ac:dyDescent="0.2">
      <c r="A3418" s="10">
        <v>3357</v>
      </c>
      <c r="D3418" s="2" t="str">
        <f t="shared" si="52"/>
        <v>OK</v>
      </c>
    </row>
    <row r="3419" spans="1:4" x14ac:dyDescent="0.2">
      <c r="A3419" s="5">
        <v>3358</v>
      </c>
      <c r="B3419" s="138">
        <f>'Assets-Liab 5-6'!F4</f>
        <v>118193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118987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3880</v>
      </c>
      <c r="D3425" s="2" t="str">
        <f t="shared" si="52"/>
        <v>Error?</v>
      </c>
    </row>
    <row r="3426" spans="1:4" x14ac:dyDescent="0.2">
      <c r="A3426" s="10">
        <v>3365</v>
      </c>
      <c r="D3426" s="2" t="str">
        <f t="shared" si="52"/>
        <v>OK</v>
      </c>
    </row>
    <row r="3427" spans="1:4" x14ac:dyDescent="0.2">
      <c r="A3427" s="5">
        <v>3366</v>
      </c>
      <c r="B3427" s="138">
        <f>'Assets-Liab 5-6'!I4</f>
        <v>497023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21656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343325</v>
      </c>
      <c r="C3446" s="2" t="s">
        <v>573</v>
      </c>
      <c r="D3446" s="2" t="str">
        <f t="shared" si="52"/>
        <v>Error?</v>
      </c>
    </row>
    <row r="3447" spans="1:4" x14ac:dyDescent="0.2">
      <c r="A3447" s="5">
        <v>3386</v>
      </c>
      <c r="B3447" s="138">
        <f>'Tax Sched 23'!D16</f>
        <v>164605</v>
      </c>
      <c r="C3447" s="2" t="s">
        <v>573</v>
      </c>
      <c r="D3447" s="2" t="str">
        <f t="shared" si="52"/>
        <v>Error?</v>
      </c>
    </row>
    <row r="3448" spans="1:4" x14ac:dyDescent="0.2">
      <c r="A3448" s="5">
        <v>3387</v>
      </c>
      <c r="B3448" s="138">
        <f>'Tax Sched 23'!C16</f>
        <v>178720</v>
      </c>
      <c r="D3448" s="2" t="str">
        <f t="shared" si="52"/>
        <v>Error?</v>
      </c>
    </row>
    <row r="3449" spans="1:4" x14ac:dyDescent="0.2">
      <c r="A3449" s="5">
        <v>3388</v>
      </c>
      <c r="B3449" s="138">
        <f>'Tax Sched 23'!F16</f>
        <v>184022</v>
      </c>
      <c r="C3449" s="2" t="s">
        <v>573</v>
      </c>
      <c r="D3449" s="2" t="str">
        <f t="shared" si="52"/>
        <v>Error?</v>
      </c>
    </row>
    <row r="3450" spans="1:4" x14ac:dyDescent="0.2">
      <c r="A3450" s="5">
        <v>3389</v>
      </c>
      <c r="B3450" s="138">
        <f>'Tax Sched 23'!E16</f>
        <v>362742</v>
      </c>
      <c r="D3450" s="2" t="str">
        <f t="shared" si="52"/>
        <v>Error?</v>
      </c>
    </row>
    <row r="3451" spans="1:4" x14ac:dyDescent="0.2">
      <c r="A3451" s="5">
        <v>3390</v>
      </c>
      <c r="B3451" s="138">
        <f>'Cap Outlay Deprec 26'!C15</f>
        <v>1138030</v>
      </c>
      <c r="D3451" s="2" t="str">
        <f t="shared" si="52"/>
        <v>Error?</v>
      </c>
    </row>
    <row r="3452" spans="1:4" x14ac:dyDescent="0.2">
      <c r="A3452" s="5">
        <v>3391</v>
      </c>
      <c r="B3452" s="138">
        <f>'Cap Outlay Deprec 26'!D15</f>
        <v>1156922</v>
      </c>
      <c r="D3452" s="2" t="str">
        <f t="shared" si="52"/>
        <v>Error?</v>
      </c>
    </row>
    <row r="3453" spans="1:4" x14ac:dyDescent="0.2">
      <c r="A3453" s="5">
        <v>3392</v>
      </c>
      <c r="B3453" s="138">
        <f>'Cap Outlay Deprec 26'!E15</f>
        <v>1138030</v>
      </c>
      <c r="D3453" s="2" t="str">
        <f t="shared" si="52"/>
        <v>Error?</v>
      </c>
    </row>
    <row r="3454" spans="1:4" x14ac:dyDescent="0.2">
      <c r="A3454" s="5">
        <v>3393</v>
      </c>
      <c r="B3454" s="138">
        <f>'Cap Outlay Deprec 26'!F15</f>
        <v>1156922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1156922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181185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639013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820198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820198</v>
      </c>
      <c r="D3567" s="2" t="str">
        <f t="shared" si="54"/>
        <v>Error?</v>
      </c>
    </row>
    <row r="3568" spans="1:4" x14ac:dyDescent="0.2">
      <c r="A3568" s="5">
        <v>3507</v>
      </c>
      <c r="B3568" s="138">
        <f>'Assets-Liab 5-6'!K41</f>
        <v>820198</v>
      </c>
      <c r="C3568" s="2" t="s">
        <v>573</v>
      </c>
      <c r="D3568" s="2" t="str">
        <f t="shared" si="54"/>
        <v>Error?</v>
      </c>
    </row>
    <row r="3569" spans="1:4" x14ac:dyDescent="0.2">
      <c r="A3569" s="5">
        <v>3508</v>
      </c>
      <c r="B3569" s="138">
        <f>'Acct Summary 7-8'!K4</f>
        <v>19143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19143</v>
      </c>
      <c r="C3571" s="2" t="s">
        <v>573</v>
      </c>
      <c r="D3571" s="2" t="str">
        <f t="shared" si="54"/>
        <v>Error?</v>
      </c>
    </row>
    <row r="3572" spans="1:4" x14ac:dyDescent="0.2">
      <c r="A3572" s="5">
        <v>3511</v>
      </c>
      <c r="B3572" s="138">
        <f>'Acct Summary 7-8'!K13</f>
        <v>815807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815807</v>
      </c>
      <c r="C3575" s="2" t="s">
        <v>573</v>
      </c>
      <c r="D3575" s="2" t="str">
        <f t="shared" si="54"/>
        <v>Error?</v>
      </c>
    </row>
    <row r="3576" spans="1:4" x14ac:dyDescent="0.2">
      <c r="A3576" s="5">
        <v>3515</v>
      </c>
      <c r="B3576" s="138">
        <f>'Acct Summary 7-8'!K20</f>
        <v>-796664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-796664</v>
      </c>
      <c r="C3588" s="2" t="s">
        <v>573</v>
      </c>
      <c r="D3588" s="2" t="str">
        <f t="shared" si="55"/>
        <v>Error?</v>
      </c>
    </row>
    <row r="3589" spans="1:4" x14ac:dyDescent="0.2">
      <c r="A3589" s="5">
        <v>3528</v>
      </c>
      <c r="B3589" s="138">
        <f>'Acct Summary 7-8'!K79</f>
        <v>1616862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820198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32169</v>
      </c>
      <c r="D3632" s="2" t="str">
        <f t="shared" si="55"/>
        <v>Error?</v>
      </c>
    </row>
    <row r="3633" spans="1:4" x14ac:dyDescent="0.2">
      <c r="A3633" s="5">
        <v>3572</v>
      </c>
      <c r="B3633" s="138">
        <f>'Expenditures 15-22'!E350</f>
        <v>32169</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32169</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783638</v>
      </c>
      <c r="D3646" s="2" t="str">
        <f t="shared" si="55"/>
        <v>Error?</v>
      </c>
    </row>
    <row r="3647" spans="1:4" x14ac:dyDescent="0.2">
      <c r="A3647" s="5">
        <v>3586</v>
      </c>
      <c r="B3647" s="138">
        <f>'Expenditures 15-22'!G350</f>
        <v>783638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783638</v>
      </c>
      <c r="C3649" s="2" t="s">
        <v>573</v>
      </c>
      <c r="D3649" s="2" t="str">
        <f t="shared" si="56"/>
        <v>Error?</v>
      </c>
    </row>
    <row r="3650" spans="1:4" x14ac:dyDescent="0.2">
      <c r="A3650" s="5">
        <v>3589</v>
      </c>
      <c r="B3650" s="138">
        <f>'Expenditures 15-22'!G367</f>
        <v>783638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815807</v>
      </c>
      <c r="C3669" s="2" t="s">
        <v>573</v>
      </c>
      <c r="D3669" s="2" t="str">
        <f t="shared" si="56"/>
        <v>Error?</v>
      </c>
    </row>
    <row r="3670" spans="1:4" x14ac:dyDescent="0.2">
      <c r="A3670" s="5">
        <v>3609</v>
      </c>
      <c r="B3670" s="138">
        <f>'Expenditures 15-22'!K350</f>
        <v>815807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815807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815807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-796664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36877</v>
      </c>
      <c r="D3721" s="2" t="str">
        <f t="shared" si="57"/>
        <v>Error?</v>
      </c>
    </row>
    <row r="3722" spans="1:4" x14ac:dyDescent="0.2">
      <c r="A3722" s="5">
        <v>3661</v>
      </c>
      <c r="B3722" s="138">
        <f>'Expenditures 15-22'!D285</f>
        <v>36877</v>
      </c>
      <c r="C3722" s="2" t="s">
        <v>573</v>
      </c>
      <c r="D3722" s="2" t="str">
        <f t="shared" si="57"/>
        <v>Error?</v>
      </c>
    </row>
    <row r="3723" spans="1:4" x14ac:dyDescent="0.2">
      <c r="A3723" s="5">
        <v>3662</v>
      </c>
      <c r="B3723" s="138">
        <f>'Expenditures 15-22'!K283</f>
        <v>36877</v>
      </c>
      <c r="C3723" s="2" t="s">
        <v>573</v>
      </c>
      <c r="D3723" s="2" t="str">
        <f t="shared" si="57"/>
        <v>Error?</v>
      </c>
    </row>
    <row r="3724" spans="1:4" x14ac:dyDescent="0.2">
      <c r="A3724" s="5">
        <v>3663</v>
      </c>
      <c r="B3724" s="138">
        <f>'Expenditures 15-22'!K285</f>
        <v>36877</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332811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32999</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17271</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15728</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16194</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31922</v>
      </c>
      <c r="D4111" s="2" t="str">
        <f t="shared" si="63"/>
        <v>Error?</v>
      </c>
    </row>
    <row r="4112" spans="1:4" x14ac:dyDescent="0.2">
      <c r="A4112" s="10">
        <v>4051</v>
      </c>
      <c r="D4112" s="2" t="str">
        <f t="shared" si="63"/>
        <v>OK</v>
      </c>
    </row>
    <row r="4113" spans="1:4" x14ac:dyDescent="0.2">
      <c r="A4113" s="5">
        <v>4052</v>
      </c>
      <c r="B4113" s="138">
        <f>'Acct Summary 7-8'!C9</f>
        <v>8986813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34106766</v>
      </c>
      <c r="C4122" s="2" t="s">
        <v>573</v>
      </c>
      <c r="D4122" s="2" t="str">
        <f t="shared" si="63"/>
        <v>Error?</v>
      </c>
    </row>
    <row r="4123" spans="1:4" x14ac:dyDescent="0.2">
      <c r="A4123" s="5">
        <v>4062</v>
      </c>
      <c r="B4123" s="138">
        <f>'Acct Summary 7-8'!D10</f>
        <v>2343967</v>
      </c>
      <c r="C4123" s="2" t="s">
        <v>573</v>
      </c>
      <c r="D4123" s="2" t="str">
        <f t="shared" si="63"/>
        <v>Error?</v>
      </c>
    </row>
    <row r="4124" spans="1:4" x14ac:dyDescent="0.2">
      <c r="A4124" s="5">
        <v>4063</v>
      </c>
      <c r="B4124" s="138">
        <f>'Acct Summary 7-8'!E10</f>
        <v>5072271</v>
      </c>
      <c r="C4124" s="2" t="s">
        <v>573</v>
      </c>
      <c r="D4124" s="2" t="str">
        <f t="shared" si="63"/>
        <v>Error?</v>
      </c>
    </row>
    <row r="4125" spans="1:4" x14ac:dyDescent="0.2">
      <c r="A4125" s="5">
        <v>4064</v>
      </c>
      <c r="B4125" s="138">
        <f>'Acct Summary 7-8'!F10</f>
        <v>2339798</v>
      </c>
      <c r="C4125" s="2" t="s">
        <v>573</v>
      </c>
      <c r="D4125" s="2" t="str">
        <f t="shared" si="63"/>
        <v>Error?</v>
      </c>
    </row>
    <row r="4126" spans="1:4" x14ac:dyDescent="0.2">
      <c r="A4126" s="5">
        <v>4065</v>
      </c>
      <c r="B4126" s="138">
        <f>'Acct Summary 7-8'!G10</f>
        <v>743186</v>
      </c>
      <c r="C4126" s="2" t="s">
        <v>573</v>
      </c>
      <c r="D4126" s="2" t="str">
        <f t="shared" si="63"/>
        <v>Error?</v>
      </c>
    </row>
    <row r="4127" spans="1:4" x14ac:dyDescent="0.2">
      <c r="A4127" s="5">
        <v>4066</v>
      </c>
      <c r="B4127" s="138">
        <f>'Acct Summary 7-8'!H10</f>
        <v>1312</v>
      </c>
      <c r="C4127" s="2" t="s">
        <v>573</v>
      </c>
      <c r="D4127" s="2" t="str">
        <f t="shared" si="63"/>
        <v>Error?</v>
      </c>
    </row>
    <row r="4128" spans="1:4" x14ac:dyDescent="0.2">
      <c r="A4128" s="5">
        <v>4067</v>
      </c>
      <c r="B4128" s="138">
        <f>'Acct Summary 7-8'!I10</f>
        <v>49111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19143</v>
      </c>
      <c r="C4130" s="2" t="s">
        <v>573</v>
      </c>
      <c r="D4130" s="2" t="str">
        <f t="shared" si="63"/>
        <v>Error?</v>
      </c>
    </row>
    <row r="4131" spans="1:4" x14ac:dyDescent="0.2">
      <c r="A4131" s="5">
        <v>4070</v>
      </c>
      <c r="B4131" s="138">
        <f>'Acct Summary 7-8'!C18</f>
        <v>8986813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32813179</v>
      </c>
      <c r="C4136" s="2" t="s">
        <v>573</v>
      </c>
      <c r="D4136" s="2" t="str">
        <f t="shared" si="63"/>
        <v>Error?</v>
      </c>
    </row>
    <row r="4137" spans="1:4" x14ac:dyDescent="0.2">
      <c r="A4137" s="5">
        <v>4076</v>
      </c>
      <c r="B4137" s="138">
        <f>'Acct Summary 7-8'!D19</f>
        <v>2155009</v>
      </c>
      <c r="C4137" s="2" t="s">
        <v>573</v>
      </c>
      <c r="D4137" s="2" t="str">
        <f t="shared" si="63"/>
        <v>Error?</v>
      </c>
    </row>
    <row r="4138" spans="1:4" x14ac:dyDescent="0.2">
      <c r="A4138" s="5">
        <v>4077</v>
      </c>
      <c r="B4138" s="138">
        <f>'Acct Summary 7-8'!E19</f>
        <v>5137928</v>
      </c>
      <c r="C4138" s="2" t="s">
        <v>573</v>
      </c>
      <c r="D4138" s="2" t="str">
        <f t="shared" si="63"/>
        <v>Error?</v>
      </c>
    </row>
    <row r="4139" spans="1:4" x14ac:dyDescent="0.2">
      <c r="A4139" s="5">
        <v>4078</v>
      </c>
      <c r="B4139" s="138">
        <f>'Acct Summary 7-8'!F19</f>
        <v>2457280</v>
      </c>
      <c r="C4139" s="2" t="s">
        <v>573</v>
      </c>
      <c r="D4139" s="2" t="str">
        <f t="shared" si="63"/>
        <v>Error?</v>
      </c>
    </row>
    <row r="4140" spans="1:4" x14ac:dyDescent="0.2">
      <c r="A4140" s="5">
        <v>4079</v>
      </c>
      <c r="B4140" s="138">
        <f>'Acct Summary 7-8'!G19</f>
        <v>668058</v>
      </c>
      <c r="C4140" s="2" t="s">
        <v>573</v>
      </c>
      <c r="D4140" s="2" t="str">
        <f t="shared" si="63"/>
        <v>Error?</v>
      </c>
    </row>
    <row r="4141" spans="1:4" x14ac:dyDescent="0.2">
      <c r="A4141" s="5">
        <v>4080</v>
      </c>
      <c r="B4141" s="138">
        <f>'Acct Summary 7-8'!H19</f>
        <v>1113233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815807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5194358</v>
      </c>
      <c r="C4171" s="2" t="s">
        <v>573</v>
      </c>
      <c r="D4171" s="2" t="str">
        <f t="shared" si="64"/>
        <v>Error?</v>
      </c>
    </row>
    <row r="4172" spans="1:4" x14ac:dyDescent="0.2">
      <c r="A4172" s="5">
        <v>4111</v>
      </c>
      <c r="B4172" s="138">
        <f>'Short-Term Long-Term Debt 24'!J49</f>
        <v>2160780</v>
      </c>
      <c r="C4172" s="2" t="s">
        <v>573</v>
      </c>
      <c r="D4172" s="2" t="str">
        <f t="shared" si="64"/>
        <v>Error?</v>
      </c>
    </row>
    <row r="4173" spans="1:4" x14ac:dyDescent="0.2">
      <c r="A4173" s="5">
        <v>4112</v>
      </c>
      <c r="B4173" s="138">
        <f>'Short-Term Long-Term Debt 24'!H49</f>
        <v>2305494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129631</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72448</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72448</v>
      </c>
      <c r="C4202" s="2" t="s">
        <v>573</v>
      </c>
      <c r="D4202" s="2" t="str">
        <f t="shared" si="64"/>
        <v>Error?</v>
      </c>
    </row>
    <row r="4203" spans="1:4" x14ac:dyDescent="0.2">
      <c r="A4203" s="5">
        <v>4142</v>
      </c>
      <c r="B4203" s="138">
        <f>'Expenditures 15-22'!E139</f>
        <v>72448</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2787.1420000000003</v>
      </c>
      <c r="C4265" s="2" t="s">
        <v>573</v>
      </c>
      <c r="D4265" s="2" t="str">
        <f t="shared" si="65"/>
        <v>Error?</v>
      </c>
      <c r="E4265" s="128"/>
    </row>
    <row r="4266" spans="1:5" x14ac:dyDescent="0.2">
      <c r="A4266" s="12">
        <v>4205</v>
      </c>
      <c r="B4266" s="138">
        <f>('FP Info 3'!F10)*100000</f>
        <v>395.54</v>
      </c>
      <c r="C4266" s="2" t="s">
        <v>573</v>
      </c>
      <c r="D4266" s="2" t="str">
        <f t="shared" si="65"/>
        <v>Error?</v>
      </c>
      <c r="E4266" s="128"/>
    </row>
    <row r="4267" spans="1:5" x14ac:dyDescent="0.2">
      <c r="A4267" s="12">
        <v>4206</v>
      </c>
      <c r="B4267" s="138">
        <f>('FP Info 3'!H10)*100000</f>
        <v>218.03</v>
      </c>
      <c r="C4267" s="2" t="s">
        <v>573</v>
      </c>
      <c r="D4267" s="2" t="str">
        <f t="shared" si="65"/>
        <v>Error?</v>
      </c>
      <c r="E4267" s="128"/>
    </row>
    <row r="4268" spans="1:5" x14ac:dyDescent="0.2">
      <c r="A4268" s="12">
        <v>4207</v>
      </c>
      <c r="B4268" s="138">
        <f>('FP Info 3'!J10)*100000</f>
        <v>3401</v>
      </c>
      <c r="C4268" s="2" t="s">
        <v>573</v>
      </c>
      <c r="D4268" s="2" t="str">
        <f t="shared" si="65"/>
        <v>Error?</v>
      </c>
    </row>
    <row r="4269" spans="1:5" x14ac:dyDescent="0.2">
      <c r="A4269" s="12">
        <v>4208</v>
      </c>
      <c r="B4269" s="138">
        <f>'FP Info 3'!J16</f>
        <v>22553426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30587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206245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21860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38661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79152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1954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1890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520501094</v>
      </c>
      <c r="D4995" s="2" t="str">
        <f t="shared" si="77"/>
        <v>Error?</v>
      </c>
    </row>
    <row r="4996" spans="1:4" x14ac:dyDescent="0.2">
      <c r="A4996" s="12">
        <v>4935</v>
      </c>
      <c r="B4996" s="138">
        <f>'FP Info 3'!H31</f>
        <v>35914575.486000001</v>
      </c>
      <c r="D4996" s="2" t="str">
        <f t="shared" si="77"/>
        <v>Error?</v>
      </c>
    </row>
    <row r="4997" spans="1:4" x14ac:dyDescent="0.2">
      <c r="A4997" s="12">
        <v>4936</v>
      </c>
      <c r="B4997" s="138">
        <f>'FP Info 3'!H37</f>
        <v>5194358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13918317</v>
      </c>
      <c r="D5061" s="2" t="str">
        <f t="shared" si="78"/>
        <v>Error?</v>
      </c>
    </row>
    <row r="5062" spans="1:4" x14ac:dyDescent="0.2">
      <c r="A5062" s="10">
        <v>5001</v>
      </c>
      <c r="D5062" s="2" t="str">
        <f t="shared" si="78"/>
        <v>OK</v>
      </c>
    </row>
    <row r="5063" spans="1:4" x14ac:dyDescent="0.2">
      <c r="A5063" s="5">
        <v>5002</v>
      </c>
      <c r="B5063" s="138">
        <f>'Revenues 9-14'!C7</f>
        <v>76190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13994507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59085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59085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247988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247988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4819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1888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346770</v>
      </c>
      <c r="C5096" s="2" t="s">
        <v>573</v>
      </c>
      <c r="D5096" s="2" t="str">
        <f t="shared" si="78"/>
        <v>Error?</v>
      </c>
    </row>
    <row r="5097" spans="1:4" x14ac:dyDescent="0.2">
      <c r="A5097" s="5">
        <v>5036</v>
      </c>
      <c r="B5097" s="138">
        <f>'Revenues 9-14'!C77</f>
        <v>2030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116070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161116</v>
      </c>
      <c r="D5101" s="2" t="str">
        <f t="shared" si="78"/>
        <v>Error?</v>
      </c>
    </row>
    <row r="5102" spans="1:4" x14ac:dyDescent="0.2">
      <c r="A5102" s="5">
        <v>5041</v>
      </c>
      <c r="B5102" s="138">
        <f>'Revenues 9-14'!C82</f>
        <v>279216</v>
      </c>
      <c r="C5102" s="2" t="s">
        <v>573</v>
      </c>
      <c r="D5102" s="2" t="str">
        <f t="shared" si="78"/>
        <v>Error?</v>
      </c>
    </row>
    <row r="5103" spans="1:4" x14ac:dyDescent="0.2">
      <c r="A5103" s="5">
        <v>5042</v>
      </c>
      <c r="B5103" s="138">
        <f>'Revenues 9-14'!C84</f>
        <v>222706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7715</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230421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2432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253677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26603</v>
      </c>
      <c r="D5119" s="2" t="str">
        <f t="shared" ref="D5119:D5182" si="79">IF(ISBLANK(B5119),"OK",IF(A5119-B5119=0,"OK","Error?"))</f>
        <v>Error?</v>
      </c>
    </row>
    <row r="5120" spans="1:4" x14ac:dyDescent="0.2">
      <c r="A5120" s="5">
        <v>5059</v>
      </c>
      <c r="B5120" s="138">
        <f>'Revenues 9-14'!C108</f>
        <v>295500</v>
      </c>
      <c r="C5120" s="2" t="s">
        <v>573</v>
      </c>
      <c r="D5120" s="2" t="str">
        <f t="shared" si="79"/>
        <v>Error?</v>
      </c>
    </row>
    <row r="5121" spans="1:4" x14ac:dyDescent="0.2">
      <c r="A5121" s="5">
        <v>5060</v>
      </c>
      <c r="B5121" s="138">
        <f>'Revenues 9-14'!C109</f>
        <v>15453487</v>
      </c>
      <c r="C5121" s="2" t="s">
        <v>573</v>
      </c>
      <c r="D5121" s="2" t="str">
        <f t="shared" si="79"/>
        <v>Error?</v>
      </c>
    </row>
    <row r="5122" spans="1:4" x14ac:dyDescent="0.2">
      <c r="A5122" s="5">
        <v>5061</v>
      </c>
      <c r="B5122" s="138">
        <f>'Revenues 9-14'!C111</f>
        <v>809700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809700</v>
      </c>
      <c r="C5125" s="2" t="s">
        <v>573</v>
      </c>
      <c r="D5125" s="2" t="str">
        <f t="shared" si="79"/>
        <v>Error?</v>
      </c>
    </row>
    <row r="5126" spans="1:4" x14ac:dyDescent="0.2">
      <c r="A5126" s="5">
        <v>5065</v>
      </c>
      <c r="B5126" s="138">
        <f>'Revenues 9-14'!C117</f>
        <v>7193623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7193623</v>
      </c>
      <c r="C5132" s="2" t="s">
        <v>573</v>
      </c>
      <c r="D5132" s="2" t="str">
        <f t="shared" si="79"/>
        <v>Error?</v>
      </c>
    </row>
    <row r="5133" spans="1:4" x14ac:dyDescent="0.2">
      <c r="A5133" s="5">
        <v>5072</v>
      </c>
      <c r="B5133" s="138">
        <f>'Revenues 9-14'!C125</f>
        <v>253716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139502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393218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4525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399633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7593256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332811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332811</v>
      </c>
      <c r="C5246" s="2" t="s">
        <v>573</v>
      </c>
      <c r="D5246" s="2" t="str">
        <f t="shared" si="80"/>
        <v>Error?</v>
      </c>
    </row>
    <row r="5247" spans="1:4" x14ac:dyDescent="0.2">
      <c r="A5247" s="5">
        <v>5186</v>
      </c>
      <c r="B5247" s="138">
        <f>'Revenues 9-14'!C200</f>
        <v>150179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21860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150179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21806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376666</v>
      </c>
      <c r="D5278" s="2" t="str">
        <f t="shared" si="81"/>
        <v>Error?</v>
      </c>
    </row>
    <row r="5279" spans="1:4" x14ac:dyDescent="0.2">
      <c r="A5279" s="5">
        <v>5218</v>
      </c>
      <c r="B5279" s="138">
        <f>'Revenues 9-14'!C214</f>
        <v>5543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404015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1263510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1263510</v>
      </c>
      <c r="C5326" s="2" t="s">
        <v>573</v>
      </c>
      <c r="D5326" s="2" t="str">
        <f t="shared" si="82"/>
        <v>Error?</v>
      </c>
    </row>
    <row r="5327" spans="1:5" x14ac:dyDescent="0.2">
      <c r="A5327" s="5">
        <v>5266</v>
      </c>
      <c r="B5327" s="138">
        <f>'Revenues 9-14'!C268</f>
        <v>25119953</v>
      </c>
      <c r="C5327" s="2" t="s">
        <v>573</v>
      </c>
      <c r="D5327" s="2" t="str">
        <f t="shared" si="82"/>
        <v>Error?</v>
      </c>
    </row>
    <row r="5328" spans="1:5" x14ac:dyDescent="0.2">
      <c r="A5328" s="5">
        <v>5267</v>
      </c>
      <c r="B5328" s="138">
        <f>'Revenues 9-14'!D5</f>
        <v>1984451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1984451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30964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30964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219791</v>
      </c>
      <c r="D5349" s="2" t="str">
        <f t="shared" si="82"/>
        <v>Error?</v>
      </c>
    </row>
    <row r="5350" spans="1:4" x14ac:dyDescent="0.2">
      <c r="A5350" s="5">
        <v>5289</v>
      </c>
      <c r="B5350" s="138">
        <f>'Revenues 9-14'!D96</f>
        <v>10263</v>
      </c>
      <c r="D5350" s="2" t="str">
        <f t="shared" si="82"/>
        <v>Error?</v>
      </c>
    </row>
    <row r="5351" spans="1:4" x14ac:dyDescent="0.2">
      <c r="A5351" s="5">
        <v>5290</v>
      </c>
      <c r="B5351" s="138">
        <f>'Revenues 9-14'!D98</f>
        <v>0</v>
      </c>
      <c r="D5351" s="2" t="str">
        <f t="shared" si="82"/>
        <v>Error?</v>
      </c>
    </row>
    <row r="5352" spans="1:4" x14ac:dyDescent="0.2">
      <c r="A5352" s="5">
        <v>5291</v>
      </c>
      <c r="B5352" s="138">
        <f>'Revenues 9-14'!D99</f>
        <v>98498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328552</v>
      </c>
      <c r="C5355" s="2" t="s">
        <v>573</v>
      </c>
      <c r="D5355" s="2" t="str">
        <f t="shared" si="82"/>
        <v>Error?</v>
      </c>
    </row>
    <row r="5356" spans="1:4" x14ac:dyDescent="0.2">
      <c r="A5356" s="5">
        <v>5295</v>
      </c>
      <c r="B5356" s="138">
        <f>'Revenues 9-14'!D109</f>
        <v>2343967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2343967</v>
      </c>
      <c r="C5508" s="2" t="s">
        <v>573</v>
      </c>
      <c r="D5508" s="2" t="str">
        <f t="shared" si="85"/>
        <v>Error?</v>
      </c>
    </row>
    <row r="5509" spans="1:4" x14ac:dyDescent="0.2">
      <c r="A5509" s="5">
        <v>5448</v>
      </c>
      <c r="B5509" s="138">
        <f>'Revenues 9-14'!E5</f>
        <v>5055250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5055250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16854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16854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167</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167</v>
      </c>
      <c r="C5526" s="2" t="s">
        <v>573</v>
      </c>
      <c r="D5526" s="2" t="str">
        <f t="shared" si="85"/>
        <v>Error?</v>
      </c>
    </row>
    <row r="5527" spans="1:4" x14ac:dyDescent="0.2">
      <c r="A5527" s="5">
        <v>5466</v>
      </c>
      <c r="B5527" s="138">
        <f>'Revenues 9-14'!E109</f>
        <v>5072271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5072271</v>
      </c>
      <c r="C5552" s="2" t="s">
        <v>573</v>
      </c>
      <c r="D5552" s="2" t="str">
        <f t="shared" si="85"/>
        <v>Error?</v>
      </c>
    </row>
    <row r="5553" spans="1:4" x14ac:dyDescent="0.2">
      <c r="A5553" s="5">
        <v>5492</v>
      </c>
      <c r="B5553" s="138">
        <f>'Revenues 9-14'!F5</f>
        <v>895344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895344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7595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7595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14447</v>
      </c>
      <c r="D5586" s="2" t="str">
        <f t="shared" si="86"/>
        <v>Error?</v>
      </c>
    </row>
    <row r="5587" spans="1:4" x14ac:dyDescent="0.2">
      <c r="A5587" s="5">
        <v>5526</v>
      </c>
      <c r="B5587" s="138">
        <f>'Revenues 9-14'!F108</f>
        <v>14447</v>
      </c>
      <c r="C5587" s="2" t="s">
        <v>573</v>
      </c>
      <c r="D5587" s="2" t="str">
        <f t="shared" si="86"/>
        <v>Error?</v>
      </c>
    </row>
    <row r="5588" spans="1:4" x14ac:dyDescent="0.2">
      <c r="A5588" s="5">
        <v>5527</v>
      </c>
      <c r="B5588" s="138">
        <f>'Revenues 9-14'!F109</f>
        <v>917386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279622</v>
      </c>
      <c r="D5615" s="2" t="str">
        <f t="shared" si="86"/>
        <v>Error?</v>
      </c>
    </row>
    <row r="5616" spans="1:4" x14ac:dyDescent="0.2">
      <c r="A5616" s="10">
        <v>5555</v>
      </c>
      <c r="D5616" s="2" t="str">
        <f t="shared" si="86"/>
        <v>OK</v>
      </c>
    </row>
    <row r="5617" spans="1:5" x14ac:dyDescent="0.2">
      <c r="A5617" s="5">
        <v>5556</v>
      </c>
      <c r="B5617" s="138">
        <f>'Revenues 9-14'!F153</f>
        <v>1132461</v>
      </c>
      <c r="D5617" s="2" t="str">
        <f t="shared" si="86"/>
        <v>Error?</v>
      </c>
    </row>
    <row r="5618" spans="1:5" x14ac:dyDescent="0.2">
      <c r="A5618" s="5">
        <v>5557</v>
      </c>
      <c r="B5618" s="138">
        <f>'Revenues 9-14'!F155</f>
        <v>1412083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1412083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1412083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10329</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10329</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10329</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10329</v>
      </c>
      <c r="C5719" s="2" t="s">
        <v>573</v>
      </c>
      <c r="D5719" s="2" t="str">
        <f t="shared" si="88"/>
        <v>Error?</v>
      </c>
    </row>
    <row r="5720" spans="1:4" x14ac:dyDescent="0.2">
      <c r="A5720" s="5">
        <v>5659</v>
      </c>
      <c r="B5720" s="138">
        <f>'Revenues 9-14'!F268</f>
        <v>2339798</v>
      </c>
      <c r="C5720" s="2" t="s">
        <v>573</v>
      </c>
      <c r="D5720" s="2" t="str">
        <f t="shared" si="88"/>
        <v>Error?</v>
      </c>
    </row>
    <row r="5721" spans="1:4" x14ac:dyDescent="0.2">
      <c r="A5721" s="5">
        <v>5660</v>
      </c>
      <c r="B5721" s="138">
        <f>'Revenues 9-14'!G5</f>
        <v>343414</v>
      </c>
      <c r="D5721" s="2" t="str">
        <f t="shared" si="88"/>
        <v>Error?</v>
      </c>
    </row>
    <row r="5722" spans="1:4" x14ac:dyDescent="0.2">
      <c r="A5722" s="5">
        <v>5661</v>
      </c>
      <c r="B5722" s="138">
        <f>'Revenues 9-14'!G7</f>
        <v>0</v>
      </c>
      <c r="D5722" s="2" t="str">
        <f t="shared" si="88"/>
        <v>Error?</v>
      </c>
    </row>
    <row r="5723" spans="1:4" x14ac:dyDescent="0.2">
      <c r="A5723" s="5">
        <v>5662</v>
      </c>
      <c r="B5723" s="138">
        <f>'Revenues 9-14'!G8</f>
        <v>343325</v>
      </c>
      <c r="D5723" s="2" t="str">
        <f t="shared" si="88"/>
        <v>Error?</v>
      </c>
    </row>
    <row r="5724" spans="1:4" x14ac:dyDescent="0.2">
      <c r="A5724" s="5">
        <v>5663</v>
      </c>
      <c r="B5724" s="138">
        <f>'Revenues 9-14'!G11</f>
        <v>32999</v>
      </c>
      <c r="D5724" s="2" t="str">
        <f t="shared" si="88"/>
        <v>Error?</v>
      </c>
    </row>
    <row r="5725" spans="1:4" x14ac:dyDescent="0.2">
      <c r="A5725" s="5">
        <v>5664</v>
      </c>
      <c r="B5725" s="138">
        <f>'Revenues 9-14'!G12</f>
        <v>719738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21000</v>
      </c>
      <c r="C5730" s="2" t="s">
        <v>573</v>
      </c>
      <c r="D5730" s="2" t="str">
        <f t="shared" si="88"/>
        <v>Error?</v>
      </c>
    </row>
    <row r="5731" spans="1:4" x14ac:dyDescent="0.2">
      <c r="A5731" s="5">
        <v>5670</v>
      </c>
      <c r="B5731" s="138">
        <f>'Revenues 9-14'!G65</f>
        <v>2448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2448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743186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1312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1312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1312</v>
      </c>
      <c r="C5915" s="2" t="s">
        <v>573</v>
      </c>
      <c r="D5915" s="2" t="str">
        <f t="shared" si="91"/>
        <v>Error?</v>
      </c>
    </row>
    <row r="5916" spans="1:4" x14ac:dyDescent="0.2">
      <c r="A5916" s="5">
        <v>5855</v>
      </c>
      <c r="B5916" s="138">
        <f>'Revenues 9-14'!I5</f>
        <v>5052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5052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44059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44059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49111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76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19067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19067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19143</v>
      </c>
      <c r="C6023" s="2" t="s">
        <v>573</v>
      </c>
      <c r="D6023" s="2" t="str">
        <f t="shared" si="93"/>
        <v>Error?</v>
      </c>
    </row>
    <row r="6024" spans="1:5" x14ac:dyDescent="0.2">
      <c r="A6024" s="5">
        <v>5963</v>
      </c>
      <c r="B6024" s="138">
        <f>'Revenues 9-14'!G109</f>
        <v>743186</v>
      </c>
      <c r="C6024" s="2" t="s">
        <v>573</v>
      </c>
      <c r="D6024" s="2" t="str">
        <f t="shared" si="93"/>
        <v>Error?</v>
      </c>
    </row>
    <row r="6025" spans="1:5" x14ac:dyDescent="0.2">
      <c r="A6025" s="5">
        <v>5964</v>
      </c>
      <c r="B6025" s="138">
        <f>'Revenues 9-14'!H109</f>
        <v>1312</v>
      </c>
      <c r="C6025" s="2" t="s">
        <v>573</v>
      </c>
      <c r="D6025" s="2" t="str">
        <f t="shared" si="93"/>
        <v>Error?</v>
      </c>
    </row>
    <row r="6026" spans="1:5" x14ac:dyDescent="0.2">
      <c r="A6026" s="5">
        <v>5965</v>
      </c>
      <c r="B6026" s="138">
        <f>'Revenues 9-14'!I109</f>
        <v>49111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19143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340063</v>
      </c>
      <c r="D6031" s="2" t="str">
        <f t="shared" si="93"/>
        <v>Error?</v>
      </c>
    </row>
    <row r="6032" spans="1:5" x14ac:dyDescent="0.2">
      <c r="A6032" s="5">
        <v>5971</v>
      </c>
      <c r="B6032" s="138">
        <f>'Acct Summary 7-8'!G15</f>
        <v>36877</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63870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2446.6999999999998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193876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193876</v>
      </c>
      <c r="D6215" s="2" t="str">
        <f t="shared" si="96"/>
        <v>Error?</v>
      </c>
      <c r="E6215" s="2" t="s">
        <v>190</v>
      </c>
    </row>
    <row r="6216" spans="1:5" x14ac:dyDescent="0.2">
      <c r="A6216">
        <v>6155</v>
      </c>
      <c r="B6216" s="138">
        <f>'Assets-Liab 5-6'!J41</f>
        <v>193876</v>
      </c>
      <c r="D6216" s="2" t="str">
        <f t="shared" si="96"/>
        <v>Error?</v>
      </c>
      <c r="E6216" s="2" t="s">
        <v>190</v>
      </c>
    </row>
    <row r="6217" spans="1:5" x14ac:dyDescent="0.2">
      <c r="A6217">
        <v>6156</v>
      </c>
      <c r="B6217" s="138">
        <f>'Assets-Liab 5-6'!J4</f>
        <v>42828</v>
      </c>
      <c r="D6217" s="2" t="str">
        <f t="shared" si="96"/>
        <v>Error?</v>
      </c>
      <c r="E6217" s="2" t="s">
        <v>190</v>
      </c>
    </row>
    <row r="6218" spans="1:5" x14ac:dyDescent="0.2">
      <c r="A6218">
        <v>6157</v>
      </c>
      <c r="B6218" s="138">
        <f>'Assets-Liab 5-6'!J5</f>
        <v>151048</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193866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193866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193866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129633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129633</v>
      </c>
      <c r="D6229" s="2" t="str">
        <f t="shared" si="96"/>
        <v>Error?</v>
      </c>
      <c r="E6229" s="2" t="s">
        <v>190</v>
      </c>
    </row>
    <row r="6230" spans="1:5" x14ac:dyDescent="0.2">
      <c r="A6230">
        <v>6169</v>
      </c>
      <c r="B6230" s="138">
        <f>'Acct Summary 7-8'!J20</f>
        <v>64233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64233</v>
      </c>
      <c r="D6263" s="2" t="str">
        <f t="shared" si="96"/>
        <v>Error?</v>
      </c>
      <c r="E6263" s="2" t="s">
        <v>190</v>
      </c>
    </row>
    <row r="6264" spans="1:5" x14ac:dyDescent="0.2">
      <c r="A6264">
        <v>6203</v>
      </c>
      <c r="B6264" s="138">
        <f>'Acct Summary 7-8'!J79</f>
        <v>129643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193876</v>
      </c>
      <c r="D6266" s="2" t="str">
        <f t="shared" si="96"/>
        <v>Error?</v>
      </c>
      <c r="E6266" s="2" t="s">
        <v>190</v>
      </c>
    </row>
    <row r="6267" spans="1:5" x14ac:dyDescent="0.2">
      <c r="A6267">
        <v>6206</v>
      </c>
      <c r="B6267" s="138">
        <f>'Acct Summary 7-8'!C82</f>
        <v>1056153</v>
      </c>
      <c r="D6267" s="2" t="str">
        <f t="shared" si="96"/>
        <v>Error?</v>
      </c>
      <c r="E6267" s="2" t="s">
        <v>190</v>
      </c>
    </row>
    <row r="6268" spans="1:5" x14ac:dyDescent="0.2">
      <c r="A6268">
        <v>6207</v>
      </c>
      <c r="B6268" s="138">
        <f>'Acct Summary 7-8'!D82</f>
        <v>-205042</v>
      </c>
      <c r="D6268" s="2" t="str">
        <f t="shared" si="96"/>
        <v>Error?</v>
      </c>
      <c r="E6268" s="2" t="s">
        <v>190</v>
      </c>
    </row>
    <row r="6269" spans="1:5" x14ac:dyDescent="0.2">
      <c r="A6269">
        <v>6208</v>
      </c>
      <c r="B6269" s="138">
        <f>'Acct Summary 7-8'!E82</f>
        <v>13777</v>
      </c>
      <c r="D6269" s="2" t="str">
        <f t="shared" si="96"/>
        <v>Error?</v>
      </c>
      <c r="E6269" s="2" t="s">
        <v>190</v>
      </c>
    </row>
    <row r="6270" spans="1:5" x14ac:dyDescent="0.2">
      <c r="A6270">
        <v>6209</v>
      </c>
      <c r="B6270" s="138">
        <f>'Acct Summary 7-8'!F82</f>
        <v>-117482</v>
      </c>
      <c r="D6270" s="2" t="str">
        <f t="shared" si="96"/>
        <v>Error?</v>
      </c>
      <c r="E6270" s="2" t="s">
        <v>190</v>
      </c>
    </row>
    <row r="6271" spans="1:5" x14ac:dyDescent="0.2">
      <c r="A6271">
        <v>6210</v>
      </c>
      <c r="B6271" s="138">
        <f>'Acct Summary 7-8'!G82</f>
        <v>75128</v>
      </c>
      <c r="D6271" s="2" t="str">
        <f t="shared" ref="D6271:D6334" si="97">IF(ISBLANK(B6271),"OK",IF(A6271-B6271=0,"OK","Error?"))</f>
        <v>Error?</v>
      </c>
      <c r="E6271" s="2" t="s">
        <v>190</v>
      </c>
    </row>
    <row r="6272" spans="1:5" x14ac:dyDescent="0.2">
      <c r="A6272">
        <v>6211</v>
      </c>
      <c r="B6272" s="138">
        <f>'Acct Summary 7-8'!H82</f>
        <v>-17921</v>
      </c>
      <c r="D6272" s="2" t="str">
        <f t="shared" si="97"/>
        <v>Error?</v>
      </c>
      <c r="E6272" s="2" t="s">
        <v>190</v>
      </c>
    </row>
    <row r="6273" spans="1:5" x14ac:dyDescent="0.2">
      <c r="A6273">
        <v>6212</v>
      </c>
      <c r="B6273" s="138">
        <f>'Acct Summary 7-8'!I82</f>
        <v>-492889</v>
      </c>
      <c r="D6273" s="2" t="str">
        <f t="shared" si="97"/>
        <v>Error?</v>
      </c>
      <c r="E6273" s="2" t="s">
        <v>190</v>
      </c>
    </row>
    <row r="6274" spans="1:5" x14ac:dyDescent="0.2">
      <c r="A6274">
        <v>6213</v>
      </c>
      <c r="B6274" s="138">
        <f>'Acct Summary 7-8'!J82</f>
        <v>64233</v>
      </c>
      <c r="D6274" s="2" t="str">
        <f t="shared" si="97"/>
        <v>Error?</v>
      </c>
      <c r="E6274" s="2" t="s">
        <v>190</v>
      </c>
    </row>
    <row r="6275" spans="1:5" x14ac:dyDescent="0.2">
      <c r="A6275">
        <v>6214</v>
      </c>
      <c r="B6275" s="138">
        <f>'Acct Summary 7-8'!K82</f>
        <v>-796664</v>
      </c>
      <c r="D6275" s="2" t="str">
        <f t="shared" si="97"/>
        <v>Error?</v>
      </c>
      <c r="E6275" s="2" t="s">
        <v>190</v>
      </c>
    </row>
    <row r="6276" spans="1:5" x14ac:dyDescent="0.2">
      <c r="A6276">
        <v>6215</v>
      </c>
      <c r="B6276" s="138">
        <f>'Acct Summary 7-8'!C83</f>
        <v>6.2155684732243734E-2</v>
      </c>
      <c r="D6276" s="2" t="str">
        <f t="shared" si="97"/>
        <v>Error?</v>
      </c>
      <c r="E6276" s="2" t="s">
        <v>190</v>
      </c>
    </row>
    <row r="6277" spans="1:5" x14ac:dyDescent="0.2">
      <c r="A6277">
        <v>6216</v>
      </c>
      <c r="B6277" s="138">
        <f>'Acct Summary 7-8'!D83</f>
        <v>-7.3852229268162664E-2</v>
      </c>
      <c r="D6277" s="2" t="str">
        <f t="shared" si="97"/>
        <v>Error?</v>
      </c>
      <c r="E6277" s="2" t="s">
        <v>190</v>
      </c>
    </row>
    <row r="6278" spans="1:5" x14ac:dyDescent="0.2">
      <c r="A6278">
        <v>6217</v>
      </c>
      <c r="B6278" s="138">
        <f>'Acct Summary 7-8'!E83</f>
        <v>4.5415018173259429E-3</v>
      </c>
      <c r="D6278" s="2" t="str">
        <f t="shared" si="97"/>
        <v>Error?</v>
      </c>
      <c r="E6278" s="2" t="s">
        <v>190</v>
      </c>
    </row>
    <row r="6279" spans="1:5" x14ac:dyDescent="0.2">
      <c r="A6279">
        <v>6218</v>
      </c>
      <c r="B6279" s="138">
        <f>'Acct Summary 7-8'!F83</f>
        <v>-0.21957569606815178</v>
      </c>
      <c r="D6279" s="2" t="str">
        <f t="shared" si="97"/>
        <v>Error?</v>
      </c>
      <c r="E6279" s="2" t="s">
        <v>190</v>
      </c>
    </row>
    <row r="6280" spans="1:5" x14ac:dyDescent="0.2">
      <c r="A6280">
        <v>6219</v>
      </c>
      <c r="B6280" s="138">
        <f>'Acct Summary 7-8'!G83</f>
        <v>0.13947797867580577</v>
      </c>
      <c r="D6280" s="2" t="str">
        <f t="shared" si="97"/>
        <v>Error?</v>
      </c>
      <c r="E6280" s="2" t="s">
        <v>190</v>
      </c>
    </row>
    <row r="6281" spans="1:5" x14ac:dyDescent="0.2">
      <c r="A6281">
        <v>6220</v>
      </c>
      <c r="B6281" s="138">
        <f>'Acct Summary 7-8'!H83</f>
        <v>-1.0204418631135406</v>
      </c>
      <c r="D6281" s="2" t="str">
        <f t="shared" si="97"/>
        <v>Error?</v>
      </c>
      <c r="E6281" s="2" t="s">
        <v>190</v>
      </c>
    </row>
    <row r="6282" spans="1:5" x14ac:dyDescent="0.2">
      <c r="A6282">
        <v>6221</v>
      </c>
      <c r="B6282" s="138">
        <f>'Acct Summary 7-8'!I83</f>
        <v>-0.21906713275213394</v>
      </c>
      <c r="D6282" s="2" t="str">
        <f t="shared" si="97"/>
        <v>Error?</v>
      </c>
      <c r="E6282" s="2" t="s">
        <v>190</v>
      </c>
    </row>
    <row r="6283" spans="1:5" x14ac:dyDescent="0.2">
      <c r="A6283">
        <v>6222</v>
      </c>
      <c r="B6283" s="138">
        <f>'Acct Summary 7-8'!J83</f>
        <v>0.33130970310920382</v>
      </c>
      <c r="D6283" s="2" t="str">
        <f t="shared" si="97"/>
        <v>Error?</v>
      </c>
      <c r="E6283" s="2" t="s">
        <v>190</v>
      </c>
    </row>
    <row r="6284" spans="1:5" x14ac:dyDescent="0.2">
      <c r="A6284">
        <v>6223</v>
      </c>
      <c r="B6284" s="138">
        <f>'Acct Summary 7-8'!K83</f>
        <v>-0.97130692832706245</v>
      </c>
      <c r="D6284" s="2" t="str">
        <f t="shared" si="97"/>
        <v>Error?</v>
      </c>
      <c r="E6284" s="2" t="s">
        <v>190</v>
      </c>
    </row>
    <row r="6285" spans="1:5" x14ac:dyDescent="0.2">
      <c r="A6285">
        <v>6224</v>
      </c>
      <c r="B6285" s="138">
        <f>'Acct Summary 7-8'!E37</f>
        <v>79434</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1094000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191964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191964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1902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1902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10834</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193866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16277</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3736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186142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818168</v>
      </c>
      <c r="D6880" s="2" t="str">
        <f t="shared" si="106"/>
        <v>Error?</v>
      </c>
    </row>
    <row r="6881" spans="1:4" x14ac:dyDescent="0.2">
      <c r="A6881">
        <v>6820</v>
      </c>
      <c r="B6881" s="138">
        <f>'Expenditures 15-22'!K22</f>
        <v>818168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20013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1416</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1416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47616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47616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49032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1775</v>
      </c>
      <c r="D6981" s="2" t="str">
        <f t="shared" si="108"/>
        <v>Error?</v>
      </c>
    </row>
    <row r="6982" spans="1:4" x14ac:dyDescent="0.2">
      <c r="A6982">
        <v>6921</v>
      </c>
      <c r="B6982" s="138">
        <f>'Expenditures 15-22'!K85</f>
        <v>1775</v>
      </c>
      <c r="D6982" s="2" t="str">
        <f t="shared" si="108"/>
        <v>Error?</v>
      </c>
    </row>
    <row r="6983" spans="1:4" x14ac:dyDescent="0.2">
      <c r="A6983">
        <v>6922</v>
      </c>
      <c r="B6983" s="138">
        <f>'Expenditures 15-22'!H86</f>
        <v>3066784</v>
      </c>
      <c r="D6983" s="2" t="str">
        <f t="shared" si="108"/>
        <v>Error?</v>
      </c>
    </row>
    <row r="6984" spans="1:4" x14ac:dyDescent="0.2">
      <c r="A6984">
        <v>6923</v>
      </c>
      <c r="B6984" s="138">
        <f>'Expenditures 15-22'!K86</f>
        <v>3066784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3068559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69045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3558</v>
      </c>
      <c r="D7028" s="2" t="str">
        <f t="shared" si="108"/>
        <v>Error?</v>
      </c>
    </row>
    <row r="7029" spans="1:4" x14ac:dyDescent="0.2">
      <c r="A7029">
        <v>6968</v>
      </c>
      <c r="B7029" s="138">
        <f>'Expenditures 15-22'!J124</f>
        <v>11010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3558</v>
      </c>
      <c r="D7033" s="2" t="str">
        <f t="shared" si="108"/>
        <v>Error?</v>
      </c>
    </row>
    <row r="7034" spans="1:4" x14ac:dyDescent="0.2">
      <c r="A7034">
        <v>6973</v>
      </c>
      <c r="B7034" s="138">
        <f>'Expenditures 15-22'!J127</f>
        <v>11010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3558</v>
      </c>
      <c r="D7037" s="2" t="str">
        <f t="shared" si="108"/>
        <v>Error?</v>
      </c>
    </row>
    <row r="7038" spans="1:4" x14ac:dyDescent="0.2">
      <c r="A7038">
        <v>6977</v>
      </c>
      <c r="B7038" s="138">
        <f>'Expenditures 15-22'!J129</f>
        <v>11010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129633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3558</v>
      </c>
      <c r="D7051" s="2" t="str">
        <f t="shared" si="109"/>
        <v>Error?</v>
      </c>
    </row>
    <row r="7052" spans="1:5" x14ac:dyDescent="0.2">
      <c r="A7052">
        <v>6991</v>
      </c>
      <c r="B7052" s="138">
        <f>'Expenditures 15-22'!J151</f>
        <v>11010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193866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5723</v>
      </c>
      <c r="D7075" s="2" t="str">
        <f t="shared" si="109"/>
        <v>Error?</v>
      </c>
    </row>
    <row r="7076" spans="1:4" x14ac:dyDescent="0.2">
      <c r="A7076">
        <v>7015</v>
      </c>
      <c r="B7076" s="138">
        <f>'Expenditures 15-22'!K218</f>
        <v>5723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52592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52592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77041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77041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129633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129633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129633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129633</v>
      </c>
      <c r="D7224" s="2" t="str">
        <f t="shared" si="111"/>
        <v>Error?</v>
      </c>
    </row>
    <row r="7225" spans="1:4" x14ac:dyDescent="0.2">
      <c r="A7225">
        <v>7164</v>
      </c>
      <c r="B7225" s="138">
        <f>'Expenditures 15-22'!K343</f>
        <v>64233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153715</v>
      </c>
      <c r="D7251" s="2" t="str">
        <f t="shared" si="112"/>
        <v>Error?</v>
      </c>
    </row>
    <row r="7252" spans="1:4" x14ac:dyDescent="0.2">
      <c r="A7252">
        <f t="shared" si="113"/>
        <v>7191</v>
      </c>
      <c r="B7252" s="138">
        <f>'Expenditures 15-22'!D9</f>
        <v>15591</v>
      </c>
      <c r="D7252" s="2" t="str">
        <f t="shared" si="112"/>
        <v>Error?</v>
      </c>
    </row>
    <row r="7253" spans="1:4" x14ac:dyDescent="0.2">
      <c r="A7253">
        <f t="shared" si="113"/>
        <v>7192</v>
      </c>
      <c r="B7253" s="138">
        <f>'Expenditures 15-22'!E9</f>
        <v>2171</v>
      </c>
      <c r="D7253" s="2" t="str">
        <f t="shared" si="112"/>
        <v>Error?</v>
      </c>
    </row>
    <row r="7254" spans="1:4" x14ac:dyDescent="0.2">
      <c r="A7254">
        <f t="shared" si="113"/>
        <v>7193</v>
      </c>
      <c r="B7254" s="138">
        <f>'Expenditures 15-22'!F9</f>
        <v>14665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72603</v>
      </c>
      <c r="D7624" s="2" t="str">
        <f t="shared" si="124"/>
        <v>Error?</v>
      </c>
      <c r="E7624" s="2" t="s">
        <v>19</v>
      </c>
    </row>
    <row r="7625" spans="1:5" x14ac:dyDescent="0.2">
      <c r="A7625">
        <f t="shared" si="123"/>
        <v>7564</v>
      </c>
      <c r="B7625" s="138">
        <f>'Cap Outlay Deprec 26'!I17</f>
        <v>7260.3</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1133433.3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79434</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1094000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76190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500000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3798005</v>
      </c>
      <c r="D7797" s="2" t="str">
        <f t="shared" si="127"/>
        <v>Error?</v>
      </c>
      <c r="E7797" s="4" t="s">
        <v>1901</v>
      </c>
    </row>
    <row r="7798" spans="1:5" x14ac:dyDescent="0.2">
      <c r="A7798">
        <v>7737</v>
      </c>
      <c r="B7798" s="138">
        <f>'Contracts Paid in CY 29'!F141</f>
        <v>300000</v>
      </c>
      <c r="D7798" s="2" t="str">
        <f t="shared" si="127"/>
        <v>Error?</v>
      </c>
      <c r="E7798" s="4" t="s">
        <v>1901</v>
      </c>
    </row>
    <row r="7799" spans="1:5" x14ac:dyDescent="0.2">
      <c r="A7799">
        <v>7738</v>
      </c>
      <c r="B7799" s="138">
        <f>'Contracts Paid in CY 29'!G141</f>
        <v>3498005</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22" zoomScale="110" zoomScaleNormal="110" workbookViewId="0">
      <selection activeCell="B43" sqref="B43"/>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81" t="s">
        <v>1191</v>
      </c>
      <c r="B2" s="2481"/>
      <c r="C2" s="2481"/>
      <c r="D2" s="2481"/>
      <c r="E2" s="2481"/>
      <c r="F2" s="2481"/>
      <c r="G2" s="2481"/>
      <c r="H2" s="2481"/>
      <c r="I2" s="2481"/>
      <c r="J2" s="2481"/>
      <c r="K2" s="2481"/>
      <c r="L2" s="2481"/>
    </row>
    <row r="3" spans="1:29" ht="13.5" customHeight="1" x14ac:dyDescent="0.2">
      <c r="A3" s="2467" t="s">
        <v>1190</v>
      </c>
      <c r="B3" s="2467"/>
      <c r="C3" s="2467"/>
      <c r="D3" s="2467"/>
      <c r="E3" s="2467"/>
      <c r="F3" s="2467"/>
      <c r="G3" s="2467"/>
      <c r="H3" s="2467"/>
      <c r="I3" s="2467"/>
      <c r="J3" s="2467"/>
      <c r="K3" s="2467"/>
      <c r="L3" s="2467"/>
    </row>
    <row r="4" spans="1:29" ht="13.5" customHeight="1" x14ac:dyDescent="0.2">
      <c r="A4" s="2481" t="s">
        <v>1986</v>
      </c>
      <c r="B4" s="2498"/>
      <c r="C4" s="2498"/>
      <c r="D4" s="2498"/>
      <c r="E4" s="2498"/>
      <c r="F4" s="2498"/>
      <c r="G4" s="2498"/>
      <c r="H4" s="2498"/>
      <c r="I4" s="2498"/>
      <c r="J4" s="2498"/>
      <c r="K4" s="2498"/>
      <c r="L4" s="2498"/>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1189</v>
      </c>
      <c r="B6" s="1158"/>
      <c r="C6" s="1159"/>
      <c r="D6" s="1159"/>
      <c r="E6" s="1160" t="s">
        <v>1188</v>
      </c>
      <c r="F6" s="1161"/>
      <c r="G6" s="1162" t="s">
        <v>1187</v>
      </c>
      <c r="H6" s="1159"/>
      <c r="I6" s="1159"/>
      <c r="J6" s="1159"/>
      <c r="K6" s="1159"/>
      <c r="L6" s="1163"/>
      <c r="V6" s="1156"/>
      <c r="W6" s="1156"/>
      <c r="X6" s="1156"/>
      <c r="Y6" s="1156"/>
      <c r="Z6" s="1156"/>
      <c r="AA6" s="1156"/>
      <c r="AB6" s="1156"/>
      <c r="AC6" s="1156"/>
    </row>
    <row r="7" spans="1:29" ht="16.5" customHeight="1" x14ac:dyDescent="0.2">
      <c r="A7" s="2461" t="str">
        <f>COVER!A17</f>
        <v>Lake Villa CCSD 41</v>
      </c>
      <c r="B7" s="2462"/>
      <c r="C7" s="2462"/>
      <c r="D7" s="2499"/>
      <c r="E7" s="2500">
        <f>COVER!A13</f>
        <v>34049041004</v>
      </c>
      <c r="F7" s="2501"/>
      <c r="G7" s="2468" t="str">
        <f>COVER!T23</f>
        <v>066-005142</v>
      </c>
      <c r="H7" s="2469"/>
      <c r="I7" s="2469"/>
      <c r="J7" s="2469"/>
      <c r="K7" s="2469"/>
      <c r="L7" s="2470"/>
    </row>
    <row r="8" spans="1:29" ht="13.5" customHeight="1" x14ac:dyDescent="0.2">
      <c r="A8" s="1157" t="s">
        <v>1517</v>
      </c>
      <c r="B8" s="1158"/>
      <c r="C8" s="1159"/>
      <c r="D8" s="1159"/>
      <c r="E8" s="1164"/>
      <c r="F8" s="1163"/>
      <c r="G8" s="1165" t="s">
        <v>1186</v>
      </c>
      <c r="H8" s="1166"/>
      <c r="I8" s="1166"/>
      <c r="J8" s="1166"/>
      <c r="K8" s="1166"/>
      <c r="L8" s="1167"/>
    </row>
    <row r="9" spans="1:29" ht="13.5" customHeight="1" x14ac:dyDescent="0.2">
      <c r="A9" s="2471"/>
      <c r="B9" s="2472"/>
      <c r="C9" s="2472"/>
      <c r="D9" s="2472"/>
      <c r="E9" s="2472"/>
      <c r="F9" s="2473"/>
      <c r="G9" s="2474" t="str">
        <f>COVER!T13</f>
        <v>EDER, CASELLA &amp; CO.</v>
      </c>
      <c r="H9" s="2475"/>
      <c r="I9" s="2475"/>
      <c r="J9" s="2475"/>
      <c r="K9" s="2475"/>
      <c r="L9" s="2476"/>
    </row>
    <row r="10" spans="1:29" ht="13.5" customHeight="1" x14ac:dyDescent="0.2">
      <c r="A10" s="2458">
        <f>COVER!A38</f>
        <v>0</v>
      </c>
      <c r="B10" s="2459"/>
      <c r="C10" s="2459"/>
      <c r="D10" s="2459"/>
      <c r="E10" s="2459"/>
      <c r="F10" s="2460"/>
      <c r="G10" s="2474" t="str">
        <f>COVER!T17</f>
        <v>5400 WEST ELM STREET, SUITE 203</v>
      </c>
      <c r="H10" s="2487"/>
      <c r="I10" s="2487"/>
      <c r="J10" s="2487"/>
      <c r="K10" s="2487"/>
      <c r="L10" s="2488"/>
    </row>
    <row r="11" spans="1:29" ht="13.5" customHeight="1" x14ac:dyDescent="0.2">
      <c r="A11" s="1157" t="s">
        <v>1519</v>
      </c>
      <c r="B11" s="1158"/>
      <c r="C11" s="1159"/>
      <c r="D11" s="1164"/>
      <c r="E11" s="1159"/>
      <c r="F11" s="1163"/>
      <c r="G11" s="2474" t="str">
        <f>COVER!T19</f>
        <v>MCHENRY</v>
      </c>
      <c r="H11" s="2487"/>
      <c r="I11" s="2487"/>
      <c r="J11" s="2487"/>
      <c r="K11" s="2487"/>
      <c r="L11" s="2488"/>
    </row>
    <row r="12" spans="1:29" ht="13.5" customHeight="1" x14ac:dyDescent="0.2">
      <c r="A12" s="2492" t="s">
        <v>1518</v>
      </c>
      <c r="B12" s="2493"/>
      <c r="C12" s="2493"/>
      <c r="D12" s="2493"/>
      <c r="E12" s="2493"/>
      <c r="F12" s="2494"/>
      <c r="G12" s="2489"/>
      <c r="H12" s="2490"/>
      <c r="I12" s="2490"/>
      <c r="J12" s="2490"/>
      <c r="K12" s="2490"/>
      <c r="L12" s="2491"/>
    </row>
    <row r="13" spans="1:29" ht="13.5" customHeight="1" x14ac:dyDescent="0.2">
      <c r="A13" s="2474"/>
      <c r="B13" s="2487"/>
      <c r="C13" s="2487"/>
      <c r="D13" s="2487"/>
      <c r="E13" s="2487"/>
      <c r="F13" s="2488"/>
      <c r="G13" s="2482" t="s">
        <v>1520</v>
      </c>
      <c r="H13" s="2483"/>
      <c r="I13" s="2495" t="str">
        <f>COVER!T25</f>
        <v>CPAS@EDERCASELLA.COM</v>
      </c>
      <c r="J13" s="2496"/>
      <c r="K13" s="2496"/>
      <c r="L13" s="2497"/>
    </row>
    <row r="14" spans="1:29" ht="13.5" customHeight="1" x14ac:dyDescent="0.2">
      <c r="A14" s="2474" t="str">
        <f>COVER!A19</f>
        <v>131 MCKINLEY AVENUE</v>
      </c>
      <c r="B14" s="2487"/>
      <c r="C14" s="2487"/>
      <c r="D14" s="2487"/>
      <c r="E14" s="2487"/>
      <c r="F14" s="2488"/>
      <c r="G14" s="1168" t="s">
        <v>1185</v>
      </c>
      <c r="H14" s="1166"/>
      <c r="I14" s="1166"/>
      <c r="J14" s="1166"/>
      <c r="K14" s="1166"/>
      <c r="L14" s="1167"/>
    </row>
    <row r="15" spans="1:29" ht="13.5" customHeight="1" x14ac:dyDescent="0.2">
      <c r="A15" s="2474" t="str">
        <f>COVER!A21</f>
        <v>LAKE VILLA</v>
      </c>
      <c r="B15" s="2487"/>
      <c r="C15" s="2487"/>
      <c r="D15" s="2487"/>
      <c r="E15" s="2487"/>
      <c r="F15" s="2488"/>
      <c r="G15" s="2484" t="str">
        <f>COVER!T15</f>
        <v>CHERYDEN JUERGENSEN</v>
      </c>
      <c r="H15" s="2485"/>
      <c r="I15" s="2485"/>
      <c r="J15" s="2485"/>
      <c r="K15" s="2485"/>
      <c r="L15" s="2486"/>
    </row>
    <row r="16" spans="1:29" ht="12.2" customHeight="1" x14ac:dyDescent="0.2">
      <c r="A16" s="2464">
        <f>COVER!A25</f>
        <v>60046</v>
      </c>
      <c r="B16" s="2465"/>
      <c r="C16" s="2465"/>
      <c r="D16" s="2465"/>
      <c r="E16" s="2465"/>
      <c r="F16" s="2466"/>
      <c r="G16" s="2477"/>
      <c r="H16" s="2478"/>
      <c r="I16" s="2478"/>
      <c r="J16" s="2478"/>
      <c r="K16" s="2478"/>
      <c r="L16" s="2479"/>
    </row>
    <row r="17" spans="1:13" ht="12.2" customHeight="1" x14ac:dyDescent="0.2">
      <c r="A17" s="2480"/>
      <c r="B17" s="2465"/>
      <c r="C17" s="2465"/>
      <c r="D17" s="2465"/>
      <c r="E17" s="2465"/>
      <c r="F17" s="2466"/>
      <c r="G17" s="1168" t="s">
        <v>1184</v>
      </c>
      <c r="H17" s="1166"/>
      <c r="I17" s="1166"/>
      <c r="J17" s="1166"/>
      <c r="K17" s="1170" t="s">
        <v>1183</v>
      </c>
      <c r="L17" s="1163"/>
      <c r="M17" s="1156"/>
    </row>
    <row r="18" spans="1:13" ht="12.2" customHeight="1" x14ac:dyDescent="0.2">
      <c r="A18" s="2458"/>
      <c r="B18" s="2459"/>
      <c r="C18" s="2459"/>
      <c r="D18" s="2459"/>
      <c r="E18" s="2459"/>
      <c r="F18" s="2460"/>
      <c r="G18" s="2461" t="str">
        <f>COVER!T21</f>
        <v>815-344-1300</v>
      </c>
      <c r="H18" s="2462"/>
      <c r="I18" s="2462"/>
      <c r="J18" s="2462"/>
      <c r="K18" s="2461" t="str">
        <f>COVER!X21</f>
        <v>815-344-1320</v>
      </c>
      <c r="L18" s="2463"/>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1169</v>
      </c>
      <c r="K20" s="1149" t="s">
        <v>1169</v>
      </c>
    </row>
    <row r="21" spans="1:13" ht="12.2" customHeight="1" x14ac:dyDescent="0.2">
      <c r="A21" s="1172" t="s">
        <v>1698</v>
      </c>
    </row>
    <row r="22" spans="1:13" ht="12.2" customHeight="1" x14ac:dyDescent="0.2">
      <c r="A22" s="1173"/>
    </row>
    <row r="23" spans="1:13" ht="12.2" customHeight="1" x14ac:dyDescent="0.2">
      <c r="A23" s="1173"/>
      <c r="B23" s="1174" t="s">
        <v>2149</v>
      </c>
      <c r="C23" s="1175" t="s">
        <v>1182</v>
      </c>
    </row>
    <row r="24" spans="1:13" ht="10.15" customHeight="1" x14ac:dyDescent="0.2">
      <c r="A24" s="1173"/>
      <c r="C24" s="1175" t="s">
        <v>1181</v>
      </c>
    </row>
    <row r="25" spans="1:13" ht="9" customHeight="1" x14ac:dyDescent="0.2">
      <c r="B25" s="1176" t="s">
        <v>1169</v>
      </c>
      <c r="C25" s="1177"/>
    </row>
    <row r="26" spans="1:13" s="1171" customFormat="1" ht="12.2" customHeight="1" x14ac:dyDescent="0.2">
      <c r="B26" s="1174" t="s">
        <v>2149</v>
      </c>
      <c r="C26" s="1175" t="s">
        <v>1699</v>
      </c>
    </row>
    <row r="27" spans="1:13" s="1171" customFormat="1" ht="9" customHeight="1" x14ac:dyDescent="0.2">
      <c r="B27" s="1176"/>
      <c r="C27" s="1175"/>
    </row>
    <row r="28" spans="1:13" s="1171" customFormat="1" ht="12.2" customHeight="1" x14ac:dyDescent="0.2">
      <c r="A28" s="1178"/>
      <c r="B28" s="1174" t="s">
        <v>2149</v>
      </c>
      <c r="C28" s="1175" t="s">
        <v>1700</v>
      </c>
    </row>
    <row r="29" spans="1:13" s="1171" customFormat="1" ht="9" customHeight="1" x14ac:dyDescent="0.2">
      <c r="A29" s="1178"/>
      <c r="B29" s="1176"/>
      <c r="C29" s="1175"/>
    </row>
    <row r="30" spans="1:13" s="1171" customFormat="1" ht="12.2" customHeight="1" x14ac:dyDescent="0.2">
      <c r="B30" s="1174" t="s">
        <v>2149</v>
      </c>
      <c r="C30" s="1175" t="s">
        <v>1562</v>
      </c>
      <c r="D30" s="1169"/>
      <c r="E30" s="1169"/>
    </row>
    <row r="31" spans="1:13" s="1171" customFormat="1" ht="9" customHeight="1" x14ac:dyDescent="0.2">
      <c r="B31" s="1176"/>
      <c r="C31" s="1175"/>
      <c r="D31" s="1169"/>
      <c r="E31" s="1169"/>
    </row>
    <row r="32" spans="1:13" s="1171" customFormat="1" ht="12.2" customHeight="1" x14ac:dyDescent="0.2">
      <c r="B32" s="1174" t="s">
        <v>2149</v>
      </c>
      <c r="C32" s="1175" t="s">
        <v>1563</v>
      </c>
      <c r="D32" s="1169"/>
      <c r="E32" s="1169"/>
    </row>
    <row r="33" spans="1:8" s="1171" customFormat="1" ht="10.9" customHeight="1" x14ac:dyDescent="0.2">
      <c r="B33" s="1176"/>
      <c r="C33" s="1179" t="s">
        <v>1701</v>
      </c>
      <c r="D33" s="1169"/>
      <c r="E33" s="1169"/>
    </row>
    <row r="34" spans="1:8" ht="9" customHeight="1" x14ac:dyDescent="0.2">
      <c r="B34" s="1176"/>
      <c r="C34" s="1179"/>
    </row>
    <row r="35" spans="1:8" s="1171" customFormat="1" ht="13.5" customHeight="1" x14ac:dyDescent="0.2">
      <c r="B35" s="1174" t="s">
        <v>2149</v>
      </c>
      <c r="C35" s="1175" t="s">
        <v>1564</v>
      </c>
    </row>
    <row r="36" spans="1:8" s="1171" customFormat="1" ht="10.9" customHeight="1" x14ac:dyDescent="0.2">
      <c r="B36" s="1176"/>
      <c r="C36" s="1179" t="s">
        <v>1565</v>
      </c>
    </row>
    <row r="37" spans="1:8" ht="9" customHeight="1" x14ac:dyDescent="0.2">
      <c r="B37" s="1176"/>
      <c r="C37" s="1179"/>
    </row>
    <row r="38" spans="1:8" s="1171" customFormat="1" ht="12.2" customHeight="1" x14ac:dyDescent="0.2">
      <c r="B38" s="1174" t="s">
        <v>2149</v>
      </c>
      <c r="C38" s="1175" t="s">
        <v>1566</v>
      </c>
    </row>
    <row r="39" spans="1:8" ht="9" customHeight="1" x14ac:dyDescent="0.2">
      <c r="B39" s="1176"/>
      <c r="C39" s="1179"/>
    </row>
    <row r="40" spans="1:8" s="1171" customFormat="1" ht="13.5" customHeight="1" x14ac:dyDescent="0.2">
      <c r="B40" s="1174" t="s">
        <v>2149</v>
      </c>
      <c r="C40" s="1175" t="s">
        <v>1567</v>
      </c>
    </row>
    <row r="41" spans="1:8" ht="9" customHeight="1" x14ac:dyDescent="0.2">
      <c r="A41" s="1180"/>
      <c r="B41" s="1176"/>
      <c r="C41" s="1179"/>
    </row>
    <row r="42" spans="1:8" s="1171" customFormat="1" ht="13.5" customHeight="1" x14ac:dyDescent="0.2">
      <c r="B42" s="1174" t="s">
        <v>2149</v>
      </c>
      <c r="C42" s="1175" t="s">
        <v>1833</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1180</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1568</v>
      </c>
      <c r="D46" s="1169"/>
      <c r="E46" s="1169"/>
      <c r="F46" s="1169"/>
      <c r="G46" s="1169"/>
      <c r="H46" s="1169"/>
    </row>
    <row r="47" spans="1:8" ht="9" customHeight="1" x14ac:dyDescent="0.2"/>
    <row r="48" spans="1:8" ht="12.2" customHeight="1" x14ac:dyDescent="0.2">
      <c r="B48" s="1910"/>
      <c r="C48" s="1183" t="s">
        <v>1569</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67" zoomScale="125" zoomScaleNormal="125" workbookViewId="0">
      <selection activeCell="B11" sqref="B11"/>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502" t="str">
        <f>'Single Audit Cover'!A7</f>
        <v>Lake Villa CCSD 41</v>
      </c>
      <c r="B1" s="2498"/>
      <c r="C1" s="2498"/>
      <c r="D1" s="2498"/>
    </row>
    <row r="2" spans="1:11" s="1185" customFormat="1" ht="12.75" x14ac:dyDescent="0.2">
      <c r="A2" s="2503">
        <f>'Single Audit Cover'!E7</f>
        <v>34049041004</v>
      </c>
      <c r="B2" s="2504"/>
      <c r="C2" s="2504"/>
      <c r="D2" s="2504"/>
    </row>
    <row r="3" spans="1:11" s="1185" customFormat="1" ht="12.75" x14ac:dyDescent="0.2">
      <c r="A3" s="2502" t="s">
        <v>1513</v>
      </c>
      <c r="B3" s="2498"/>
      <c r="C3" s="2498"/>
      <c r="D3" s="2498"/>
    </row>
    <row r="4" spans="1:11" s="1185" customFormat="1" ht="4.5" customHeight="1" x14ac:dyDescent="0.2">
      <c r="A4" s="1186"/>
      <c r="B4" s="1187"/>
      <c r="C4" s="1187"/>
      <c r="D4" s="1187"/>
    </row>
    <row r="5" spans="1:11" x14ac:dyDescent="0.2">
      <c r="B5" s="1189" t="s">
        <v>1514</v>
      </c>
      <c r="C5" s="1190"/>
      <c r="D5" s="1191"/>
    </row>
    <row r="6" spans="1:11" x14ac:dyDescent="0.2">
      <c r="B6" s="1189" t="s">
        <v>1225</v>
      </c>
      <c r="C6" s="1190"/>
      <c r="D6" s="1191"/>
    </row>
    <row r="7" spans="1:11" x14ac:dyDescent="0.2">
      <c r="B7" s="1189" t="s">
        <v>1515</v>
      </c>
      <c r="C7" s="1190"/>
      <c r="D7" s="1191"/>
    </row>
    <row r="8" spans="1:11" ht="4.5" customHeight="1" x14ac:dyDescent="0.2">
      <c r="B8" s="1189"/>
      <c r="C8" s="1190"/>
      <c r="D8" s="1191"/>
    </row>
    <row r="9" spans="1:11" x14ac:dyDescent="0.2">
      <c r="B9" s="1193" t="s">
        <v>1224</v>
      </c>
      <c r="C9" s="1194"/>
      <c r="D9" s="1191"/>
    </row>
    <row r="10" spans="1:11" ht="4.5" customHeight="1" x14ac:dyDescent="0.2">
      <c r="B10" s="1193"/>
      <c r="C10" s="1194"/>
      <c r="D10" s="1191"/>
    </row>
    <row r="11" spans="1:11" x14ac:dyDescent="0.2">
      <c r="B11" s="1195"/>
      <c r="C11" s="1196">
        <v>1</v>
      </c>
      <c r="D11" s="1197" t="s">
        <v>1702</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1703</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1704</v>
      </c>
      <c r="E15" s="1198"/>
      <c r="F15" s="1198"/>
      <c r="G15" s="1198"/>
      <c r="H15" s="1198"/>
      <c r="I15" s="1198"/>
      <c r="J15" s="1198"/>
      <c r="K15" s="1198"/>
    </row>
    <row r="16" spans="1:11" ht="10.5" customHeight="1" x14ac:dyDescent="0.2">
      <c r="B16" s="1201"/>
      <c r="D16" s="1200" t="s">
        <v>1223</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1705</v>
      </c>
      <c r="E18" s="1198"/>
      <c r="F18" s="1198"/>
      <c r="G18" s="1198"/>
      <c r="H18" s="1198"/>
      <c r="I18" s="1198"/>
      <c r="J18" s="1198"/>
      <c r="K18" s="1198"/>
    </row>
    <row r="19" spans="1:11" ht="9.75" customHeight="1" x14ac:dyDescent="0.2">
      <c r="A19" s="1192"/>
      <c r="B19" s="1201"/>
      <c r="D19" s="1200" t="s">
        <v>1222</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1221</v>
      </c>
      <c r="E21" s="1198"/>
      <c r="F21" s="1198"/>
      <c r="G21" s="1198"/>
      <c r="H21" s="1198"/>
      <c r="I21" s="1198"/>
      <c r="J21" s="1198"/>
      <c r="K21" s="1198"/>
    </row>
    <row r="22" spans="1:11" ht="10.5" customHeight="1" x14ac:dyDescent="0.2">
      <c r="A22" s="1192"/>
      <c r="B22" s="1201"/>
      <c r="D22" s="1200" t="s">
        <v>1220</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1726</v>
      </c>
      <c r="E24" s="1198"/>
      <c r="F24" s="1198"/>
      <c r="G24" s="1198"/>
      <c r="H24" s="1198"/>
      <c r="I24" s="1198"/>
      <c r="J24" s="1198"/>
      <c r="K24" s="1198"/>
    </row>
    <row r="25" spans="1:11" x14ac:dyDescent="0.2">
      <c r="A25" s="1192"/>
      <c r="B25" s="1201"/>
      <c r="D25" s="1200" t="s">
        <v>1706</v>
      </c>
      <c r="E25" s="1198"/>
      <c r="F25" s="1198"/>
      <c r="G25" s="1198"/>
      <c r="H25" s="1198"/>
      <c r="I25" s="1198"/>
      <c r="J25" s="1198"/>
      <c r="K25" s="1198"/>
    </row>
    <row r="26" spans="1:11" x14ac:dyDescent="0.2">
      <c r="A26" s="1192"/>
      <c r="B26" s="1201"/>
      <c r="D26" s="1205" t="s">
        <v>1707</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1570</v>
      </c>
      <c r="E28" s="1198"/>
      <c r="F28" s="1198"/>
      <c r="G28" s="1198"/>
      <c r="H28" s="1198"/>
      <c r="I28" s="1198"/>
      <c r="J28" s="1198"/>
      <c r="K28" s="1198"/>
    </row>
    <row r="29" spans="1:11" ht="10.5" customHeight="1" x14ac:dyDescent="0.2">
      <c r="A29" s="1192"/>
      <c r="D29" s="1206" t="s">
        <v>1571</v>
      </c>
    </row>
    <row r="30" spans="1:11" ht="6" customHeight="1" x14ac:dyDescent="0.2">
      <c r="A30" s="1192"/>
      <c r="D30" s="1191"/>
    </row>
    <row r="31" spans="1:11" x14ac:dyDescent="0.2">
      <c r="A31" s="1192"/>
      <c r="B31" s="1193" t="s">
        <v>1219</v>
      </c>
      <c r="C31" s="1194"/>
      <c r="D31" s="1191"/>
    </row>
    <row r="32" spans="1:11" ht="4.5" customHeight="1" x14ac:dyDescent="0.2">
      <c r="A32" s="1192"/>
      <c r="B32" s="1193"/>
      <c r="C32" s="1194"/>
      <c r="D32" s="1191"/>
    </row>
    <row r="33" spans="1:5" x14ac:dyDescent="0.2">
      <c r="A33" s="1192"/>
      <c r="B33" s="1195"/>
      <c r="C33" s="1196">
        <v>8</v>
      </c>
      <c r="D33" s="1207" t="s">
        <v>1218</v>
      </c>
    </row>
    <row r="34" spans="1:5" ht="10.5" customHeight="1" x14ac:dyDescent="0.2">
      <c r="A34" s="1192"/>
      <c r="B34" s="1208"/>
      <c r="C34" s="1196"/>
      <c r="D34" s="1207" t="s">
        <v>1572</v>
      </c>
    </row>
    <row r="35" spans="1:5" ht="3" customHeight="1" x14ac:dyDescent="0.2">
      <c r="A35" s="1192"/>
      <c r="B35" s="1201"/>
      <c r="D35" s="1191"/>
    </row>
    <row r="36" spans="1:5" x14ac:dyDescent="0.2">
      <c r="A36" s="1192"/>
      <c r="B36" s="1195"/>
      <c r="C36" s="1196">
        <f>C33+1</f>
        <v>9</v>
      </c>
      <c r="D36" s="1207" t="s">
        <v>1217</v>
      </c>
    </row>
    <row r="37" spans="1:5" ht="10.5" customHeight="1" x14ac:dyDescent="0.2">
      <c r="A37" s="1192"/>
      <c r="B37" s="1201"/>
      <c r="D37" s="1207" t="s">
        <v>1572</v>
      </c>
    </row>
    <row r="38" spans="1:5" ht="3" customHeight="1" x14ac:dyDescent="0.2">
      <c r="A38" s="1192"/>
      <c r="B38" s="1209"/>
      <c r="C38" s="1210"/>
      <c r="D38" s="1191"/>
    </row>
    <row r="39" spans="1:5" x14ac:dyDescent="0.2">
      <c r="A39" s="1192"/>
      <c r="B39" s="1211"/>
      <c r="C39" s="1202">
        <f>C36+1</f>
        <v>10</v>
      </c>
      <c r="D39" s="1191" t="s">
        <v>1216</v>
      </c>
    </row>
    <row r="40" spans="1:5" ht="10.5" customHeight="1" x14ac:dyDescent="0.2">
      <c r="A40" s="1192"/>
      <c r="B40" s="1212"/>
      <c r="C40" s="1210"/>
      <c r="D40" s="1191" t="s">
        <v>1573</v>
      </c>
    </row>
    <row r="41" spans="1:5" ht="3" customHeight="1" x14ac:dyDescent="0.2">
      <c r="A41" s="1192"/>
      <c r="B41" s="1209"/>
      <c r="C41" s="1210"/>
      <c r="D41" s="1191"/>
    </row>
    <row r="42" spans="1:5" ht="10.5" customHeight="1" x14ac:dyDescent="0.2">
      <c r="A42" s="1192"/>
      <c r="B42" s="1211"/>
      <c r="C42" s="1202">
        <v>11</v>
      </c>
      <c r="D42" s="1213" t="s">
        <v>1574</v>
      </c>
      <c r="E42" s="312"/>
    </row>
    <row r="43" spans="1:5" ht="3" customHeight="1" x14ac:dyDescent="0.2">
      <c r="A43" s="1192"/>
      <c r="B43" s="1209"/>
      <c r="C43" s="1210"/>
      <c r="D43" s="1191"/>
    </row>
    <row r="44" spans="1:5" x14ac:dyDescent="0.2">
      <c r="A44" s="1192"/>
      <c r="B44" s="1195"/>
      <c r="C44" s="1196">
        <f>C42+1</f>
        <v>12</v>
      </c>
      <c r="D44" s="1207" t="s">
        <v>1215</v>
      </c>
    </row>
    <row r="45" spans="1:5" ht="10.5" customHeight="1" x14ac:dyDescent="0.2">
      <c r="A45" s="1192"/>
      <c r="B45" s="1208"/>
      <c r="C45" s="1196"/>
      <c r="D45" s="1207" t="s">
        <v>1214</v>
      </c>
    </row>
    <row r="46" spans="1:5" ht="10.5" customHeight="1" x14ac:dyDescent="0.2">
      <c r="A46" s="1192"/>
      <c r="B46" s="1209"/>
      <c r="C46" s="1210"/>
      <c r="D46" s="1207" t="s">
        <v>1213</v>
      </c>
    </row>
    <row r="47" spans="1:5" ht="3" customHeight="1" x14ac:dyDescent="0.2">
      <c r="A47" s="1192"/>
      <c r="B47" s="1209"/>
      <c r="C47" s="1210"/>
      <c r="D47" s="1207"/>
    </row>
    <row r="48" spans="1:5" x14ac:dyDescent="0.2">
      <c r="A48" s="1192"/>
      <c r="B48" s="1195"/>
      <c r="C48" s="1196">
        <f>C44+1</f>
        <v>13</v>
      </c>
      <c r="D48" s="1207" t="s">
        <v>1575</v>
      </c>
    </row>
    <row r="49" spans="1:4" ht="3" customHeight="1" x14ac:dyDescent="0.2">
      <c r="A49" s="1192"/>
      <c r="B49" s="1199"/>
      <c r="C49" s="1196"/>
      <c r="D49" s="1207"/>
    </row>
    <row r="50" spans="1:4" x14ac:dyDescent="0.2">
      <c r="A50" s="1192"/>
      <c r="B50" s="1195"/>
      <c r="C50" s="1196">
        <f>C48+1</f>
        <v>14</v>
      </c>
      <c r="D50" s="1207" t="s">
        <v>1212</v>
      </c>
    </row>
    <row r="51" spans="1:4" ht="3" customHeight="1" x14ac:dyDescent="0.2">
      <c r="A51" s="1192"/>
      <c r="B51" s="1199"/>
      <c r="C51" s="1196"/>
      <c r="D51" s="1207"/>
    </row>
    <row r="52" spans="1:4" x14ac:dyDescent="0.2">
      <c r="A52" s="1192"/>
      <c r="B52" s="1195"/>
      <c r="C52" s="1196">
        <f>C50+1</f>
        <v>15</v>
      </c>
      <c r="D52" s="1207" t="s">
        <v>1211</v>
      </c>
    </row>
    <row r="53" spans="1:4" ht="3" customHeight="1" x14ac:dyDescent="0.2">
      <c r="A53" s="1192"/>
      <c r="B53" s="1199"/>
      <c r="C53" s="1196"/>
      <c r="D53" s="1207"/>
    </row>
    <row r="54" spans="1:4" x14ac:dyDescent="0.2">
      <c r="A54" s="1192"/>
      <c r="B54" s="1195"/>
      <c r="C54" s="1196">
        <f>C52+1</f>
        <v>16</v>
      </c>
      <c r="D54" s="1207" t="s">
        <v>1210</v>
      </c>
    </row>
    <row r="55" spans="1:4" ht="3" customHeight="1" x14ac:dyDescent="0.2">
      <c r="A55" s="1192"/>
      <c r="B55" s="1199"/>
      <c r="C55" s="1196"/>
      <c r="D55" s="1207"/>
    </row>
    <row r="56" spans="1:4" x14ac:dyDescent="0.2">
      <c r="A56" s="1192"/>
      <c r="B56" s="1195"/>
      <c r="C56" s="1196">
        <f>C54+1</f>
        <v>17</v>
      </c>
      <c r="D56" s="1191" t="s">
        <v>1708</v>
      </c>
    </row>
    <row r="57" spans="1:4" ht="10.5" customHeight="1" x14ac:dyDescent="0.2">
      <c r="A57" s="1192"/>
      <c r="D57" s="1207" t="s">
        <v>1709</v>
      </c>
    </row>
    <row r="58" spans="1:4" x14ac:dyDescent="0.2">
      <c r="A58" s="1192"/>
      <c r="C58" s="1214"/>
      <c r="D58" s="1207" t="s">
        <v>1710</v>
      </c>
    </row>
    <row r="59" spans="1:4" ht="10.5" customHeight="1" x14ac:dyDescent="0.2">
      <c r="A59" s="1192"/>
      <c r="D59" s="1191" t="s">
        <v>1209</v>
      </c>
    </row>
    <row r="60" spans="1:4" ht="10.5" customHeight="1" x14ac:dyDescent="0.2">
      <c r="A60" s="1192"/>
      <c r="D60" s="1215" t="s">
        <v>1599</v>
      </c>
    </row>
    <row r="61" spans="1:4" ht="10.5" customHeight="1" x14ac:dyDescent="0.2">
      <c r="A61" s="1192"/>
      <c r="C61" s="1214"/>
      <c r="D61" s="1207" t="s">
        <v>1711</v>
      </c>
    </row>
    <row r="62" spans="1:4" ht="10.5" customHeight="1" x14ac:dyDescent="0.2">
      <c r="A62" s="1192"/>
      <c r="D62" s="1216" t="s">
        <v>1208</v>
      </c>
    </row>
    <row r="63" spans="1:4" ht="10.5" customHeight="1" x14ac:dyDescent="0.2">
      <c r="A63" s="1192"/>
      <c r="D63" s="1191" t="s">
        <v>1576</v>
      </c>
    </row>
    <row r="64" spans="1:4" ht="10.5" customHeight="1" x14ac:dyDescent="0.2">
      <c r="A64" s="1192"/>
      <c r="D64" s="1215" t="s">
        <v>1598</v>
      </c>
    </row>
    <row r="65" spans="1:4" x14ac:dyDescent="0.2">
      <c r="A65" s="1192"/>
      <c r="C65" s="1214"/>
      <c r="D65" s="1207" t="s">
        <v>1712</v>
      </c>
    </row>
    <row r="66" spans="1:4" ht="10.5" customHeight="1" x14ac:dyDescent="0.2">
      <c r="A66" s="1192"/>
      <c r="D66" s="1217" t="s">
        <v>1207</v>
      </c>
    </row>
    <row r="67" spans="1:4" ht="10.5" customHeight="1" x14ac:dyDescent="0.2">
      <c r="A67" s="1192"/>
      <c r="D67" s="1191" t="s">
        <v>1577</v>
      </c>
    </row>
    <row r="68" spans="1:4" ht="10.5" customHeight="1" x14ac:dyDescent="0.2">
      <c r="A68" s="1192"/>
      <c r="D68" s="1215" t="s">
        <v>1598</v>
      </c>
    </row>
    <row r="69" spans="1:4" ht="10.5" customHeight="1" x14ac:dyDescent="0.2">
      <c r="A69" s="1192"/>
      <c r="C69" s="1214"/>
      <c r="D69" s="1207" t="s">
        <v>1713</v>
      </c>
    </row>
    <row r="70" spans="1:4" x14ac:dyDescent="0.2">
      <c r="A70" s="1192"/>
      <c r="D70" s="1216" t="s">
        <v>1206</v>
      </c>
    </row>
    <row r="71" spans="1:4" ht="3" customHeight="1" x14ac:dyDescent="0.2">
      <c r="A71" s="1192"/>
      <c r="D71" s="1191"/>
    </row>
    <row r="72" spans="1:4" x14ac:dyDescent="0.2">
      <c r="A72" s="1192"/>
      <c r="B72" s="1195"/>
      <c r="C72" s="1196">
        <f>C56+1</f>
        <v>18</v>
      </c>
      <c r="D72" s="1217" t="s">
        <v>1714</v>
      </c>
    </row>
    <row r="73" spans="1:4" ht="3" customHeight="1" x14ac:dyDescent="0.2">
      <c r="A73" s="1192"/>
      <c r="B73" s="1199"/>
      <c r="C73" s="1196"/>
      <c r="D73" s="1217"/>
    </row>
    <row r="74" spans="1:4" x14ac:dyDescent="0.2">
      <c r="A74" s="1192"/>
      <c r="B74" s="1195"/>
      <c r="C74" s="1196">
        <f>C72+1</f>
        <v>19</v>
      </c>
      <c r="D74" s="1207" t="s">
        <v>1205</v>
      </c>
    </row>
    <row r="75" spans="1:4" ht="3" customHeight="1" x14ac:dyDescent="0.2">
      <c r="A75" s="1192"/>
      <c r="B75" s="1199"/>
      <c r="C75" s="1196"/>
      <c r="D75" s="1207"/>
    </row>
    <row r="76" spans="1:4" x14ac:dyDescent="0.2">
      <c r="A76" s="1192"/>
      <c r="B76" s="1195"/>
      <c r="C76" s="1196">
        <f>C74+1</f>
        <v>20</v>
      </c>
      <c r="D76" s="1218" t="s">
        <v>1715</v>
      </c>
    </row>
    <row r="77" spans="1:4" ht="3" customHeight="1" x14ac:dyDescent="0.2">
      <c r="A77" s="1192"/>
      <c r="B77" s="1199"/>
      <c r="C77" s="1196"/>
      <c r="D77" s="1218"/>
    </row>
    <row r="78" spans="1:4" x14ac:dyDescent="0.2">
      <c r="A78" s="1192"/>
      <c r="B78" s="1195"/>
      <c r="C78" s="1196">
        <f>C76+1</f>
        <v>21</v>
      </c>
      <c r="D78" s="1191" t="s">
        <v>1716</v>
      </c>
    </row>
    <row r="79" spans="1:4" ht="3" customHeight="1" x14ac:dyDescent="0.2">
      <c r="A79" s="1192"/>
      <c r="B79" s="1199"/>
      <c r="C79" s="1196"/>
      <c r="D79" s="1191"/>
    </row>
    <row r="80" spans="1:4" x14ac:dyDescent="0.2">
      <c r="A80" s="1192"/>
      <c r="B80" s="1195"/>
      <c r="C80" s="1196">
        <f>C78+1</f>
        <v>22</v>
      </c>
      <c r="D80" s="1219" t="s">
        <v>1717</v>
      </c>
    </row>
    <row r="81" spans="1:4" ht="3" customHeight="1" x14ac:dyDescent="0.2">
      <c r="A81" s="1192"/>
      <c r="B81" s="1199"/>
      <c r="C81" s="1196"/>
      <c r="D81" s="1219"/>
    </row>
    <row r="82" spans="1:4" x14ac:dyDescent="0.2">
      <c r="A82" s="1192"/>
      <c r="B82" s="1195"/>
      <c r="C82" s="1196">
        <f>C80+1</f>
        <v>23</v>
      </c>
      <c r="D82" s="1218" t="s">
        <v>1718</v>
      </c>
    </row>
    <row r="83" spans="1:4" ht="10.5" customHeight="1" x14ac:dyDescent="0.2">
      <c r="A83" s="1192"/>
      <c r="B83" s="1201"/>
      <c r="D83" s="1207" t="s">
        <v>1204</v>
      </c>
    </row>
    <row r="84" spans="1:4" ht="3" customHeight="1" x14ac:dyDescent="0.2">
      <c r="A84" s="1192"/>
      <c r="B84" s="1201"/>
      <c r="D84" s="1207"/>
    </row>
    <row r="85" spans="1:4" x14ac:dyDescent="0.2">
      <c r="A85" s="1192"/>
      <c r="B85" s="1195"/>
      <c r="C85" s="1196">
        <f>C82+1</f>
        <v>24</v>
      </c>
      <c r="D85" s="1207" t="s">
        <v>1203</v>
      </c>
    </row>
    <row r="86" spans="1:4" ht="3" customHeight="1" x14ac:dyDescent="0.2">
      <c r="A86" s="1192"/>
      <c r="B86" s="1199"/>
      <c r="C86" s="1196"/>
      <c r="D86" s="1207"/>
    </row>
    <row r="87" spans="1:4" x14ac:dyDescent="0.2">
      <c r="A87" s="1192"/>
      <c r="B87" s="1195"/>
      <c r="C87" s="1196">
        <f>C85+1</f>
        <v>25</v>
      </c>
      <c r="D87" s="1207" t="s">
        <v>1202</v>
      </c>
    </row>
    <row r="88" spans="1:4" ht="3" customHeight="1" x14ac:dyDescent="0.2">
      <c r="A88" s="1192"/>
      <c r="B88" s="1199"/>
      <c r="C88" s="1196"/>
      <c r="D88" s="1207"/>
    </row>
    <row r="89" spans="1:4" x14ac:dyDescent="0.2">
      <c r="A89" s="1192"/>
      <c r="B89" s="1195"/>
      <c r="C89" s="1196">
        <f>C87+1</f>
        <v>26</v>
      </c>
      <c r="D89" s="1207" t="s">
        <v>1201</v>
      </c>
    </row>
    <row r="90" spans="1:4" ht="3" customHeight="1" x14ac:dyDescent="0.2">
      <c r="A90" s="1192"/>
      <c r="B90" s="1199"/>
      <c r="C90" s="1196"/>
      <c r="D90" s="1207"/>
    </row>
    <row r="91" spans="1:4" x14ac:dyDescent="0.2">
      <c r="A91" s="1192"/>
      <c r="B91" s="1195"/>
      <c r="C91" s="1196">
        <f>C89+1</f>
        <v>27</v>
      </c>
      <c r="D91" s="1207" t="s">
        <v>1719</v>
      </c>
    </row>
    <row r="92" spans="1:4" x14ac:dyDescent="0.2">
      <c r="A92" s="1192"/>
      <c r="B92" s="1220"/>
      <c r="C92" s="1214"/>
      <c r="D92" s="1207" t="s">
        <v>1200</v>
      </c>
    </row>
    <row r="93" spans="1:4" ht="4.5" customHeight="1" x14ac:dyDescent="0.2">
      <c r="A93" s="1192"/>
      <c r="D93" s="1191"/>
    </row>
    <row r="94" spans="1:4" x14ac:dyDescent="0.2">
      <c r="A94" s="1192"/>
      <c r="B94" s="1193" t="s">
        <v>1578</v>
      </c>
      <c r="C94" s="1194"/>
      <c r="D94" s="1191"/>
    </row>
    <row r="95" spans="1:4" ht="4.5" customHeight="1" x14ac:dyDescent="0.2">
      <c r="A95" s="1192"/>
      <c r="B95" s="1193"/>
      <c r="C95" s="1194"/>
      <c r="D95" s="1191"/>
    </row>
    <row r="96" spans="1:4" x14ac:dyDescent="0.2">
      <c r="A96" s="1192"/>
      <c r="B96" s="1195"/>
      <c r="C96" s="1196">
        <f>C91+1</f>
        <v>28</v>
      </c>
      <c r="D96" s="1207" t="s">
        <v>1720</v>
      </c>
    </row>
    <row r="97" spans="1:4" ht="3" customHeight="1" x14ac:dyDescent="0.2">
      <c r="A97" s="1192"/>
      <c r="B97" s="1199"/>
      <c r="C97" s="1196"/>
      <c r="D97" s="1207"/>
    </row>
    <row r="98" spans="1:4" x14ac:dyDescent="0.2">
      <c r="A98" s="1192"/>
      <c r="B98" s="1195"/>
      <c r="C98" s="1196">
        <f>C96+1</f>
        <v>29</v>
      </c>
      <c r="D98" s="1221" t="s">
        <v>1721</v>
      </c>
    </row>
    <row r="99" spans="1:4" ht="3" customHeight="1" x14ac:dyDescent="0.2">
      <c r="A99" s="1192"/>
      <c r="B99" s="1199"/>
      <c r="C99" s="1196"/>
      <c r="D99" s="1221"/>
    </row>
    <row r="100" spans="1:4" x14ac:dyDescent="0.2">
      <c r="A100" s="1192"/>
      <c r="B100" s="1195"/>
      <c r="C100" s="1196">
        <f>C98+1</f>
        <v>30</v>
      </c>
      <c r="D100" s="1207" t="s">
        <v>1722</v>
      </c>
    </row>
    <row r="101" spans="1:4" ht="3" customHeight="1" x14ac:dyDescent="0.2">
      <c r="A101" s="1192"/>
      <c r="B101" s="1199"/>
      <c r="C101" s="1196"/>
      <c r="D101" s="1222"/>
    </row>
    <row r="102" spans="1:4" x14ac:dyDescent="0.2">
      <c r="A102" s="1192"/>
      <c r="B102" s="1195"/>
      <c r="C102" s="1196">
        <f>C100+1</f>
        <v>31</v>
      </c>
      <c r="D102" s="1207" t="s">
        <v>1579</v>
      </c>
    </row>
    <row r="103" spans="1:4" ht="4.5" customHeight="1" x14ac:dyDescent="0.2">
      <c r="A103" s="1192"/>
      <c r="B103" s="312"/>
      <c r="C103" s="1196"/>
      <c r="D103" s="1207"/>
    </row>
    <row r="104" spans="1:4" ht="14.1" customHeight="1" x14ac:dyDescent="0.2">
      <c r="A104" s="1192"/>
      <c r="B104" s="1223" t="s">
        <v>1199</v>
      </c>
    </row>
    <row r="105" spans="1:4" ht="4.5" customHeight="1" x14ac:dyDescent="0.2">
      <c r="A105" s="1192"/>
      <c r="B105" s="1223"/>
    </row>
    <row r="106" spans="1:4" x14ac:dyDescent="0.2">
      <c r="A106" s="1192"/>
      <c r="B106" s="1195"/>
      <c r="C106" s="1196">
        <f>C102+1</f>
        <v>32</v>
      </c>
      <c r="D106" s="1191" t="s">
        <v>1580</v>
      </c>
    </row>
    <row r="107" spans="1:4" ht="3" customHeight="1" x14ac:dyDescent="0.2">
      <c r="A107" s="1192"/>
      <c r="B107" s="1199"/>
      <c r="C107" s="1196"/>
      <c r="D107" s="1191"/>
    </row>
    <row r="108" spans="1:4" x14ac:dyDescent="0.2">
      <c r="A108" s="1192"/>
      <c r="B108" s="1195"/>
      <c r="C108" s="1196">
        <v>33</v>
      </c>
      <c r="D108" s="1191" t="s">
        <v>1723</v>
      </c>
    </row>
    <row r="109" spans="1:4" ht="3" customHeight="1" x14ac:dyDescent="0.2">
      <c r="A109" s="1192"/>
      <c r="B109" s="1199"/>
      <c r="C109" s="1196"/>
      <c r="D109" s="1191"/>
    </row>
    <row r="110" spans="1:4" x14ac:dyDescent="0.2">
      <c r="A110" s="1192"/>
      <c r="B110" s="1195"/>
      <c r="C110" s="1196">
        <f>C108+1</f>
        <v>34</v>
      </c>
      <c r="D110" s="1191" t="s">
        <v>1198</v>
      </c>
    </row>
    <row r="111" spans="1:4" ht="3" customHeight="1" x14ac:dyDescent="0.2">
      <c r="A111" s="1192"/>
      <c r="B111" s="1199"/>
      <c r="C111" s="1196"/>
      <c r="D111" s="1191"/>
    </row>
    <row r="112" spans="1:4" x14ac:dyDescent="0.2">
      <c r="A112" s="1192"/>
      <c r="B112" s="1195"/>
      <c r="C112" s="1196">
        <f>C110+1</f>
        <v>35</v>
      </c>
      <c r="D112" s="1191" t="s">
        <v>1197</v>
      </c>
    </row>
    <row r="113" spans="1:4" ht="11.25" customHeight="1" x14ac:dyDescent="0.2">
      <c r="A113" s="1192"/>
      <c r="B113" s="1224"/>
      <c r="C113" s="1196"/>
      <c r="D113" s="1225" t="s">
        <v>1196</v>
      </c>
    </row>
    <row r="114" spans="1:4" ht="3" customHeight="1" x14ac:dyDescent="0.2">
      <c r="A114" s="1192"/>
      <c r="B114" s="1226"/>
      <c r="C114" s="1196"/>
      <c r="D114" s="1225"/>
    </row>
    <row r="115" spans="1:4" x14ac:dyDescent="0.2">
      <c r="A115" s="1192"/>
      <c r="B115" s="1195"/>
      <c r="C115" s="1196">
        <f>C112+1</f>
        <v>36</v>
      </c>
      <c r="D115" s="1207" t="s">
        <v>1195</v>
      </c>
    </row>
    <row r="116" spans="1:4" ht="3" customHeight="1" x14ac:dyDescent="0.2">
      <c r="A116" s="1192"/>
      <c r="B116" s="1199"/>
      <c r="C116" s="1196"/>
      <c r="D116" s="1207"/>
    </row>
    <row r="117" spans="1:4" x14ac:dyDescent="0.2">
      <c r="A117" s="1192"/>
      <c r="B117" s="1195"/>
      <c r="C117" s="1196">
        <f>C115+1</f>
        <v>37</v>
      </c>
      <c r="D117" s="1207" t="s">
        <v>1724</v>
      </c>
    </row>
    <row r="118" spans="1:4" ht="3" customHeight="1" x14ac:dyDescent="0.2">
      <c r="A118" s="1192"/>
      <c r="B118" s="1199"/>
      <c r="C118" s="1196"/>
      <c r="D118" s="1207"/>
    </row>
    <row r="119" spans="1:4" x14ac:dyDescent="0.2">
      <c r="A119" s="1192"/>
      <c r="B119" s="1195"/>
      <c r="C119" s="1196">
        <f>C117+1</f>
        <v>38</v>
      </c>
      <c r="D119" s="1207" t="s">
        <v>1725</v>
      </c>
    </row>
    <row r="120" spans="1:4" ht="10.5" customHeight="1" x14ac:dyDescent="0.2">
      <c r="A120" s="1192"/>
      <c r="B120" s="1220"/>
      <c r="C120" s="1196"/>
      <c r="D120" s="1207" t="s">
        <v>1194</v>
      </c>
    </row>
    <row r="121" spans="1:4" ht="10.5" customHeight="1" x14ac:dyDescent="0.2">
      <c r="A121" s="1192"/>
      <c r="B121" s="1220"/>
      <c r="C121" s="1196"/>
      <c r="D121" s="1207" t="s">
        <v>1193</v>
      </c>
    </row>
    <row r="122" spans="1:4" ht="3" customHeight="1" x14ac:dyDescent="0.2">
      <c r="A122" s="1192"/>
      <c r="B122" s="1220"/>
      <c r="C122" s="1196"/>
      <c r="D122" s="1207"/>
    </row>
    <row r="123" spans="1:4" x14ac:dyDescent="0.2">
      <c r="A123" s="1192"/>
      <c r="B123" s="1195"/>
      <c r="C123" s="1196">
        <f>C119+1</f>
        <v>39</v>
      </c>
      <c r="D123" s="1217" t="s">
        <v>1834</v>
      </c>
    </row>
    <row r="124" spans="1:4" x14ac:dyDescent="0.2">
      <c r="A124" s="1192"/>
      <c r="B124" s="312"/>
      <c r="C124" s="1196"/>
      <c r="D124" s="1207" t="s">
        <v>1192</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68"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view="pageBreakPreview" topLeftCell="A25" zoomScale="226" zoomScaleNormal="110" zoomScaleSheetLayoutView="226" workbookViewId="0">
      <selection activeCell="D25" sqref="D25"/>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506" t="str">
        <f>'Single Audit Cover'!A7</f>
        <v>Lake Villa CCSD 41</v>
      </c>
      <c r="B1" s="2506"/>
      <c r="C1" s="2506"/>
      <c r="D1" s="2506"/>
      <c r="E1" s="2506"/>
    </row>
    <row r="2" spans="1:5" x14ac:dyDescent="0.2">
      <c r="A2" s="2507">
        <f>'Single Audit Cover'!E7</f>
        <v>34049041004</v>
      </c>
      <c r="B2" s="2507"/>
      <c r="C2" s="2507"/>
      <c r="D2" s="2507"/>
      <c r="E2" s="2507"/>
    </row>
    <row r="3" spans="1:5" ht="4.5" customHeight="1" x14ac:dyDescent="0.2"/>
    <row r="4" spans="1:5" x14ac:dyDescent="0.2">
      <c r="A4" s="2506" t="s">
        <v>1245</v>
      </c>
      <c r="B4" s="2506"/>
      <c r="C4" s="2506"/>
      <c r="D4" s="2506"/>
      <c r="E4" s="2506"/>
    </row>
    <row r="5" spans="1:5" x14ac:dyDescent="0.2">
      <c r="A5" s="2509" t="str">
        <f>'Single Audit Cover'!A4</f>
        <v>Year Ending June 30, 2019</v>
      </c>
      <c r="B5" s="2509"/>
      <c r="C5" s="2509"/>
      <c r="D5" s="2509"/>
      <c r="E5" s="2509"/>
    </row>
    <row r="6" spans="1:5" x14ac:dyDescent="0.2">
      <c r="A6" s="2506" t="s">
        <v>1244</v>
      </c>
      <c r="B6" s="2506"/>
      <c r="C6" s="2506"/>
      <c r="D6" s="2506"/>
      <c r="E6" s="2506"/>
    </row>
    <row r="8" spans="1:5" x14ac:dyDescent="0.2">
      <c r="A8" s="1230" t="s">
        <v>1243</v>
      </c>
    </row>
    <row r="10" spans="1:5" x14ac:dyDescent="0.2">
      <c r="A10" s="1231" t="s">
        <v>1242</v>
      </c>
      <c r="B10" s="1232" t="s">
        <v>1241</v>
      </c>
      <c r="C10" s="1232"/>
      <c r="D10" s="1233">
        <f>SUM('Acct Summary 7-8'!C7:K7)</f>
        <v>1273839</v>
      </c>
    </row>
    <row r="11" spans="1:5" ht="18" customHeight="1" x14ac:dyDescent="0.2">
      <c r="A11" s="1231" t="s">
        <v>1240</v>
      </c>
      <c r="B11" s="1232"/>
      <c r="C11" s="1232"/>
    </row>
    <row r="12" spans="1:5" x14ac:dyDescent="0.2">
      <c r="A12" s="1231" t="s">
        <v>1239</v>
      </c>
      <c r="B12" s="1232" t="s">
        <v>1238</v>
      </c>
      <c r="C12" s="1232"/>
      <c r="D12" s="1234">
        <f>SUM('Revenues 9-14'!C112:D112,'Revenues 9-14'!F112:G112)</f>
        <v>0</v>
      </c>
    </row>
    <row r="13" spans="1:5" x14ac:dyDescent="0.2">
      <c r="A13" s="1231" t="s">
        <v>1237</v>
      </c>
      <c r="B13" s="1232"/>
      <c r="C13" s="1232"/>
    </row>
    <row r="14" spans="1:5" x14ac:dyDescent="0.2">
      <c r="A14" s="1231" t="s">
        <v>1727</v>
      </c>
      <c r="B14" s="1232"/>
      <c r="C14" s="1232"/>
      <c r="D14" s="1234">
        <f>'ICR Computation 30'!E11</f>
        <v>63870</v>
      </c>
    </row>
    <row r="15" spans="1:5" x14ac:dyDescent="0.2">
      <c r="A15" s="1231"/>
      <c r="B15" s="1232"/>
      <c r="C15" s="1232"/>
    </row>
    <row r="16" spans="1:5" x14ac:dyDescent="0.2">
      <c r="A16" s="1231" t="s">
        <v>1841</v>
      </c>
      <c r="B16" s="1232"/>
      <c r="C16" s="1232"/>
    </row>
    <row r="17" spans="1:4" x14ac:dyDescent="0.2">
      <c r="A17" s="1231" t="s">
        <v>2058</v>
      </c>
      <c r="B17" s="1232" t="s">
        <v>1236</v>
      </c>
      <c r="C17" s="1232"/>
      <c r="D17" s="1234">
        <f>-SUM('Revenues 9-14'!C264:D264,'Revenues 9-14'!F264:G264)</f>
        <v>-206245</v>
      </c>
    </row>
    <row r="19" spans="1:4" ht="13.5" thickBot="1" x14ac:dyDescent="0.25">
      <c r="A19" s="1235" t="s">
        <v>1235</v>
      </c>
      <c r="D19" s="1236">
        <f>SUM(D10:D17)</f>
        <v>1131464</v>
      </c>
    </row>
    <row r="20" spans="1:4" ht="21.75" customHeight="1" thickTop="1" x14ac:dyDescent="0.2"/>
    <row r="21" spans="1:4" x14ac:dyDescent="0.2">
      <c r="A21" s="1230" t="s">
        <v>1234</v>
      </c>
    </row>
    <row r="22" spans="1:4" ht="8.25" customHeight="1" x14ac:dyDescent="0.2"/>
    <row r="23" spans="1:4" x14ac:dyDescent="0.2">
      <c r="A23" s="1237" t="s">
        <v>1228</v>
      </c>
    </row>
    <row r="24" spans="1:4" x14ac:dyDescent="0.2">
      <c r="A24" s="2508" t="s">
        <v>2102</v>
      </c>
      <c r="B24" s="2508"/>
      <c r="D24" s="1238">
        <v>1275</v>
      </c>
    </row>
    <row r="25" spans="1:4" x14ac:dyDescent="0.2">
      <c r="A25" s="2505"/>
      <c r="B25" s="2505"/>
      <c r="D25" s="1238"/>
    </row>
    <row r="26" spans="1:4" x14ac:dyDescent="0.2">
      <c r="A26" s="2505"/>
      <c r="B26" s="2505"/>
      <c r="D26" s="1238"/>
    </row>
    <row r="27" spans="1:4" x14ac:dyDescent="0.2">
      <c r="A27" s="2505"/>
      <c r="B27" s="2505"/>
      <c r="D27" s="1238"/>
    </row>
    <row r="28" spans="1:4" x14ac:dyDescent="0.2">
      <c r="A28" s="2505"/>
      <c r="B28" s="2505"/>
      <c r="D28" s="1238"/>
    </row>
    <row r="29" spans="1:4" x14ac:dyDescent="0.2">
      <c r="A29" s="2505"/>
      <c r="B29" s="2505"/>
      <c r="D29" s="1238"/>
    </row>
    <row r="30" spans="1:4" x14ac:dyDescent="0.2">
      <c r="A30" s="2505"/>
      <c r="B30" s="2505"/>
      <c r="D30" s="1238"/>
    </row>
    <row r="32" spans="1:4" x14ac:dyDescent="0.2">
      <c r="A32" s="1230" t="s">
        <v>1233</v>
      </c>
      <c r="D32" s="1233">
        <f>SUM(D19:D30)</f>
        <v>1132739</v>
      </c>
    </row>
    <row r="33" spans="1:4" x14ac:dyDescent="0.2">
      <c r="D33" s="1239"/>
    </row>
    <row r="34" spans="1:4" x14ac:dyDescent="0.2">
      <c r="A34" s="317" t="s">
        <v>1232</v>
      </c>
    </row>
    <row r="35" spans="1:4" x14ac:dyDescent="0.2">
      <c r="A35" s="317" t="s">
        <v>1231</v>
      </c>
      <c r="B35" s="1228" t="s">
        <v>1230</v>
      </c>
      <c r="D35" s="1240">
        <v>1132739</v>
      </c>
    </row>
    <row r="37" spans="1:4" x14ac:dyDescent="0.2">
      <c r="A37" s="1230" t="s">
        <v>1229</v>
      </c>
    </row>
    <row r="39" spans="1:4" ht="13.35" customHeight="1" x14ac:dyDescent="0.2">
      <c r="A39" s="1237" t="s">
        <v>1228</v>
      </c>
    </row>
    <row r="40" spans="1:4" x14ac:dyDescent="0.2">
      <c r="A40" s="2505"/>
      <c r="B40" s="2505"/>
      <c r="D40" s="1238"/>
    </row>
    <row r="41" spans="1:4" x14ac:dyDescent="0.2">
      <c r="A41" s="2505"/>
      <c r="B41" s="2505"/>
      <c r="D41" s="1241"/>
    </row>
    <row r="42" spans="1:4" x14ac:dyDescent="0.2">
      <c r="A42" s="2505"/>
      <c r="B42" s="2505"/>
      <c r="D42" s="1241"/>
    </row>
    <row r="43" spans="1:4" x14ac:dyDescent="0.2">
      <c r="A43" s="2505"/>
      <c r="B43" s="2505"/>
      <c r="D43" s="1241"/>
    </row>
    <row r="44" spans="1:4" x14ac:dyDescent="0.2">
      <c r="A44" s="2505"/>
      <c r="B44" s="2505"/>
      <c r="D44" s="1241"/>
    </row>
    <row r="45" spans="1:4" x14ac:dyDescent="0.2">
      <c r="A45" s="2505"/>
      <c r="B45" s="2505"/>
      <c r="D45" s="1241"/>
    </row>
    <row r="47" spans="1:4" x14ac:dyDescent="0.2">
      <c r="B47" s="1242" t="s">
        <v>1227</v>
      </c>
      <c r="C47" s="1242"/>
      <c r="D47" s="1243">
        <f>SUM(D35:D45)</f>
        <v>1132739</v>
      </c>
    </row>
    <row r="49" spans="2:4" x14ac:dyDescent="0.2">
      <c r="B49" s="1242" t="s">
        <v>1226</v>
      </c>
      <c r="C49" s="1242"/>
      <c r="D49" s="1243">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
    <tabColor rgb="FF92D050"/>
    <pageSetUpPr fitToPage="1"/>
  </sheetPr>
  <dimension ref="B1:N152"/>
  <sheetViews>
    <sheetView showGridLines="0" view="pageBreakPreview" topLeftCell="A22" zoomScale="110" zoomScaleNormal="110" zoomScaleSheetLayoutView="110" workbookViewId="0">
      <selection activeCell="I26" sqref="I26"/>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67" t="str">
        <f>'Single Audit Cover'!A7</f>
        <v>Lake Villa CCSD 41</v>
      </c>
      <c r="C1" s="2510"/>
      <c r="D1" s="2510"/>
      <c r="E1" s="2510"/>
      <c r="F1" s="2510"/>
      <c r="G1" s="2510"/>
      <c r="H1" s="2510"/>
      <c r="I1" s="2510"/>
      <c r="J1" s="2510"/>
      <c r="K1" s="2510"/>
      <c r="L1" s="2510"/>
      <c r="M1" s="2510"/>
    </row>
    <row r="2" spans="2:14" ht="15" x14ac:dyDescent="0.2">
      <c r="B2" s="2511">
        <f>'Single Audit Cover'!E7</f>
        <v>34049041004</v>
      </c>
      <c r="C2" s="2511"/>
      <c r="D2" s="2511"/>
      <c r="E2" s="2511"/>
      <c r="F2" s="2511"/>
      <c r="G2" s="2511"/>
      <c r="H2" s="2511"/>
      <c r="I2" s="2511"/>
      <c r="J2" s="2511"/>
      <c r="K2" s="2511"/>
      <c r="L2" s="2511"/>
      <c r="M2" s="2511"/>
      <c r="N2" s="1272"/>
    </row>
    <row r="3" spans="2:14" ht="15" x14ac:dyDescent="0.2">
      <c r="B3" s="2512" t="s">
        <v>1219</v>
      </c>
      <c r="C3" s="2512"/>
      <c r="D3" s="2512"/>
      <c r="E3" s="2512"/>
      <c r="F3" s="2512"/>
      <c r="G3" s="2512"/>
      <c r="H3" s="2512"/>
      <c r="I3" s="2512"/>
      <c r="J3" s="2512"/>
      <c r="K3" s="2512"/>
      <c r="L3" s="2512"/>
      <c r="M3" s="2512"/>
      <c r="N3" s="1272"/>
    </row>
    <row r="4" spans="2:14" ht="15" x14ac:dyDescent="0.2">
      <c r="B4" s="2513" t="str">
        <f>'Single Audit Cover'!A4</f>
        <v>Year Ending June 30, 2019</v>
      </c>
      <c r="C4" s="2513"/>
      <c r="D4" s="2513"/>
      <c r="E4" s="2513"/>
      <c r="F4" s="2513"/>
      <c r="G4" s="2513"/>
      <c r="H4" s="2513"/>
      <c r="I4" s="2513"/>
      <c r="J4" s="2513"/>
      <c r="K4" s="2513"/>
      <c r="L4" s="2513"/>
      <c r="M4" s="2513"/>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2069</v>
      </c>
      <c r="C11" s="1308"/>
      <c r="D11" s="1309"/>
      <c r="E11" s="1310"/>
      <c r="F11" s="1310"/>
      <c r="G11" s="1310"/>
      <c r="H11" s="1310"/>
      <c r="I11" s="1310"/>
      <c r="J11" s="1310"/>
      <c r="K11" s="1310"/>
      <c r="L11" s="1310"/>
      <c r="M11" s="1310"/>
    </row>
    <row r="12" spans="2:14" ht="20.100000000000001" customHeight="1" x14ac:dyDescent="0.2">
      <c r="B12" s="1307" t="s">
        <v>2070</v>
      </c>
      <c r="C12" s="1311"/>
      <c r="D12" s="1312"/>
      <c r="E12" s="1313"/>
      <c r="F12" s="1313"/>
      <c r="G12" s="1313"/>
      <c r="H12" s="1313"/>
      <c r="I12" s="1313"/>
      <c r="J12" s="1313"/>
      <c r="K12" s="1313"/>
      <c r="L12" s="1310"/>
      <c r="M12" s="1313"/>
    </row>
    <row r="13" spans="2:14" ht="20.100000000000001" customHeight="1" x14ac:dyDescent="0.2">
      <c r="B13" s="1307" t="s">
        <v>2116</v>
      </c>
      <c r="C13" s="1311">
        <v>10.555</v>
      </c>
      <c r="D13" s="1312" t="s">
        <v>2078</v>
      </c>
      <c r="E13" s="1313"/>
      <c r="F13" s="1313">
        <v>41783</v>
      </c>
      <c r="G13" s="1313"/>
      <c r="H13" s="1313"/>
      <c r="I13" s="1313">
        <v>41783</v>
      </c>
      <c r="J13" s="1313"/>
      <c r="K13" s="1313"/>
      <c r="L13" s="1310">
        <f t="shared" ref="L13:L27" si="0">+G13+I13+K13</f>
        <v>41783</v>
      </c>
      <c r="M13" s="1313" t="s">
        <v>2081</v>
      </c>
    </row>
    <row r="14" spans="2:14" ht="20.100000000000001" customHeight="1" x14ac:dyDescent="0.2">
      <c r="B14" s="1307" t="s">
        <v>2110</v>
      </c>
      <c r="C14" s="1311">
        <v>10.555</v>
      </c>
      <c r="D14" s="1312" t="s">
        <v>2079</v>
      </c>
      <c r="E14" s="1313">
        <v>275889</v>
      </c>
      <c r="F14" s="1313">
        <v>52155</v>
      </c>
      <c r="G14" s="1313">
        <v>275889</v>
      </c>
      <c r="H14" s="1313"/>
      <c r="I14" s="1313">
        <v>52155</v>
      </c>
      <c r="J14" s="1313"/>
      <c r="K14" s="1313"/>
      <c r="L14" s="1310">
        <f t="shared" si="0"/>
        <v>328044</v>
      </c>
      <c r="M14" s="1313" t="s">
        <v>2081</v>
      </c>
    </row>
    <row r="15" spans="2:14" ht="20.100000000000001" customHeight="1" x14ac:dyDescent="0.2">
      <c r="B15" s="1307" t="s">
        <v>2111</v>
      </c>
      <c r="C15" s="1311">
        <v>10.555</v>
      </c>
      <c r="D15" s="1312" t="s">
        <v>2080</v>
      </c>
      <c r="E15" s="1313"/>
      <c r="F15" s="1313">
        <v>280656</v>
      </c>
      <c r="G15" s="1313"/>
      <c r="H15" s="1313"/>
      <c r="I15" s="1313">
        <v>280656</v>
      </c>
      <c r="J15" s="1313"/>
      <c r="K15" s="1313"/>
      <c r="L15" s="1310">
        <f t="shared" si="0"/>
        <v>280656</v>
      </c>
      <c r="M15" s="1313" t="s">
        <v>2081</v>
      </c>
    </row>
    <row r="16" spans="2:14" ht="20.100000000000001" customHeight="1" x14ac:dyDescent="0.2">
      <c r="B16" s="1307"/>
      <c r="C16" s="1311"/>
      <c r="D16" s="1312"/>
      <c r="E16" s="1313"/>
      <c r="F16" s="1313"/>
      <c r="G16" s="1313"/>
      <c r="H16" s="1313"/>
      <c r="I16" s="1313"/>
      <c r="J16" s="1313"/>
      <c r="K16" s="1313"/>
      <c r="L16" s="1310"/>
      <c r="M16" s="1313"/>
    </row>
    <row r="17" spans="2:14" ht="20.100000000000001" customHeight="1" x14ac:dyDescent="0.2">
      <c r="B17" s="1307" t="s">
        <v>2071</v>
      </c>
      <c r="C17" s="1311"/>
      <c r="D17" s="1312"/>
      <c r="E17" s="1313"/>
      <c r="F17" s="1313"/>
      <c r="G17" s="1313"/>
      <c r="H17" s="1313"/>
      <c r="I17" s="1313"/>
      <c r="J17" s="1313"/>
      <c r="K17" s="1313"/>
      <c r="L17" s="1310"/>
      <c r="M17" s="1313"/>
    </row>
    <row r="18" spans="2:14" ht="20.100000000000001" customHeight="1" x14ac:dyDescent="0.2">
      <c r="B18" s="1307" t="s">
        <v>2072</v>
      </c>
      <c r="C18" s="1311"/>
      <c r="D18" s="1312"/>
      <c r="E18" s="1313"/>
      <c r="F18" s="1313"/>
      <c r="G18" s="1313"/>
      <c r="H18" s="1313"/>
      <c r="I18" s="1313"/>
      <c r="J18" s="1313"/>
      <c r="K18" s="1313"/>
      <c r="L18" s="1310"/>
      <c r="M18" s="1313"/>
    </row>
    <row r="19" spans="2:14" ht="20.100000000000001" customHeight="1" x14ac:dyDescent="0.2">
      <c r="B19" s="1307" t="s">
        <v>2103</v>
      </c>
      <c r="C19" s="1311">
        <v>10.555</v>
      </c>
      <c r="D19" s="1312" t="s">
        <v>2078</v>
      </c>
      <c r="E19" s="1313"/>
      <c r="F19" s="1313">
        <v>22087</v>
      </c>
      <c r="G19" s="1313"/>
      <c r="H19" s="1313"/>
      <c r="I19" s="1313">
        <v>22087</v>
      </c>
      <c r="J19" s="1313"/>
      <c r="K19" s="1313"/>
      <c r="L19" s="1310">
        <f>+G19+I19+K19</f>
        <v>22087</v>
      </c>
      <c r="M19" s="1313" t="s">
        <v>2081</v>
      </c>
    </row>
    <row r="20" spans="2:14" ht="20.100000000000001" customHeight="1" x14ac:dyDescent="0.2">
      <c r="B20" s="1307"/>
      <c r="C20" s="1311"/>
      <c r="D20" s="1312"/>
      <c r="E20" s="1313"/>
      <c r="F20" s="1313"/>
      <c r="G20" s="1313"/>
      <c r="H20" s="1313"/>
      <c r="I20" s="1313"/>
      <c r="J20" s="1313"/>
      <c r="K20" s="1313"/>
      <c r="L20" s="1310"/>
      <c r="M20" s="1313"/>
    </row>
    <row r="21" spans="2:14" ht="20.100000000000001" customHeight="1" x14ac:dyDescent="0.2">
      <c r="B21" s="1307" t="s">
        <v>2085</v>
      </c>
      <c r="C21" s="1311"/>
      <c r="D21" s="1312"/>
      <c r="E21" s="1313">
        <f>+E13+E14+E15+E19</f>
        <v>275889</v>
      </c>
      <c r="F21" s="1313">
        <f>+F13+F14+F15+F19</f>
        <v>396681</v>
      </c>
      <c r="G21" s="1313">
        <f>+G13+G14+G15+G19</f>
        <v>275889</v>
      </c>
      <c r="H21" s="1313"/>
      <c r="I21" s="1313">
        <f>+I13+I14+I15+I19</f>
        <v>396681</v>
      </c>
      <c r="J21" s="1313"/>
      <c r="K21" s="1313"/>
      <c r="L21" s="1310">
        <f>+G21+I21+K21</f>
        <v>672570</v>
      </c>
      <c r="M21" s="1313"/>
    </row>
    <row r="22" spans="2:14" ht="20.100000000000001" customHeight="1" x14ac:dyDescent="0.2">
      <c r="B22" s="1307" t="s">
        <v>2073</v>
      </c>
      <c r="C22" s="1311"/>
      <c r="D22" s="1312"/>
      <c r="E22" s="1313">
        <v>275889</v>
      </c>
      <c r="F22" s="1313">
        <v>396681</v>
      </c>
      <c r="G22" s="1313">
        <v>275889</v>
      </c>
      <c r="H22" s="1313"/>
      <c r="I22" s="1313">
        <v>396681</v>
      </c>
      <c r="J22" s="1313"/>
      <c r="K22" s="1313"/>
      <c r="L22" s="1310">
        <f>+G22+I22+K22</f>
        <v>672570</v>
      </c>
      <c r="M22" s="1313"/>
    </row>
    <row r="23" spans="2:14" ht="20.100000000000001" customHeight="1" x14ac:dyDescent="0.2">
      <c r="B23" s="1307"/>
      <c r="C23" s="1311"/>
      <c r="D23" s="1312"/>
      <c r="E23" s="1313"/>
      <c r="F23" s="1313"/>
      <c r="G23" s="1313"/>
      <c r="H23" s="1313"/>
      <c r="I23" s="1313"/>
      <c r="J23" s="1313"/>
      <c r="K23" s="1313"/>
      <c r="L23" s="1310"/>
      <c r="M23" s="1313"/>
    </row>
    <row r="24" spans="2:14" ht="20.100000000000001" customHeight="1" x14ac:dyDescent="0.2">
      <c r="B24" s="1307" t="s">
        <v>2074</v>
      </c>
      <c r="C24" s="1311"/>
      <c r="D24" s="1312"/>
      <c r="E24" s="1313"/>
      <c r="F24" s="1313"/>
      <c r="G24" s="1313"/>
      <c r="H24" s="1313"/>
      <c r="I24" s="1313"/>
      <c r="J24" s="1313"/>
      <c r="K24" s="1313"/>
      <c r="L24" s="1310"/>
      <c r="M24" s="1313"/>
    </row>
    <row r="25" spans="2:14" ht="20.100000000000001" customHeight="1" x14ac:dyDescent="0.2">
      <c r="B25" s="1307" t="s">
        <v>2070</v>
      </c>
      <c r="C25" s="1311"/>
      <c r="D25" s="1312"/>
      <c r="E25" s="1313"/>
      <c r="F25" s="1313"/>
      <c r="G25" s="1313"/>
      <c r="H25" s="1313"/>
      <c r="I25" s="1313"/>
      <c r="J25" s="1313"/>
      <c r="K25" s="1313"/>
      <c r="L25" s="1310"/>
      <c r="M25" s="1313"/>
    </row>
    <row r="26" spans="2:14" ht="20.100000000000001" customHeight="1" x14ac:dyDescent="0.2">
      <c r="B26" s="1307" t="s">
        <v>2104</v>
      </c>
      <c r="C26" s="1311">
        <v>84.01</v>
      </c>
      <c r="D26" s="1312" t="s">
        <v>2076</v>
      </c>
      <c r="E26" s="1313">
        <f>21058+17894+52569</f>
        <v>91521</v>
      </c>
      <c r="F26" s="1313">
        <v>26010</v>
      </c>
      <c r="G26" s="1313">
        <v>117531</v>
      </c>
      <c r="H26" s="1313"/>
      <c r="I26" s="1313">
        <v>0</v>
      </c>
      <c r="J26" s="1313"/>
      <c r="K26" s="1313"/>
      <c r="L26" s="1310">
        <f t="shared" si="0"/>
        <v>117531</v>
      </c>
      <c r="M26" s="1313">
        <v>225088</v>
      </c>
    </row>
    <row r="27" spans="2:14" ht="20.100000000000001" customHeight="1" x14ac:dyDescent="0.2">
      <c r="B27" s="1307" t="s">
        <v>2104</v>
      </c>
      <c r="C27" s="1311">
        <v>84.01</v>
      </c>
      <c r="D27" s="1312" t="s">
        <v>2077</v>
      </c>
      <c r="E27" s="1313"/>
      <c r="F27" s="1313">
        <f>40194+55635+38669</f>
        <v>134498</v>
      </c>
      <c r="G27" s="1313"/>
      <c r="H27" s="1313"/>
      <c r="I27" s="1313">
        <v>218361</v>
      </c>
      <c r="J27" s="1313"/>
      <c r="K27" s="1313"/>
      <c r="L27" s="1310">
        <f t="shared" si="0"/>
        <v>218361</v>
      </c>
      <c r="M27" s="1313">
        <v>279388</v>
      </c>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1734</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1837</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1735</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1736</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1737</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1738</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41E9C-E4A8-42B4-827E-3951AC95758E}">
  <sheetPr codeName="Sheet6">
    <tabColor rgb="FF92D050"/>
    <pageSetUpPr fitToPage="1"/>
  </sheetPr>
  <dimension ref="B1:N152"/>
  <sheetViews>
    <sheetView showGridLines="0" topLeftCell="A7" zoomScaleNormal="100" workbookViewId="0">
      <selection activeCell="I26" sqref="I26"/>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67" t="str">
        <f>'Single Audit Cover'!A7</f>
        <v>Lake Villa CCSD 41</v>
      </c>
      <c r="C1" s="2510"/>
      <c r="D1" s="2510"/>
      <c r="E1" s="2510"/>
      <c r="F1" s="2510"/>
      <c r="G1" s="2510"/>
      <c r="H1" s="2510"/>
      <c r="I1" s="2510"/>
      <c r="J1" s="2510"/>
      <c r="K1" s="2510"/>
      <c r="L1" s="2510"/>
      <c r="M1" s="2510"/>
    </row>
    <row r="2" spans="2:14" ht="15" x14ac:dyDescent="0.2">
      <c r="B2" s="2511">
        <f>'Single Audit Cover'!E7</f>
        <v>34049041004</v>
      </c>
      <c r="C2" s="2511"/>
      <c r="D2" s="2511"/>
      <c r="E2" s="2511"/>
      <c r="F2" s="2511"/>
      <c r="G2" s="2511"/>
      <c r="H2" s="2511"/>
      <c r="I2" s="2511"/>
      <c r="J2" s="2511"/>
      <c r="K2" s="2511"/>
      <c r="L2" s="2511"/>
      <c r="M2" s="2511"/>
      <c r="N2" s="1272"/>
    </row>
    <row r="3" spans="2:14" ht="15" x14ac:dyDescent="0.2">
      <c r="B3" s="2512" t="s">
        <v>1219</v>
      </c>
      <c r="C3" s="2512"/>
      <c r="D3" s="2512"/>
      <c r="E3" s="2512"/>
      <c r="F3" s="2512"/>
      <c r="G3" s="2512"/>
      <c r="H3" s="2512"/>
      <c r="I3" s="2512"/>
      <c r="J3" s="2512"/>
      <c r="K3" s="2512"/>
      <c r="L3" s="2512"/>
      <c r="M3" s="2512"/>
      <c r="N3" s="1272"/>
    </row>
    <row r="4" spans="2:14" ht="15" x14ac:dyDescent="0.2">
      <c r="B4" s="2513" t="str">
        <f>'Single Audit Cover'!A4</f>
        <v>Year Ending June 30, 2019</v>
      </c>
      <c r="C4" s="2513"/>
      <c r="D4" s="2513"/>
      <c r="E4" s="2513"/>
      <c r="F4" s="2513"/>
      <c r="G4" s="2513"/>
      <c r="H4" s="2513"/>
      <c r="I4" s="2513"/>
      <c r="J4" s="2513"/>
      <c r="K4" s="2513"/>
      <c r="L4" s="2513"/>
      <c r="M4" s="2513"/>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2074</v>
      </c>
      <c r="C11" s="1308"/>
      <c r="D11" s="1309"/>
      <c r="E11" s="1310"/>
      <c r="F11" s="1310"/>
      <c r="G11" s="1310"/>
      <c r="H11" s="1310"/>
      <c r="I11" s="1310"/>
      <c r="J11" s="1310"/>
      <c r="K11" s="1310"/>
      <c r="L11" s="1310"/>
      <c r="M11" s="1310"/>
    </row>
    <row r="12" spans="2:14" ht="20.100000000000001" customHeight="1" x14ac:dyDescent="0.2">
      <c r="B12" s="1307" t="s">
        <v>2070</v>
      </c>
      <c r="C12" s="1311"/>
      <c r="D12" s="1312"/>
      <c r="E12" s="1313"/>
      <c r="F12" s="1313"/>
      <c r="G12" s="1313"/>
      <c r="H12" s="1313"/>
      <c r="I12" s="1313"/>
      <c r="J12" s="1313"/>
      <c r="K12" s="1313"/>
      <c r="L12" s="1310"/>
      <c r="M12" s="1313"/>
    </row>
    <row r="13" spans="2:14" ht="20.100000000000001" customHeight="1" x14ac:dyDescent="0.2">
      <c r="B13" s="1307" t="s">
        <v>2113</v>
      </c>
      <c r="C13" s="1311">
        <v>84.364999999999995</v>
      </c>
      <c r="D13" s="1312" t="s">
        <v>2097</v>
      </c>
      <c r="E13" s="1313">
        <v>2972</v>
      </c>
      <c r="F13" s="1313">
        <v>27104</v>
      </c>
      <c r="G13" s="1313">
        <v>3707</v>
      </c>
      <c r="H13" s="1313"/>
      <c r="I13" s="1313">
        <v>26369</v>
      </c>
      <c r="J13" s="1313"/>
      <c r="K13" s="1313"/>
      <c r="L13" s="1310">
        <f t="shared" ref="L13:L27" si="0">+G13+I13+K13</f>
        <v>30076</v>
      </c>
      <c r="M13" s="1313">
        <v>43975</v>
      </c>
    </row>
    <row r="14" spans="2:14" ht="20.100000000000001" customHeight="1" x14ac:dyDescent="0.2">
      <c r="B14" s="1307" t="s">
        <v>2113</v>
      </c>
      <c r="C14" s="1311">
        <v>84.364999999999995</v>
      </c>
      <c r="D14" s="1312" t="s">
        <v>2098</v>
      </c>
      <c r="E14" s="1313"/>
      <c r="F14" s="1313">
        <v>11557</v>
      </c>
      <c r="G14" s="1313"/>
      <c r="H14" s="1313"/>
      <c r="I14" s="1313">
        <v>11754</v>
      </c>
      <c r="J14" s="1313"/>
      <c r="K14" s="1313"/>
      <c r="L14" s="1310">
        <f t="shared" si="0"/>
        <v>11754</v>
      </c>
      <c r="M14" s="1313">
        <v>40299</v>
      </c>
    </row>
    <row r="15" spans="2:14" ht="20.100000000000001" customHeight="1" x14ac:dyDescent="0.2">
      <c r="B15" s="1307" t="s">
        <v>2114</v>
      </c>
      <c r="C15" s="1311" t="s">
        <v>2095</v>
      </c>
      <c r="D15" s="1312" t="s">
        <v>2096</v>
      </c>
      <c r="E15" s="1313"/>
      <c r="F15" s="1313">
        <v>21860</v>
      </c>
      <c r="G15" s="1313"/>
      <c r="H15" s="1313"/>
      <c r="I15" s="1313">
        <v>27430</v>
      </c>
      <c r="J15" s="1313"/>
      <c r="K15" s="1313"/>
      <c r="L15" s="1310">
        <f>+G15+I15+K15</f>
        <v>27430</v>
      </c>
      <c r="M15" s="1313">
        <v>27430</v>
      </c>
    </row>
    <row r="16" spans="2:14" ht="20.100000000000001" customHeight="1" x14ac:dyDescent="0.2">
      <c r="B16" s="1307" t="s">
        <v>2115</v>
      </c>
      <c r="C16" s="1311">
        <v>84.367000000000004</v>
      </c>
      <c r="D16" s="1312" t="s">
        <v>2099</v>
      </c>
      <c r="E16" s="1313">
        <f>57952-22663</f>
        <v>35289</v>
      </c>
      <c r="F16" s="1313">
        <v>22663</v>
      </c>
      <c r="G16" s="1313">
        <v>57952</v>
      </c>
      <c r="H16" s="1313"/>
      <c r="I16" s="1313"/>
      <c r="J16" s="1313"/>
      <c r="K16" s="1313"/>
      <c r="L16" s="1310">
        <f t="shared" ref="L16:L17" si="1">+G16+I16+K16</f>
        <v>57952</v>
      </c>
      <c r="M16" s="1313">
        <v>70783</v>
      </c>
    </row>
    <row r="17" spans="2:14" ht="20.100000000000001" customHeight="1" x14ac:dyDescent="0.2">
      <c r="B17" s="1307" t="s">
        <v>2105</v>
      </c>
      <c r="C17" s="1311">
        <v>84.367000000000004</v>
      </c>
      <c r="D17" s="1312" t="s">
        <v>2100</v>
      </c>
      <c r="E17" s="1313"/>
      <c r="F17" s="1313">
        <v>56489</v>
      </c>
      <c r="G17" s="1313"/>
      <c r="H17" s="1313"/>
      <c r="I17" s="1313">
        <v>66700</v>
      </c>
      <c r="J17" s="1313"/>
      <c r="K17" s="1313"/>
      <c r="L17" s="1310">
        <f t="shared" si="1"/>
        <v>66700</v>
      </c>
      <c r="M17" s="1313">
        <v>66700</v>
      </c>
    </row>
    <row r="18" spans="2:14" ht="20.100000000000001" customHeight="1" x14ac:dyDescent="0.2">
      <c r="B18" s="323"/>
      <c r="C18" s="1311"/>
      <c r="D18" s="1312"/>
      <c r="E18" s="1313"/>
      <c r="F18" s="1313"/>
      <c r="G18" s="1313"/>
      <c r="H18" s="1313"/>
      <c r="I18" s="1313"/>
      <c r="J18" s="1313"/>
      <c r="K18" s="1313"/>
      <c r="L18" s="1310"/>
      <c r="M18" s="1313"/>
    </row>
    <row r="19" spans="2:14" ht="20.100000000000001" customHeight="1" x14ac:dyDescent="0.2">
      <c r="B19" s="1307"/>
      <c r="C19" s="1311"/>
      <c r="D19" s="1312"/>
      <c r="E19" s="1313"/>
      <c r="F19" s="1313"/>
      <c r="G19" s="1313"/>
      <c r="H19" s="1313"/>
      <c r="I19" s="1313"/>
      <c r="J19" s="1313"/>
      <c r="K19" s="1313"/>
      <c r="L19" s="1310"/>
      <c r="M19" s="1313"/>
    </row>
    <row r="20" spans="2:14" ht="20.100000000000001" customHeight="1" x14ac:dyDescent="0.2">
      <c r="B20" s="1307" t="s">
        <v>2083</v>
      </c>
      <c r="C20" s="1311"/>
      <c r="D20" s="1312"/>
      <c r="E20" s="1313"/>
      <c r="F20" s="1313"/>
      <c r="G20" s="1313"/>
      <c r="H20" s="1313"/>
      <c r="I20" s="1313"/>
      <c r="J20" s="1313"/>
      <c r="K20" s="1313"/>
      <c r="L20" s="1310"/>
      <c r="M20" s="1313"/>
    </row>
    <row r="21" spans="2:14" ht="20.100000000000001" customHeight="1" x14ac:dyDescent="0.2">
      <c r="B21" s="1307" t="s">
        <v>2084</v>
      </c>
      <c r="C21" s="1311"/>
      <c r="D21" s="1312"/>
      <c r="E21" s="1313"/>
      <c r="F21" s="1313"/>
      <c r="G21" s="1313"/>
      <c r="H21" s="1313"/>
      <c r="I21" s="1313"/>
      <c r="J21" s="1313"/>
      <c r="K21" s="1313"/>
      <c r="L21" s="1310"/>
      <c r="M21" s="1313"/>
    </row>
    <row r="22" spans="2:14" ht="20.100000000000001" customHeight="1" x14ac:dyDescent="0.2">
      <c r="B22" s="1307" t="s">
        <v>2112</v>
      </c>
      <c r="C22" s="1311">
        <v>84.027000000000001</v>
      </c>
      <c r="D22" s="1312" t="s">
        <v>2117</v>
      </c>
      <c r="E22" s="1313"/>
      <c r="F22" s="1313">
        <v>5543</v>
      </c>
      <c r="G22" s="1313"/>
      <c r="H22" s="1313"/>
      <c r="I22" s="1313">
        <v>5543</v>
      </c>
      <c r="J22" s="1313"/>
      <c r="K22" s="1313"/>
      <c r="L22" s="1310">
        <f t="shared" si="0"/>
        <v>5543</v>
      </c>
      <c r="M22" s="1313" t="s">
        <v>2081</v>
      </c>
    </row>
    <row r="23" spans="2:14" ht="20.100000000000001" customHeight="1" x14ac:dyDescent="0.2">
      <c r="B23" s="1307" t="s">
        <v>2082</v>
      </c>
      <c r="C23" s="1311"/>
      <c r="D23" s="1312"/>
      <c r="E23" s="1313"/>
      <c r="F23" s="1313"/>
      <c r="G23" s="1313"/>
      <c r="H23" s="1313"/>
      <c r="I23" s="1313"/>
      <c r="J23" s="1313"/>
      <c r="K23" s="1313"/>
      <c r="L23" s="1310"/>
      <c r="M23" s="1313"/>
    </row>
    <row r="24" spans="2:14" ht="20.100000000000001" customHeight="1" x14ac:dyDescent="0.2">
      <c r="B24" s="1307" t="s">
        <v>2106</v>
      </c>
      <c r="C24" s="1311">
        <v>84.027000000000001</v>
      </c>
      <c r="D24" s="1312" t="s">
        <v>2118</v>
      </c>
      <c r="E24" s="1313"/>
      <c r="F24" s="1313">
        <v>376666</v>
      </c>
      <c r="G24" s="1313"/>
      <c r="H24" s="1313"/>
      <c r="I24" s="1313">
        <v>376666</v>
      </c>
      <c r="J24" s="1313"/>
      <c r="K24" s="1313"/>
      <c r="L24" s="1310">
        <f t="shared" si="0"/>
        <v>376666</v>
      </c>
      <c r="M24" s="1313">
        <v>381616</v>
      </c>
    </row>
    <row r="25" spans="2:14" ht="20.100000000000001" customHeight="1" x14ac:dyDescent="0.2">
      <c r="B25" s="1307" t="s">
        <v>2107</v>
      </c>
      <c r="C25" s="1311">
        <v>84.173000000000002</v>
      </c>
      <c r="D25" s="1312" t="s">
        <v>2119</v>
      </c>
      <c r="E25" s="1313"/>
      <c r="F25" s="1313">
        <v>21806</v>
      </c>
      <c r="G25" s="1313"/>
      <c r="H25" s="1313"/>
      <c r="I25" s="1313">
        <v>21806</v>
      </c>
      <c r="J25" s="1313"/>
      <c r="K25" s="1313"/>
      <c r="L25" s="1310">
        <f t="shared" si="0"/>
        <v>21806</v>
      </c>
      <c r="M25" s="1313">
        <v>22324</v>
      </c>
    </row>
    <row r="26" spans="2:14" ht="20.100000000000001" customHeight="1" x14ac:dyDescent="0.2">
      <c r="B26" s="1307" t="s">
        <v>2101</v>
      </c>
      <c r="C26" s="1311"/>
      <c r="D26" s="1312"/>
      <c r="E26" s="1313">
        <f>+E22+E24+E25</f>
        <v>0</v>
      </c>
      <c r="F26" s="1313">
        <f>+F22+F24+F25</f>
        <v>404015</v>
      </c>
      <c r="G26" s="1313"/>
      <c r="H26" s="1313"/>
      <c r="I26" s="1313">
        <f>+I22+I24+I25</f>
        <v>404015</v>
      </c>
      <c r="J26" s="1313"/>
      <c r="K26" s="1313"/>
      <c r="L26" s="1310"/>
      <c r="M26" s="1313"/>
    </row>
    <row r="27" spans="2:14" ht="20.100000000000001" customHeight="1" x14ac:dyDescent="0.2">
      <c r="B27" s="1307" t="s">
        <v>2075</v>
      </c>
      <c r="C27" s="1311"/>
      <c r="D27" s="1312"/>
      <c r="E27" s="1313">
        <f>+' SEFA'!E26+' SEFA'!E27+E13+E14+E15+E16+E17+E18+E22+E24+E25</f>
        <v>129782</v>
      </c>
      <c r="F27" s="1313">
        <f>+' SEFA'!F26+' SEFA'!F27+' SEFA (2)'!F13+' SEFA (2)'!F14+' SEFA (2)'!F15+F16+' SEFA (2)'!F17+' SEFA (2)'!F18+' SEFA (2)'!F22+' SEFA (2)'!F24+' SEFA (2)'!F25</f>
        <v>704196</v>
      </c>
      <c r="G27" s="1313">
        <f>+' SEFA'!G26+' SEFA'!G27+' SEFA (2)'!G13+' SEFA (2)'!G14+' SEFA (2)'!G15+G16+' SEFA (2)'!G17+' SEFA (2)'!G18+' SEFA (2)'!G22+' SEFA (2)'!G24+' SEFA (2)'!G25</f>
        <v>179190</v>
      </c>
      <c r="H27" s="1313"/>
      <c r="I27" s="1313">
        <f>+' SEFA'!I26+' SEFA'!I27+' SEFA (2)'!I13+' SEFA (2)'!I14+' SEFA (2)'!I15+' SEFA (2)'!I17+' SEFA (2)'!I24+' SEFA (2)'!I25+' SEFA (2)'!I22</f>
        <v>754629</v>
      </c>
      <c r="J27" s="1313"/>
      <c r="K27" s="1313"/>
      <c r="L27" s="1310">
        <f t="shared" si="0"/>
        <v>933819</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1734</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1837</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1735</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1736</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1737</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1738</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13" colorId="8" zoomScale="110" zoomScaleNormal="110" workbookViewId="0">
      <selection activeCell="L93" sqref="L9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1" t="s">
        <v>1168</v>
      </c>
      <c r="B2" s="2131"/>
      <c r="C2" s="2131"/>
      <c r="D2" s="2131"/>
      <c r="E2" s="2131"/>
      <c r="F2" s="2131"/>
      <c r="G2" s="2131"/>
      <c r="H2" s="2131"/>
      <c r="I2" s="2131"/>
      <c r="J2" s="213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45" t="s">
        <v>1633</v>
      </c>
      <c r="B35" s="2146"/>
      <c r="C35" s="2146"/>
      <c r="D35" s="2146"/>
      <c r="E35" s="2147"/>
      <c r="F35" s="2147"/>
      <c r="G35" s="2147"/>
      <c r="H35" s="2147"/>
      <c r="I35" s="214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45" t="s">
        <v>313</v>
      </c>
      <c r="B47" s="2148"/>
      <c r="C47" s="2148"/>
      <c r="D47" s="2148"/>
      <c r="E47" s="2149"/>
      <c r="F47" s="2149"/>
      <c r="G47" s="2149"/>
      <c r="H47" s="2149"/>
      <c r="I47" s="214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2149</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2"/>
      <c r="C57" s="2153"/>
      <c r="D57" s="2153"/>
      <c r="E57" s="2153"/>
      <c r="F57" s="2153"/>
      <c r="G57" s="2153"/>
      <c r="H57" s="2153"/>
      <c r="I57" s="2153"/>
      <c r="J57" s="2154"/>
    </row>
    <row r="58" spans="1:10" s="181" customFormat="1" x14ac:dyDescent="0.2">
      <c r="A58" s="253"/>
      <c r="B58" s="2155"/>
      <c r="C58" s="2156"/>
      <c r="D58" s="2156"/>
      <c r="E58" s="2156"/>
      <c r="F58" s="2156"/>
      <c r="G58" s="2156"/>
      <c r="H58" s="2156"/>
      <c r="I58" s="2156"/>
      <c r="J58" s="2157"/>
    </row>
    <row r="59" spans="1:10" s="181" customFormat="1" x14ac:dyDescent="0.2">
      <c r="A59" s="253"/>
      <c r="B59" s="2155"/>
      <c r="C59" s="2156"/>
      <c r="D59" s="2156"/>
      <c r="E59" s="2156"/>
      <c r="F59" s="2156"/>
      <c r="G59" s="2156"/>
      <c r="H59" s="2156"/>
      <c r="I59" s="2156"/>
      <c r="J59" s="2157"/>
    </row>
    <row r="60" spans="1:10" s="181" customFormat="1" x14ac:dyDescent="0.2">
      <c r="A60" s="253"/>
      <c r="B60" s="2155"/>
      <c r="C60" s="2156"/>
      <c r="D60" s="2156"/>
      <c r="E60" s="2156"/>
      <c r="F60" s="2156"/>
      <c r="G60" s="2156"/>
      <c r="H60" s="2156"/>
      <c r="I60" s="2156"/>
      <c r="J60" s="2157"/>
    </row>
    <row r="61" spans="1:10" s="181" customFormat="1" x14ac:dyDescent="0.2">
      <c r="A61" s="253"/>
      <c r="B61" s="2155"/>
      <c r="C61" s="2156"/>
      <c r="D61" s="2156"/>
      <c r="E61" s="2156"/>
      <c r="F61" s="2156"/>
      <c r="G61" s="2156"/>
      <c r="H61" s="2156"/>
      <c r="I61" s="2156"/>
      <c r="J61" s="2157"/>
    </row>
    <row r="62" spans="1:10" s="181" customFormat="1" x14ac:dyDescent="0.2">
      <c r="A62" s="253"/>
      <c r="B62" s="2155"/>
      <c r="C62" s="2156"/>
      <c r="D62" s="2156"/>
      <c r="E62" s="2156"/>
      <c r="F62" s="2156"/>
      <c r="G62" s="2156"/>
      <c r="H62" s="2156"/>
      <c r="I62" s="2156"/>
      <c r="J62" s="2157"/>
    </row>
    <row r="63" spans="1:10" s="181" customFormat="1" x14ac:dyDescent="0.2">
      <c r="A63" s="253"/>
      <c r="B63" s="2155"/>
      <c r="C63" s="2156"/>
      <c r="D63" s="2156"/>
      <c r="E63" s="2156"/>
      <c r="F63" s="2156"/>
      <c r="G63" s="2156"/>
      <c r="H63" s="2156"/>
      <c r="I63" s="2156"/>
      <c r="J63" s="2157"/>
    </row>
    <row r="64" spans="1:10" s="181" customFormat="1" x14ac:dyDescent="0.2">
      <c r="A64" s="253"/>
      <c r="B64" s="2155"/>
      <c r="C64" s="2156"/>
      <c r="D64" s="2156"/>
      <c r="E64" s="2156"/>
      <c r="F64" s="2156"/>
      <c r="G64" s="2156"/>
      <c r="H64" s="2156"/>
      <c r="I64" s="2156"/>
      <c r="J64" s="2157"/>
    </row>
    <row r="65" spans="1:10" s="181" customFormat="1" x14ac:dyDescent="0.2">
      <c r="A65" s="253"/>
      <c r="B65" s="2155"/>
      <c r="C65" s="2156"/>
      <c r="D65" s="2156"/>
      <c r="E65" s="2156"/>
      <c r="F65" s="2156"/>
      <c r="G65" s="2156"/>
      <c r="H65" s="2156"/>
      <c r="I65" s="2156"/>
      <c r="J65" s="2157"/>
    </row>
    <row r="66" spans="1:10" s="181" customFormat="1" x14ac:dyDescent="0.2">
      <c r="A66" s="253"/>
      <c r="B66" s="2155"/>
      <c r="C66" s="2156"/>
      <c r="D66" s="2156"/>
      <c r="E66" s="2156"/>
      <c r="F66" s="2156"/>
      <c r="G66" s="2156"/>
      <c r="H66" s="2156"/>
      <c r="I66" s="2156"/>
      <c r="J66" s="2157"/>
    </row>
    <row r="67" spans="1:10" s="181" customFormat="1" ht="9" customHeight="1" x14ac:dyDescent="0.2">
      <c r="A67" s="254"/>
      <c r="B67" s="2158"/>
      <c r="C67" s="2159"/>
      <c r="D67" s="2159"/>
      <c r="E67" s="2159"/>
      <c r="F67" s="2159"/>
      <c r="G67" s="2159"/>
      <c r="H67" s="2159"/>
      <c r="I67" s="2159"/>
      <c r="J67" s="216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45" t="s">
        <v>1323</v>
      </c>
      <c r="B70" s="2148"/>
      <c r="C70" s="2148"/>
      <c r="D70" s="2148"/>
      <c r="E70" s="2149"/>
      <c r="F70" s="2149"/>
      <c r="G70" s="2149"/>
      <c r="H70" s="2149"/>
      <c r="I70" s="214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1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0" t="s">
        <v>1320</v>
      </c>
      <c r="B83" s="2150"/>
      <c r="C83" s="2150"/>
      <c r="D83" s="215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32"/>
      <c r="C102" s="2133"/>
      <c r="D102" s="2133"/>
      <c r="E102" s="2133"/>
      <c r="F102" s="2133"/>
      <c r="G102" s="2133"/>
      <c r="H102" s="2133"/>
      <c r="I102" s="2134"/>
    </row>
    <row r="103" spans="1:9" s="181" customFormat="1" ht="11.25" customHeight="1" x14ac:dyDescent="0.2">
      <c r="A103" s="316"/>
      <c r="B103" s="2135"/>
      <c r="C103" s="2136"/>
      <c r="D103" s="2136"/>
      <c r="E103" s="2136"/>
      <c r="F103" s="2136"/>
      <c r="G103" s="2136"/>
      <c r="H103" s="2136"/>
      <c r="I103" s="2137"/>
    </row>
    <row r="104" spans="1:9" s="181" customFormat="1" ht="11.25" customHeight="1" x14ac:dyDescent="0.2">
      <c r="A104" s="316"/>
      <c r="B104" s="2135"/>
      <c r="C104" s="2136"/>
      <c r="D104" s="2136"/>
      <c r="E104" s="2136"/>
      <c r="F104" s="2136"/>
      <c r="G104" s="2136"/>
      <c r="H104" s="2136"/>
      <c r="I104" s="2137"/>
    </row>
    <row r="105" spans="1:9" s="181" customFormat="1" x14ac:dyDescent="0.2">
      <c r="A105" s="316"/>
      <c r="B105" s="2135"/>
      <c r="C105" s="2136"/>
      <c r="D105" s="2136"/>
      <c r="E105" s="2136"/>
      <c r="F105" s="2136"/>
      <c r="G105" s="2136"/>
      <c r="H105" s="2136"/>
      <c r="I105" s="2137"/>
    </row>
    <row r="106" spans="1:9" s="181" customFormat="1" ht="11.25" customHeight="1" x14ac:dyDescent="0.2">
      <c r="A106" s="316"/>
      <c r="B106" s="2135"/>
      <c r="C106" s="2136"/>
      <c r="D106" s="2136"/>
      <c r="E106" s="2136"/>
      <c r="F106" s="2136"/>
      <c r="G106" s="2136"/>
      <c r="H106" s="2136"/>
      <c r="I106" s="2137"/>
    </row>
    <row r="107" spans="1:9" s="181" customFormat="1" ht="11.25" customHeight="1" x14ac:dyDescent="0.2">
      <c r="A107" s="316"/>
      <c r="B107" s="2135"/>
      <c r="C107" s="2136"/>
      <c r="D107" s="2136"/>
      <c r="E107" s="2136"/>
      <c r="F107" s="2136"/>
      <c r="G107" s="2136"/>
      <c r="H107" s="2136"/>
      <c r="I107" s="2137"/>
    </row>
    <row r="108" spans="1:9" s="181" customFormat="1" ht="11.25" customHeight="1" x14ac:dyDescent="0.2">
      <c r="A108" s="316"/>
      <c r="B108" s="2135"/>
      <c r="C108" s="2136"/>
      <c r="D108" s="2136"/>
      <c r="E108" s="2136"/>
      <c r="F108" s="2136"/>
      <c r="G108" s="2136"/>
      <c r="H108" s="2136"/>
      <c r="I108" s="2137"/>
    </row>
    <row r="109" spans="1:9" s="181" customFormat="1" ht="11.25" customHeight="1" x14ac:dyDescent="0.2">
      <c r="A109" s="316"/>
      <c r="B109" s="2135"/>
      <c r="C109" s="2136"/>
      <c r="D109" s="2136"/>
      <c r="E109" s="2136"/>
      <c r="F109" s="2136"/>
      <c r="G109" s="2136"/>
      <c r="H109" s="2136"/>
      <c r="I109" s="2137"/>
    </row>
    <row r="110" spans="1:9" s="181" customFormat="1" ht="11.25" customHeight="1" x14ac:dyDescent="0.2">
      <c r="A110" s="316"/>
      <c r="B110" s="2135"/>
      <c r="C110" s="2136"/>
      <c r="D110" s="2136"/>
      <c r="E110" s="2136"/>
      <c r="F110" s="2136"/>
      <c r="G110" s="2136"/>
      <c r="H110" s="2136"/>
      <c r="I110" s="2137"/>
    </row>
    <row r="111" spans="1:9" s="181" customFormat="1" ht="11.25" customHeight="1" x14ac:dyDescent="0.2">
      <c r="A111" s="316"/>
      <c r="B111" s="2135"/>
      <c r="C111" s="2136"/>
      <c r="D111" s="2136"/>
      <c r="E111" s="2136"/>
      <c r="F111" s="2136"/>
      <c r="G111" s="2136"/>
      <c r="H111" s="2136"/>
      <c r="I111" s="2137"/>
    </row>
    <row r="112" spans="1:9" s="181" customFormat="1" ht="11.25" customHeight="1" x14ac:dyDescent="0.2">
      <c r="A112" s="316"/>
      <c r="B112" s="2138"/>
      <c r="C112" s="2139"/>
      <c r="D112" s="2139"/>
      <c r="E112" s="2139"/>
      <c r="F112" s="2139"/>
      <c r="G112" s="2139"/>
      <c r="H112" s="2139"/>
      <c r="I112" s="214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1"/>
      <c r="D114" s="214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2" t="s">
        <v>1330</v>
      </c>
      <c r="D117" s="2143"/>
      <c r="E117" s="2144"/>
      <c r="F117" s="2144"/>
      <c r="G117" s="2144"/>
      <c r="H117" s="2144"/>
      <c r="I117" s="304"/>
    </row>
    <row r="118" spans="1:9" s="181" customFormat="1" ht="24" customHeight="1" x14ac:dyDescent="0.2">
      <c r="A118" s="316"/>
      <c r="B118" s="316"/>
      <c r="C118" s="316"/>
      <c r="D118" s="323"/>
      <c r="E118" s="322"/>
      <c r="F118" s="324"/>
      <c r="G118" s="1813"/>
      <c r="H118" s="322"/>
      <c r="I118" s="304"/>
    </row>
    <row r="119" spans="1:9" s="181" customFormat="1" ht="11.25" customHeight="1" x14ac:dyDescent="0.2">
      <c r="A119" s="325"/>
      <c r="B119" s="325"/>
      <c r="C119" s="326"/>
      <c r="D119" s="327" t="s">
        <v>361</v>
      </c>
      <c r="E119" s="310"/>
      <c r="F119" s="1812" t="s">
        <v>1903</v>
      </c>
      <c r="G119" s="328"/>
      <c r="H119" s="328"/>
      <c r="I119" s="304"/>
    </row>
    <row r="120" spans="1:9" x14ac:dyDescent="0.2">
      <c r="A120" s="329"/>
      <c r="B120" s="180"/>
      <c r="C120" s="330"/>
      <c r="D120" s="256"/>
      <c r="E120" s="256"/>
      <c r="F120" s="256"/>
      <c r="G120" s="256"/>
      <c r="H120" s="256"/>
      <c r="I120" s="304"/>
    </row>
    <row r="121" spans="1:9" x14ac:dyDescent="0.2">
      <c r="A121" s="329"/>
      <c r="B121" s="1461"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9"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8DFA7-0A44-442D-A5D2-B7B5D5AA8A57}">
  <sheetPr codeName="Sheet12">
    <tabColor rgb="FF92D050"/>
    <pageSetUpPr fitToPage="1"/>
  </sheetPr>
  <dimension ref="B1:N152"/>
  <sheetViews>
    <sheetView showGridLines="0" topLeftCell="A4" zoomScaleNormal="100" workbookViewId="0">
      <selection activeCell="B28" sqref="B28:B29"/>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67" t="str">
        <f>'Single Audit Cover'!A7</f>
        <v>Lake Villa CCSD 41</v>
      </c>
      <c r="C1" s="2510"/>
      <c r="D1" s="2510"/>
      <c r="E1" s="2510"/>
      <c r="F1" s="2510"/>
      <c r="G1" s="2510"/>
      <c r="H1" s="2510"/>
      <c r="I1" s="2510"/>
      <c r="J1" s="2510"/>
      <c r="K1" s="2510"/>
      <c r="L1" s="2510"/>
      <c r="M1" s="2510"/>
    </row>
    <row r="2" spans="2:14" ht="15" x14ac:dyDescent="0.2">
      <c r="B2" s="2511">
        <f>'Single Audit Cover'!E7</f>
        <v>34049041004</v>
      </c>
      <c r="C2" s="2511"/>
      <c r="D2" s="2511"/>
      <c r="E2" s="2511"/>
      <c r="F2" s="2511"/>
      <c r="G2" s="2511"/>
      <c r="H2" s="2511"/>
      <c r="I2" s="2511"/>
      <c r="J2" s="2511"/>
      <c r="K2" s="2511"/>
      <c r="L2" s="2511"/>
      <c r="M2" s="2511"/>
      <c r="N2" s="1272"/>
    </row>
    <row r="3" spans="2:14" ht="15" x14ac:dyDescent="0.2">
      <c r="B3" s="2512" t="s">
        <v>1219</v>
      </c>
      <c r="C3" s="2512"/>
      <c r="D3" s="2512"/>
      <c r="E3" s="2512"/>
      <c r="F3" s="2512"/>
      <c r="G3" s="2512"/>
      <c r="H3" s="2512"/>
      <c r="I3" s="2512"/>
      <c r="J3" s="2512"/>
      <c r="K3" s="2512"/>
      <c r="L3" s="2512"/>
      <c r="M3" s="2512"/>
      <c r="N3" s="1272"/>
    </row>
    <row r="4" spans="2:14" ht="15" x14ac:dyDescent="0.2">
      <c r="B4" s="2513" t="str">
        <f>'Single Audit Cover'!A4</f>
        <v>Year Ending June 30, 2019</v>
      </c>
      <c r="C4" s="2513"/>
      <c r="D4" s="2513"/>
      <c r="E4" s="2513"/>
      <c r="F4" s="2513"/>
      <c r="G4" s="2513"/>
      <c r="H4" s="2513"/>
      <c r="I4" s="2513"/>
      <c r="J4" s="2513"/>
      <c r="K4" s="2513"/>
      <c r="L4" s="2513"/>
      <c r="M4" s="2513"/>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2086</v>
      </c>
      <c r="C11" s="1308"/>
      <c r="D11" s="1309"/>
      <c r="E11" s="1310"/>
      <c r="F11" s="1310"/>
      <c r="G11" s="1310"/>
      <c r="H11" s="1310"/>
      <c r="I11" s="1310"/>
      <c r="J11" s="1310"/>
      <c r="K11" s="1310"/>
      <c r="L11" s="1310"/>
      <c r="M11" s="1310"/>
    </row>
    <row r="12" spans="2:14" ht="20.100000000000001" customHeight="1" x14ac:dyDescent="0.2">
      <c r="B12" s="1307" t="s">
        <v>2087</v>
      </c>
      <c r="C12" s="1311"/>
      <c r="D12" s="1312"/>
      <c r="E12" s="1313"/>
      <c r="F12" s="1313"/>
      <c r="G12" s="1313"/>
      <c r="H12" s="1313"/>
      <c r="I12" s="1313"/>
      <c r="J12" s="1313"/>
      <c r="K12" s="1313"/>
      <c r="L12" s="1310"/>
      <c r="M12" s="1313"/>
    </row>
    <row r="13" spans="2:14" ht="20.100000000000001" customHeight="1" x14ac:dyDescent="0.2">
      <c r="B13" s="1307" t="s">
        <v>2088</v>
      </c>
      <c r="C13" s="1311"/>
      <c r="D13" s="1312"/>
      <c r="E13" s="1313"/>
      <c r="F13" s="1313"/>
      <c r="G13" s="1313"/>
      <c r="H13" s="1313"/>
      <c r="I13" s="1313"/>
      <c r="J13" s="1313"/>
      <c r="K13" s="1313"/>
      <c r="L13" s="1310"/>
      <c r="M13" s="1313"/>
    </row>
    <row r="14" spans="2:14" ht="20.100000000000001" customHeight="1" x14ac:dyDescent="0.2">
      <c r="B14" s="1307" t="s">
        <v>2089</v>
      </c>
      <c r="C14" s="1311">
        <v>93.778000000000006</v>
      </c>
      <c r="D14" s="1312" t="s">
        <v>2092</v>
      </c>
      <c r="E14" s="1313">
        <v>24795</v>
      </c>
      <c r="F14" s="1313">
        <v>8541</v>
      </c>
      <c r="G14" s="1313">
        <v>33336</v>
      </c>
      <c r="H14" s="1313"/>
      <c r="I14" s="1313"/>
      <c r="J14" s="1313"/>
      <c r="K14" s="1313"/>
      <c r="L14" s="1310">
        <f t="shared" ref="L14:L17" si="0">+G14+I14+K14</f>
        <v>33336</v>
      </c>
      <c r="M14" s="1313" t="s">
        <v>2081</v>
      </c>
    </row>
    <row r="15" spans="2:14" ht="20.100000000000001" customHeight="1" x14ac:dyDescent="0.2">
      <c r="B15" s="1307" t="s">
        <v>2090</v>
      </c>
      <c r="C15" s="1311">
        <v>93.778000000000006</v>
      </c>
      <c r="D15" s="1312" t="s">
        <v>2091</v>
      </c>
      <c r="E15" s="1313"/>
      <c r="F15" s="1313">
        <v>23321</v>
      </c>
      <c r="G15" s="1313"/>
      <c r="H15" s="1313"/>
      <c r="I15" s="1313">
        <v>32108</v>
      </c>
      <c r="J15" s="1313"/>
      <c r="K15" s="1313"/>
      <c r="L15" s="1310">
        <f t="shared" si="0"/>
        <v>32108</v>
      </c>
      <c r="M15" s="1313" t="s">
        <v>2081</v>
      </c>
    </row>
    <row r="16" spans="2:14" ht="20.100000000000001" customHeight="1" x14ac:dyDescent="0.2">
      <c r="B16" s="1307"/>
      <c r="C16" s="1311"/>
      <c r="D16" s="1312"/>
      <c r="E16" s="1313"/>
      <c r="F16" s="1313"/>
      <c r="G16" s="1313"/>
      <c r="H16" s="1313"/>
      <c r="I16" s="1313"/>
      <c r="J16" s="1313"/>
      <c r="K16" s="1313"/>
      <c r="L16" s="1310"/>
      <c r="M16" s="1313"/>
    </row>
    <row r="17" spans="2:14" ht="20.100000000000001" customHeight="1" x14ac:dyDescent="0.2">
      <c r="B17" s="1307" t="s">
        <v>2093</v>
      </c>
      <c r="C17" s="1311"/>
      <c r="D17" s="1312"/>
      <c r="E17" s="1313">
        <f>+E14+E15</f>
        <v>24795</v>
      </c>
      <c r="F17" s="1313">
        <f>+F14+F15</f>
        <v>31862</v>
      </c>
      <c r="G17" s="1313">
        <f>+G14+G15</f>
        <v>33336</v>
      </c>
      <c r="H17" s="1313"/>
      <c r="I17" s="1313">
        <f>+I14+I15</f>
        <v>32108</v>
      </c>
      <c r="J17" s="1313"/>
      <c r="K17" s="1313"/>
      <c r="L17" s="1310">
        <f t="shared" si="0"/>
        <v>65444</v>
      </c>
      <c r="M17" s="1313"/>
    </row>
    <row r="18" spans="2:14" ht="20.100000000000001" customHeight="1" x14ac:dyDescent="0.2">
      <c r="B18" s="1307"/>
      <c r="C18" s="1311"/>
      <c r="D18" s="1312"/>
      <c r="E18" s="1313"/>
      <c r="F18" s="1313"/>
      <c r="G18" s="1313"/>
      <c r="H18" s="1313"/>
      <c r="I18" s="1313"/>
      <c r="J18" s="1313"/>
      <c r="K18" s="1313"/>
      <c r="L18" s="1310"/>
      <c r="M18" s="1313"/>
    </row>
    <row r="19" spans="2:14" ht="20.100000000000001" customHeight="1" x14ac:dyDescent="0.2">
      <c r="B19" s="1307" t="s">
        <v>2094</v>
      </c>
      <c r="C19" s="1311"/>
      <c r="D19" s="1312"/>
      <c r="E19" s="1313">
        <f>+' SEFA'!E22+' SEFA (2)'!E27+' SEFA (3)'!E17</f>
        <v>430466</v>
      </c>
      <c r="F19" s="1313">
        <f>+' SEFA'!F22+' SEFA (2)'!F27+' SEFA (3)'!F17</f>
        <v>1132739</v>
      </c>
      <c r="G19" s="1313">
        <f>+' SEFA'!G22+' SEFA (2)'!G27+' SEFA (3)'!G17</f>
        <v>488415</v>
      </c>
      <c r="H19" s="1313"/>
      <c r="I19" s="1313">
        <f>+' SEFA'!I22+' SEFA (2)'!I27+' SEFA (3)'!I17</f>
        <v>1183418</v>
      </c>
      <c r="J19" s="1313"/>
      <c r="K19" s="1313"/>
      <c r="L19" s="1310">
        <f>+' SEFA'!L22+' SEFA (2)'!L27+' SEFA (3)'!L17</f>
        <v>1671833</v>
      </c>
      <c r="M19" s="1313"/>
    </row>
    <row r="20" spans="2:14" ht="20.100000000000001" customHeight="1" x14ac:dyDescent="0.2">
      <c r="B20" s="1307"/>
      <c r="C20" s="1311"/>
      <c r="D20" s="1312"/>
      <c r="E20" s="1313"/>
      <c r="F20" s="1313"/>
      <c r="G20" s="1313"/>
      <c r="H20" s="1313"/>
      <c r="I20" s="1313"/>
      <c r="J20" s="1313"/>
      <c r="K20" s="1313"/>
      <c r="L20" s="1310"/>
      <c r="M20" s="1313"/>
    </row>
    <row r="21" spans="2:14" ht="20.100000000000001" customHeight="1" x14ac:dyDescent="0.2">
      <c r="B21" s="1307"/>
      <c r="C21" s="1311"/>
      <c r="D21" s="1312"/>
      <c r="E21" s="1313"/>
      <c r="F21" s="1313"/>
      <c r="G21" s="1313"/>
      <c r="H21" s="1313"/>
      <c r="I21" s="1313"/>
      <c r="J21" s="1313"/>
      <c r="K21" s="1313"/>
      <c r="L21" s="1310"/>
      <c r="M21" s="1313"/>
    </row>
    <row r="22" spans="2:14" ht="20.100000000000001" customHeight="1" x14ac:dyDescent="0.2">
      <c r="B22" s="1307"/>
      <c r="C22" s="1311"/>
      <c r="D22" s="1312"/>
      <c r="E22" s="1313"/>
      <c r="F22" s="1313"/>
      <c r="G22" s="1313"/>
      <c r="H22" s="1313"/>
      <c r="I22" s="1313"/>
      <c r="J22" s="1313"/>
      <c r="K22" s="1313"/>
      <c r="L22" s="1310"/>
      <c r="M22" s="1313"/>
    </row>
    <row r="23" spans="2:14" ht="20.100000000000001" customHeight="1" x14ac:dyDescent="0.2">
      <c r="B23" s="1307"/>
      <c r="C23" s="1311"/>
      <c r="D23" s="1312"/>
      <c r="E23" s="1313"/>
      <c r="F23" s="1313"/>
      <c r="G23" s="1313"/>
      <c r="H23" s="1313"/>
      <c r="I23" s="1313"/>
      <c r="J23" s="1313"/>
      <c r="K23" s="1313"/>
      <c r="L23" s="1310"/>
      <c r="M23" s="1313"/>
    </row>
    <row r="24" spans="2:14" ht="20.100000000000001" customHeight="1" x14ac:dyDescent="0.2">
      <c r="B24" s="1307"/>
      <c r="C24" s="1311"/>
      <c r="D24" s="1312"/>
      <c r="E24" s="1313"/>
      <c r="F24" s="1313"/>
      <c r="G24" s="1313"/>
      <c r="H24" s="1313"/>
      <c r="I24" s="1313"/>
      <c r="J24" s="1313"/>
      <c r="K24" s="1313"/>
      <c r="L24" s="1310"/>
      <c r="M24" s="1313"/>
    </row>
    <row r="25" spans="2:14" ht="20.100000000000001" customHeight="1" x14ac:dyDescent="0.2">
      <c r="B25" s="1307"/>
      <c r="C25" s="1311"/>
      <c r="D25" s="1312"/>
      <c r="E25" s="1313"/>
      <c r="F25" s="1313"/>
      <c r="G25" s="1313"/>
      <c r="H25" s="1313"/>
      <c r="I25" s="1313"/>
      <c r="J25" s="1313"/>
      <c r="K25" s="1313"/>
      <c r="L25" s="1310"/>
      <c r="M25" s="1313"/>
    </row>
    <row r="26" spans="2:14" ht="20.100000000000001" customHeight="1" x14ac:dyDescent="0.2">
      <c r="B26" s="1307" t="s">
        <v>2108</v>
      </c>
      <c r="C26" s="1311"/>
      <c r="D26" s="1312"/>
      <c r="E26" s="1313"/>
      <c r="F26" s="1313"/>
      <c r="G26" s="1313"/>
      <c r="H26" s="1313"/>
      <c r="I26" s="1313"/>
      <c r="J26" s="1313"/>
      <c r="K26" s="1313"/>
      <c r="L26" s="1310"/>
      <c r="M26" s="1313"/>
    </row>
    <row r="27" spans="2:14" ht="20.100000000000001" customHeight="1" x14ac:dyDescent="0.2">
      <c r="B27" s="1307" t="s">
        <v>2109</v>
      </c>
      <c r="C27" s="1311"/>
      <c r="D27" s="1312"/>
      <c r="E27" s="1313"/>
      <c r="F27" s="1313"/>
      <c r="G27" s="1313"/>
      <c r="H27" s="1313"/>
      <c r="I27" s="1313"/>
      <c r="J27" s="1313"/>
      <c r="K27" s="1313"/>
      <c r="L27" s="1310"/>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1734</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1837</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1735</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1736</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1737</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1738</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34" zoomScale="120" zoomScaleNormal="120" workbookViewId="0">
      <selection activeCell="B51" sqref="B51:D51"/>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515" t="str">
        <f>'Single Audit Cover'!A7</f>
        <v>Lake Villa CCSD 41</v>
      </c>
      <c r="B1" s="2515"/>
      <c r="C1" s="2515"/>
      <c r="D1" s="2515"/>
      <c r="E1" s="2515"/>
      <c r="F1" s="2515"/>
    </row>
    <row r="2" spans="1:7" ht="13.5" customHeight="1" x14ac:dyDescent="0.2">
      <c r="A2" s="2511">
        <f>'Single Audit Cover'!E7</f>
        <v>34049041004</v>
      </c>
      <c r="B2" s="2511"/>
      <c r="C2" s="2511"/>
      <c r="D2" s="2511"/>
      <c r="E2" s="2511"/>
      <c r="F2" s="2511"/>
      <c r="G2" s="1245"/>
    </row>
    <row r="3" spans="1:7" ht="15.75" customHeight="1" x14ac:dyDescent="0.2">
      <c r="A3" s="2516" t="s">
        <v>1271</v>
      </c>
      <c r="B3" s="2516"/>
      <c r="C3" s="2516"/>
      <c r="D3" s="2516"/>
      <c r="E3" s="2516"/>
      <c r="F3" s="2516"/>
    </row>
    <row r="4" spans="1:7" ht="13.5" customHeight="1" x14ac:dyDescent="0.2">
      <c r="A4" s="2517" t="str">
        <f>'Single Audit Cover'!A4</f>
        <v>Year Ending June 30, 2019</v>
      </c>
      <c r="B4" s="2517"/>
      <c r="C4" s="2517"/>
      <c r="D4" s="2517"/>
      <c r="E4" s="2517"/>
      <c r="F4" s="2517"/>
    </row>
    <row r="5" spans="1:7" ht="8.25" customHeight="1" x14ac:dyDescent="0.2">
      <c r="C5" s="317"/>
      <c r="D5" s="317"/>
    </row>
    <row r="6" spans="1:7" ht="13.5" customHeight="1" x14ac:dyDescent="0.2">
      <c r="A6" s="1246" t="s">
        <v>1728</v>
      </c>
      <c r="C6" s="317"/>
      <c r="D6" s="317"/>
    </row>
    <row r="7" spans="1:7" ht="60.95" customHeight="1" x14ac:dyDescent="0.2">
      <c r="A7" s="2514" t="s">
        <v>2152</v>
      </c>
      <c r="B7" s="2514"/>
      <c r="C7" s="2514"/>
      <c r="D7" s="2514"/>
      <c r="E7" s="2514"/>
      <c r="F7" s="2514"/>
    </row>
    <row r="8" spans="1:7" ht="12" customHeight="1" x14ac:dyDescent="0.2">
      <c r="A8" s="1246"/>
      <c r="B8" s="1252"/>
      <c r="C8" s="1252"/>
      <c r="D8" s="1252"/>
    </row>
    <row r="9" spans="1:7" ht="15" customHeight="1" x14ac:dyDescent="0.2">
      <c r="A9" s="1247" t="s">
        <v>1729</v>
      </c>
      <c r="B9" s="1250"/>
      <c r="C9" s="1250"/>
      <c r="D9" s="1250"/>
      <c r="E9" s="1248"/>
      <c r="F9" s="1248"/>
      <c r="G9" s="1248"/>
    </row>
    <row r="10" spans="1:7" ht="15" customHeight="1" x14ac:dyDescent="0.2">
      <c r="A10" s="1249" t="s">
        <v>1547</v>
      </c>
      <c r="B10" s="1250"/>
      <c r="C10" s="1251"/>
      <c r="D10" s="1250" t="s">
        <v>1548</v>
      </c>
      <c r="E10" s="1251" t="s">
        <v>2120</v>
      </c>
      <c r="F10" s="1250" t="s">
        <v>99</v>
      </c>
      <c r="G10" s="1248"/>
    </row>
    <row r="11" spans="1:7" ht="12" customHeight="1" x14ac:dyDescent="0.2">
      <c r="A11" s="1249"/>
      <c r="B11" s="1250"/>
      <c r="C11" s="1875"/>
      <c r="D11" s="1250"/>
      <c r="E11" s="1875"/>
      <c r="F11" s="1250"/>
      <c r="G11" s="1248"/>
    </row>
    <row r="12" spans="1:7" x14ac:dyDescent="0.2">
      <c r="A12" s="1246" t="s">
        <v>1587</v>
      </c>
      <c r="C12" s="1230"/>
      <c r="D12" s="1230"/>
    </row>
    <row r="13" spans="1:7" ht="15" customHeight="1" x14ac:dyDescent="0.2">
      <c r="A13" s="2514" t="s">
        <v>2154</v>
      </c>
      <c r="B13" s="2514"/>
      <c r="C13" s="2514"/>
      <c r="D13" s="2514"/>
      <c r="E13" s="2514"/>
      <c r="F13" s="2514"/>
    </row>
    <row r="14" spans="1:7" ht="9.75" customHeight="1" x14ac:dyDescent="0.2">
      <c r="C14" s="1230"/>
      <c r="D14" s="1230"/>
    </row>
    <row r="15" spans="1:7" ht="13.5" customHeight="1" x14ac:dyDescent="0.2">
      <c r="C15" s="1819" t="s">
        <v>1270</v>
      </c>
      <c r="D15" s="2519" t="s">
        <v>1269</v>
      </c>
      <c r="E15" s="2519"/>
      <c r="F15" s="2519"/>
    </row>
    <row r="16" spans="1:7" ht="13.5" customHeight="1" x14ac:dyDescent="0.2">
      <c r="A16" s="1252"/>
      <c r="B16" s="1246" t="s">
        <v>1268</v>
      </c>
      <c r="C16" s="1819" t="s">
        <v>1267</v>
      </c>
      <c r="D16" s="2520" t="s">
        <v>1588</v>
      </c>
      <c r="E16" s="2520"/>
      <c r="F16" s="2520"/>
    </row>
    <row r="17" spans="1:6" ht="20.45" customHeight="1" x14ac:dyDescent="0.2">
      <c r="A17" s="1253"/>
      <c r="B17" s="1254" t="s">
        <v>2153</v>
      </c>
      <c r="C17" s="1255"/>
      <c r="D17" s="2518"/>
      <c r="E17" s="2518"/>
      <c r="F17" s="2518"/>
    </row>
    <row r="18" spans="1:6" ht="20.65" customHeight="1" x14ac:dyDescent="0.2">
      <c r="A18" s="1253"/>
      <c r="B18" s="1254"/>
      <c r="C18" s="1255"/>
      <c r="D18" s="2518"/>
      <c r="E18" s="2518"/>
      <c r="F18" s="2518"/>
    </row>
    <row r="19" spans="1:6" ht="20.65" customHeight="1" x14ac:dyDescent="0.2">
      <c r="A19" s="1253"/>
      <c r="B19" s="1254"/>
      <c r="C19" s="1255"/>
      <c r="D19" s="2518"/>
      <c r="E19" s="2518"/>
      <c r="F19" s="2518"/>
    </row>
    <row r="20" spans="1:6" ht="20.65" customHeight="1" x14ac:dyDescent="0.2">
      <c r="A20" s="1253"/>
      <c r="B20" s="1254"/>
      <c r="C20" s="1255"/>
      <c r="D20" s="2518"/>
      <c r="E20" s="2518"/>
      <c r="F20" s="2518"/>
    </row>
    <row r="21" spans="1:6" ht="20.65" customHeight="1" x14ac:dyDescent="0.2">
      <c r="A21" s="1253"/>
      <c r="B21" s="1254"/>
      <c r="C21" s="1255"/>
      <c r="D21" s="2518"/>
      <c r="E21" s="2518"/>
      <c r="F21" s="2518"/>
    </row>
    <row r="22" spans="1:6" ht="20.65" customHeight="1" x14ac:dyDescent="0.2">
      <c r="A22" s="1253"/>
      <c r="B22" s="1254"/>
      <c r="C22" s="1255"/>
      <c r="D22" s="2518"/>
      <c r="E22" s="2518"/>
      <c r="F22" s="2518"/>
    </row>
    <row r="23" spans="1:6" ht="20.65" customHeight="1" x14ac:dyDescent="0.2">
      <c r="A23" s="1253"/>
      <c r="B23" s="1254"/>
      <c r="C23" s="1255"/>
      <c r="D23" s="2518"/>
      <c r="E23" s="2518"/>
      <c r="F23" s="2518"/>
    </row>
    <row r="24" spans="1:6" ht="20.65" customHeight="1" x14ac:dyDescent="0.2">
      <c r="A24" s="1253"/>
      <c r="B24" s="1254"/>
      <c r="C24" s="1255"/>
      <c r="D24" s="2518"/>
      <c r="E24" s="2518"/>
      <c r="F24" s="2518"/>
    </row>
    <row r="25" spans="1:6" ht="20.65" customHeight="1" x14ac:dyDescent="0.2">
      <c r="A25" s="1253"/>
      <c r="B25" s="1254"/>
      <c r="C25" s="1255"/>
      <c r="D25" s="2518"/>
      <c r="E25" s="2518"/>
      <c r="F25" s="2518"/>
    </row>
    <row r="26" spans="1:6" ht="20.65" customHeight="1" x14ac:dyDescent="0.2">
      <c r="A26" s="1253"/>
      <c r="B26" s="1254"/>
      <c r="C26" s="1255"/>
      <c r="D26" s="2518"/>
      <c r="E26" s="2518"/>
      <c r="F26" s="2518"/>
    </row>
    <row r="27" spans="1:6" ht="20.65" customHeight="1" x14ac:dyDescent="0.2">
      <c r="A27" s="1253"/>
      <c r="B27" s="1254"/>
      <c r="C27" s="1255"/>
      <c r="D27" s="2518"/>
      <c r="E27" s="2518"/>
      <c r="F27" s="2518"/>
    </row>
    <row r="28" spans="1:6" ht="20.65" customHeight="1" x14ac:dyDescent="0.2">
      <c r="A28" s="1253"/>
      <c r="B28" s="1254"/>
      <c r="C28" s="1255"/>
      <c r="D28" s="2518"/>
      <c r="E28" s="2518"/>
      <c r="F28" s="2518"/>
    </row>
    <row r="29" spans="1:6" ht="20.65" customHeight="1" x14ac:dyDescent="0.2">
      <c r="A29" s="1253"/>
      <c r="B29" s="1254"/>
      <c r="C29" s="1255"/>
      <c r="D29" s="2518"/>
      <c r="E29" s="2518"/>
      <c r="F29" s="2518"/>
    </row>
    <row r="30" spans="1:6" ht="12" customHeight="1" x14ac:dyDescent="0.2">
      <c r="A30" s="328"/>
      <c r="B30" s="328"/>
      <c r="C30" s="1435"/>
      <c r="D30" s="1876"/>
      <c r="E30" s="1256"/>
    </row>
    <row r="31" spans="1:6" ht="12" customHeight="1" x14ac:dyDescent="0.2">
      <c r="A31" s="1257" t="s">
        <v>1549</v>
      </c>
      <c r="B31" s="328"/>
      <c r="C31" s="1435"/>
      <c r="D31" s="1876"/>
      <c r="E31" s="1256"/>
    </row>
    <row r="32" spans="1:6" ht="30" customHeight="1" x14ac:dyDescent="0.2">
      <c r="A32" s="2522" t="s">
        <v>2155</v>
      </c>
      <c r="B32" s="2522"/>
      <c r="C32" s="2522"/>
      <c r="D32" s="2522"/>
      <c r="E32" s="2522"/>
      <c r="F32" s="2522"/>
    </row>
    <row r="33" spans="1:6" ht="13.5" customHeight="1" x14ac:dyDescent="0.2">
      <c r="A33" s="328" t="s">
        <v>1434</v>
      </c>
      <c r="B33" s="328"/>
      <c r="C33" s="1258">
        <v>63870</v>
      </c>
      <c r="D33" s="1876"/>
      <c r="E33" s="1256"/>
    </row>
    <row r="34" spans="1:6" ht="13.5" customHeight="1" x14ac:dyDescent="0.2">
      <c r="A34" s="328" t="s">
        <v>1835</v>
      </c>
      <c r="B34" s="328"/>
      <c r="C34" s="1259">
        <v>0</v>
      </c>
      <c r="D34" s="1876" t="s">
        <v>1589</v>
      </c>
      <c r="E34" s="2523">
        <f>+C33+C34</f>
        <v>63870</v>
      </c>
      <c r="F34" s="2524"/>
    </row>
    <row r="35" spans="1:6" ht="12" customHeight="1" x14ac:dyDescent="0.2">
      <c r="A35" s="328"/>
      <c r="B35" s="328"/>
      <c r="C35" s="1877"/>
      <c r="D35" s="1876"/>
      <c r="E35" s="1260"/>
      <c r="F35" s="1261"/>
    </row>
    <row r="36" spans="1:6" ht="13.5" customHeight="1" x14ac:dyDescent="0.2">
      <c r="A36" s="1257" t="s">
        <v>1550</v>
      </c>
      <c r="B36" s="328"/>
      <c r="C36" s="1435"/>
      <c r="D36" s="1876"/>
      <c r="E36" s="1256"/>
    </row>
    <row r="37" spans="1:6" ht="14.25" customHeight="1" x14ac:dyDescent="0.2">
      <c r="A37" s="328" t="s">
        <v>1484</v>
      </c>
      <c r="B37" s="328"/>
      <c r="C37" s="1878"/>
      <c r="D37" s="1876"/>
      <c r="E37" s="1256"/>
    </row>
    <row r="38" spans="1:6" ht="14.25" customHeight="1" x14ac:dyDescent="0.2">
      <c r="A38" s="328"/>
      <c r="B38" s="328" t="s">
        <v>1435</v>
      </c>
      <c r="C38" s="1262" t="s">
        <v>99</v>
      </c>
      <c r="D38" s="1876"/>
      <c r="E38" s="1256"/>
    </row>
    <row r="39" spans="1:6" ht="14.25" customHeight="1" x14ac:dyDescent="0.2">
      <c r="A39" s="328"/>
      <c r="B39" s="328" t="s">
        <v>1436</v>
      </c>
      <c r="C39" s="1262" t="s">
        <v>99</v>
      </c>
      <c r="D39" s="1876"/>
      <c r="E39" s="1256"/>
    </row>
    <row r="40" spans="1:6" ht="14.25" customHeight="1" x14ac:dyDescent="0.2">
      <c r="A40" s="328"/>
      <c r="B40" s="328" t="s">
        <v>1437</v>
      </c>
      <c r="C40" s="1262" t="s">
        <v>99</v>
      </c>
      <c r="D40" s="1876"/>
      <c r="E40" s="1256"/>
    </row>
    <row r="41" spans="1:6" ht="14.25" customHeight="1" x14ac:dyDescent="0.2">
      <c r="A41" s="328"/>
      <c r="B41" s="328" t="s">
        <v>1438</v>
      </c>
      <c r="C41" s="1262" t="s">
        <v>99</v>
      </c>
      <c r="D41" s="1876"/>
      <c r="E41" s="1256"/>
    </row>
    <row r="42" spans="1:6" ht="14.25" customHeight="1" x14ac:dyDescent="0.2">
      <c r="A42" s="328" t="s">
        <v>1439</v>
      </c>
      <c r="B42" s="328"/>
      <c r="C42" s="1874" t="s">
        <v>99</v>
      </c>
      <c r="D42" s="1876"/>
      <c r="E42" s="1256"/>
    </row>
    <row r="43" spans="1:6" ht="14.25" customHeight="1" x14ac:dyDescent="0.2">
      <c r="A43" s="328" t="s">
        <v>1440</v>
      </c>
      <c r="B43" s="328"/>
      <c r="C43" s="1263" t="s">
        <v>99</v>
      </c>
      <c r="D43" s="1876"/>
      <c r="E43" s="1256"/>
    </row>
    <row r="44" spans="1:6" ht="14.25" customHeight="1" x14ac:dyDescent="0.2">
      <c r="A44" s="328"/>
      <c r="B44" s="328"/>
      <c r="C44" s="1878" t="s">
        <v>1441</v>
      </c>
      <c r="D44" s="1876"/>
      <c r="E44" s="1256"/>
    </row>
    <row r="45" spans="1:6" ht="13.5" customHeight="1" x14ac:dyDescent="0.2">
      <c r="B45" s="322"/>
      <c r="C45" s="1264"/>
      <c r="D45" s="1264"/>
    </row>
    <row r="46" spans="1:6" x14ac:dyDescent="0.2">
      <c r="A46" s="1265" t="s">
        <v>1730</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525" t="s">
        <v>1590</v>
      </c>
      <c r="C49" s="2525"/>
      <c r="D49" s="2525"/>
      <c r="E49" s="1369"/>
    </row>
    <row r="50" spans="1:5" s="1270" customFormat="1" ht="3.75" customHeight="1" x14ac:dyDescent="0.2">
      <c r="A50" s="1269"/>
      <c r="B50" s="1818"/>
      <c r="C50" s="1818"/>
      <c r="D50" s="1818"/>
      <c r="E50" s="1369"/>
    </row>
    <row r="51" spans="1:5" s="1270" customFormat="1" ht="20.25" customHeight="1" x14ac:dyDescent="0.2">
      <c r="A51" s="1271">
        <v>6</v>
      </c>
      <c r="B51" s="2521" t="s">
        <v>1551</v>
      </c>
      <c r="C51" s="2521"/>
      <c r="D51" s="2521"/>
    </row>
    <row r="52" spans="1:5" ht="14.25" customHeight="1" x14ac:dyDescent="0.2">
      <c r="A52" s="1271"/>
      <c r="B52" s="2521"/>
      <c r="C52" s="2521"/>
      <c r="D52" s="252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34" zoomScale="110" zoomScaleNormal="110" workbookViewId="0">
      <selection activeCell="E24" sqref="E24"/>
    </sheetView>
  </sheetViews>
  <sheetFormatPr defaultColWidth="9.140625" defaultRowHeight="12.75" x14ac:dyDescent="0.2"/>
  <cols>
    <col min="1" max="1" width="1.42578125" style="1270" customWidth="1"/>
    <col min="2" max="2" width="24.42578125" style="1327"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30" t="str">
        <f>'Single Audit Cover'!A7</f>
        <v>Lake Villa CCSD 41</v>
      </c>
      <c r="C1" s="2531"/>
      <c r="D1" s="2531"/>
      <c r="E1" s="2531"/>
      <c r="F1" s="2531"/>
      <c r="G1" s="2531"/>
      <c r="H1" s="2531"/>
      <c r="I1" s="2531"/>
      <c r="J1" s="1379"/>
    </row>
    <row r="2" spans="2:10" s="317" customFormat="1" ht="12.75" customHeight="1" x14ac:dyDescent="0.2">
      <c r="B2" s="2532">
        <f>'Single Audit Cover'!E7</f>
        <v>34049041004</v>
      </c>
      <c r="C2" s="2533"/>
      <c r="D2" s="2533"/>
      <c r="E2" s="2533"/>
      <c r="F2" s="2533"/>
      <c r="G2" s="2533"/>
      <c r="H2" s="2533"/>
      <c r="I2" s="2533"/>
      <c r="J2" s="1379"/>
    </row>
    <row r="3" spans="2:10" s="317" customFormat="1" ht="12.75" customHeight="1" x14ac:dyDescent="0.2">
      <c r="B3" s="2534" t="s">
        <v>1285</v>
      </c>
      <c r="C3" s="2535"/>
      <c r="D3" s="2535"/>
      <c r="E3" s="2535"/>
      <c r="F3" s="2535"/>
      <c r="G3" s="2535"/>
      <c r="H3" s="2535"/>
      <c r="I3" s="2535"/>
      <c r="J3" s="1380"/>
    </row>
    <row r="4" spans="2:10" s="317" customFormat="1" ht="12.75" customHeight="1" x14ac:dyDescent="0.2">
      <c r="B4" s="2534" t="str">
        <f>'Single Audit Cover'!A4</f>
        <v>Year Ending June 30, 2019</v>
      </c>
      <c r="C4" s="2535"/>
      <c r="D4" s="2535"/>
      <c r="E4" s="2535"/>
      <c r="F4" s="2535"/>
      <c r="G4" s="2535"/>
      <c r="H4" s="2535"/>
      <c r="I4" s="2535"/>
    </row>
    <row r="5" spans="2:10" s="317" customFormat="1" ht="6.2" customHeight="1" x14ac:dyDescent="0.2">
      <c r="B5" s="1381" t="s">
        <v>1169</v>
      </c>
      <c r="C5" s="1264"/>
      <c r="D5" s="1264"/>
      <c r="E5" s="1353"/>
      <c r="F5" s="322"/>
      <c r="G5" s="322"/>
      <c r="H5" s="322"/>
      <c r="I5" s="322"/>
    </row>
    <row r="6" spans="2:10" s="317" customFormat="1" ht="6.2" customHeight="1" x14ac:dyDescent="0.2">
      <c r="B6" s="1382"/>
      <c r="C6" s="1349"/>
      <c r="D6" s="1349"/>
      <c r="E6" s="1350"/>
      <c r="F6" s="1349"/>
      <c r="G6" s="1349"/>
      <c r="H6" s="1349"/>
      <c r="I6" s="1349"/>
    </row>
    <row r="7" spans="2:10" s="317" customFormat="1" ht="13.5" customHeight="1" x14ac:dyDescent="0.2">
      <c r="B7" s="2534" t="s">
        <v>1284</v>
      </c>
      <c r="C7" s="2535"/>
      <c r="D7" s="2535"/>
      <c r="E7" s="2535"/>
      <c r="F7" s="2535"/>
      <c r="G7" s="2535"/>
      <c r="H7" s="2535"/>
      <c r="I7" s="2535"/>
    </row>
    <row r="8" spans="2:10" s="317" customFormat="1" ht="6.2" customHeight="1" x14ac:dyDescent="0.2">
      <c r="B8" s="1383" t="s">
        <v>1169</v>
      </c>
      <c r="C8" s="1384"/>
      <c r="D8" s="1384"/>
      <c r="E8" s="1385"/>
      <c r="F8" s="1384"/>
      <c r="G8" s="1384"/>
      <c r="H8" s="1384"/>
      <c r="I8" s="1384"/>
    </row>
    <row r="9" spans="2:10" s="317" customFormat="1" ht="9" customHeight="1" x14ac:dyDescent="0.2">
      <c r="B9" s="1386"/>
      <c r="C9" s="322"/>
      <c r="D9" s="322"/>
      <c r="E9" s="1353"/>
      <c r="F9" s="322"/>
      <c r="G9" s="322"/>
      <c r="H9" s="322"/>
      <c r="I9" s="322"/>
    </row>
    <row r="10" spans="2:10" s="317" customFormat="1" ht="12.75" customHeight="1" x14ac:dyDescent="0.2">
      <c r="B10" s="1387" t="s">
        <v>1283</v>
      </c>
      <c r="C10" s="1388"/>
      <c r="D10" s="1388"/>
      <c r="E10" s="1228"/>
    </row>
    <row r="11" spans="2:10" s="317" customFormat="1" ht="13.5" customHeight="1" x14ac:dyDescent="0.2">
      <c r="B11" s="1319" t="s">
        <v>1282</v>
      </c>
      <c r="C11" s="2536" t="s">
        <v>2156</v>
      </c>
      <c r="D11" s="2536"/>
      <c r="E11" s="1389"/>
      <c r="F11" s="1389"/>
      <c r="G11" s="1389"/>
    </row>
    <row r="12" spans="2:10" s="317" customFormat="1" ht="11.45" customHeight="1" x14ac:dyDescent="0.2">
      <c r="B12" s="1327"/>
      <c r="C12" s="1390" t="s">
        <v>1442</v>
      </c>
      <c r="D12" s="1391"/>
      <c r="E12" s="1228"/>
    </row>
    <row r="13" spans="2:10" s="317" customFormat="1" ht="12.75" customHeight="1" x14ac:dyDescent="0.2">
      <c r="B13" s="1392"/>
      <c r="C13" s="1357"/>
      <c r="D13" s="1357"/>
      <c r="E13" s="1228"/>
    </row>
    <row r="14" spans="2:10" s="317" customFormat="1" ht="12.75" customHeight="1" x14ac:dyDescent="0.2">
      <c r="B14" s="1338" t="s">
        <v>1281</v>
      </c>
      <c r="C14" s="1252"/>
      <c r="E14" s="1228"/>
    </row>
    <row r="15" spans="2:10" s="317" customFormat="1" ht="13.5" customHeight="1" x14ac:dyDescent="0.2">
      <c r="B15" s="1393" t="s">
        <v>1278</v>
      </c>
      <c r="C15" s="1394"/>
      <c r="D15" s="1368"/>
      <c r="E15" s="1395"/>
      <c r="F15" s="1270" t="s">
        <v>885</v>
      </c>
      <c r="G15" s="1395" t="s">
        <v>2120</v>
      </c>
      <c r="H15" s="1270" t="s">
        <v>1276</v>
      </c>
      <c r="I15" s="1270"/>
    </row>
    <row r="16" spans="2:10" s="317" customFormat="1" ht="8.4499999999999993" customHeight="1" x14ac:dyDescent="0.2">
      <c r="B16" s="1338"/>
      <c r="C16" s="1252"/>
      <c r="E16" s="1353"/>
      <c r="F16" s="1270"/>
      <c r="G16" s="322"/>
      <c r="H16" s="1270"/>
      <c r="I16" s="1270"/>
    </row>
    <row r="17" spans="2:9" s="317" customFormat="1" ht="13.5" customHeight="1" x14ac:dyDescent="0.2">
      <c r="B17" s="1393" t="s">
        <v>1277</v>
      </c>
      <c r="C17" s="1394"/>
      <c r="D17" s="1368"/>
      <c r="E17" s="1396"/>
      <c r="F17" s="1227"/>
      <c r="G17" s="1396"/>
      <c r="H17" s="1270"/>
      <c r="I17" s="1270"/>
    </row>
    <row r="18" spans="2:9" s="317" customFormat="1" ht="12.75" customHeight="1" x14ac:dyDescent="0.2">
      <c r="B18" s="1393" t="s">
        <v>1443</v>
      </c>
      <c r="C18" s="1394"/>
      <c r="D18" s="1368"/>
      <c r="E18" s="1395"/>
      <c r="F18" s="1270" t="s">
        <v>885</v>
      </c>
      <c r="G18" s="1395" t="s">
        <v>2120</v>
      </c>
      <c r="H18" s="1270" t="s">
        <v>1276</v>
      </c>
      <c r="I18" s="1270"/>
    </row>
    <row r="19" spans="2:9" s="317" customFormat="1" ht="8.4499999999999993" customHeight="1" x14ac:dyDescent="0.2">
      <c r="B19" s="1338"/>
      <c r="C19" s="1252"/>
      <c r="E19" s="1353"/>
      <c r="F19" s="1270"/>
      <c r="G19" s="322"/>
      <c r="H19" s="1270"/>
      <c r="I19" s="1270"/>
    </row>
    <row r="20" spans="2:9" s="317" customFormat="1" ht="13.5" customHeight="1" x14ac:dyDescent="0.2">
      <c r="B20" s="1393" t="s">
        <v>1591</v>
      </c>
      <c r="C20" s="1394"/>
      <c r="D20" s="1368"/>
      <c r="E20" s="1395"/>
      <c r="F20" s="1270" t="s">
        <v>885</v>
      </c>
      <c r="G20" s="1395" t="s">
        <v>2120</v>
      </c>
      <c r="H20" s="1270" t="s">
        <v>99</v>
      </c>
      <c r="I20" s="1270"/>
    </row>
    <row r="21" spans="2:9" s="317" customFormat="1" ht="12.75" customHeight="1" x14ac:dyDescent="0.2">
      <c r="B21" s="1338"/>
      <c r="C21" s="1252"/>
      <c r="E21" s="1353"/>
      <c r="F21" s="1270"/>
      <c r="G21" s="322"/>
      <c r="H21" s="1270"/>
      <c r="I21" s="1270"/>
    </row>
    <row r="22" spans="2:9" s="317" customFormat="1" ht="12.75" customHeight="1" x14ac:dyDescent="0.2">
      <c r="B22" s="1387" t="s">
        <v>1280</v>
      </c>
      <c r="C22" s="1397"/>
      <c r="D22" s="1388"/>
      <c r="E22" s="1353"/>
      <c r="F22" s="1270"/>
      <c r="G22" s="322"/>
      <c r="H22" s="1270"/>
      <c r="I22" s="1270"/>
    </row>
    <row r="23" spans="2:9" s="317" customFormat="1" ht="12.75" customHeight="1" x14ac:dyDescent="0.2">
      <c r="B23" s="1338" t="s">
        <v>1279</v>
      </c>
      <c r="C23" s="1252"/>
      <c r="E23" s="1353"/>
      <c r="F23" s="1270"/>
      <c r="G23" s="322"/>
      <c r="H23" s="1270"/>
      <c r="I23" s="1270"/>
    </row>
    <row r="24" spans="2:9" s="317" customFormat="1" ht="13.5" customHeight="1" x14ac:dyDescent="0.2">
      <c r="B24" s="1393" t="s">
        <v>1278</v>
      </c>
      <c r="C24" s="1394"/>
      <c r="D24" s="1368"/>
      <c r="E24" s="1395"/>
      <c r="F24" s="1270" t="s">
        <v>885</v>
      </c>
      <c r="G24" s="1395" t="s">
        <v>2120</v>
      </c>
      <c r="H24" s="1270" t="s">
        <v>1276</v>
      </c>
      <c r="I24" s="1270"/>
    </row>
    <row r="25" spans="2:9" s="317" customFormat="1" ht="8.4499999999999993" customHeight="1" x14ac:dyDescent="0.2">
      <c r="B25" s="1338"/>
      <c r="C25" s="1252"/>
      <c r="E25" s="1353"/>
      <c r="F25" s="1270"/>
      <c r="G25" s="322"/>
      <c r="H25" s="1270"/>
      <c r="I25" s="1270"/>
    </row>
    <row r="26" spans="2:9" s="317" customFormat="1" ht="13.5" customHeight="1" x14ac:dyDescent="0.2">
      <c r="B26" s="1393" t="s">
        <v>1277</v>
      </c>
      <c r="C26" s="1394"/>
      <c r="D26" s="1368"/>
      <c r="E26" s="1396"/>
      <c r="F26" s="1227"/>
      <c r="G26" s="1396"/>
      <c r="H26" s="1270"/>
      <c r="I26" s="1270"/>
    </row>
    <row r="27" spans="2:9" s="317" customFormat="1" ht="12.75" customHeight="1" x14ac:dyDescent="0.2">
      <c r="B27" s="1393" t="s">
        <v>1443</v>
      </c>
      <c r="C27" s="1394"/>
      <c r="D27" s="1368"/>
      <c r="E27" s="1395"/>
      <c r="F27" s="1270" t="s">
        <v>885</v>
      </c>
      <c r="G27" s="1395" t="s">
        <v>2120</v>
      </c>
      <c r="H27" s="1270" t="s">
        <v>1276</v>
      </c>
      <c r="I27" s="1270"/>
    </row>
    <row r="28" spans="2:9" s="317" customFormat="1" ht="12.75" customHeight="1" x14ac:dyDescent="0.2">
      <c r="B28" s="1338"/>
      <c r="C28" s="1252"/>
      <c r="E28" s="1228"/>
    </row>
    <row r="29" spans="2:9" s="317" customFormat="1" ht="12.75" customHeight="1" x14ac:dyDescent="0.2">
      <c r="B29" s="1338" t="s">
        <v>1275</v>
      </c>
      <c r="C29" s="1252"/>
      <c r="D29" s="2537" t="s">
        <v>2157</v>
      </c>
      <c r="E29" s="2537"/>
      <c r="F29" s="2537"/>
      <c r="G29" s="2537"/>
      <c r="H29" s="2537"/>
      <c r="I29" s="2537"/>
    </row>
    <row r="30" spans="2:9" s="317" customFormat="1" x14ac:dyDescent="0.2">
      <c r="B30" s="1338"/>
      <c r="C30" s="322"/>
      <c r="D30" s="1390" t="s">
        <v>1745</v>
      </c>
      <c r="E30" s="1391"/>
      <c r="F30" s="1391"/>
      <c r="G30" s="1391"/>
      <c r="H30" s="1391"/>
      <c r="I30" s="1391"/>
    </row>
    <row r="31" spans="2:9" s="317" customFormat="1" ht="9.9499999999999993" customHeight="1" x14ac:dyDescent="0.2">
      <c r="B31" s="1338"/>
      <c r="E31" s="1228"/>
    </row>
    <row r="32" spans="2:9" s="317" customFormat="1" x14ac:dyDescent="0.2">
      <c r="B32" s="1338" t="s">
        <v>1274</v>
      </c>
      <c r="C32" s="1252"/>
      <c r="E32" s="1228"/>
    </row>
    <row r="33" spans="2:9" ht="13.5" customHeight="1" x14ac:dyDescent="0.2">
      <c r="B33" s="1338" t="s">
        <v>1552</v>
      </c>
      <c r="C33" s="1252"/>
      <c r="E33" s="1395" t="s">
        <v>2120</v>
      </c>
      <c r="F33" s="1270" t="s">
        <v>885</v>
      </c>
      <c r="G33" s="1395"/>
      <c r="H33" s="1270" t="s">
        <v>99</v>
      </c>
    </row>
    <row r="35" spans="2:9" x14ac:dyDescent="0.2">
      <c r="B35" s="1398" t="s">
        <v>1746</v>
      </c>
      <c r="C35" s="1399"/>
      <c r="D35" s="1237"/>
    </row>
    <row r="36" spans="2:9" ht="6" customHeight="1" x14ac:dyDescent="0.2">
      <c r="B36" s="1398"/>
      <c r="C36" s="1399"/>
      <c r="D36" s="1237"/>
    </row>
    <row r="37" spans="2:9" ht="17.25" customHeight="1" x14ac:dyDescent="0.2">
      <c r="B37" s="1400" t="s">
        <v>1747</v>
      </c>
      <c r="C37" s="2538" t="s">
        <v>1748</v>
      </c>
      <c r="D37" s="2539"/>
      <c r="E37" s="2539"/>
      <c r="F37" s="2540"/>
      <c r="G37" s="2538" t="s">
        <v>1592</v>
      </c>
      <c r="H37" s="2539"/>
      <c r="I37" s="2540"/>
    </row>
    <row r="38" spans="2:9" ht="16.5" customHeight="1" x14ac:dyDescent="0.2">
      <c r="B38" s="1401">
        <v>84.01</v>
      </c>
      <c r="C38" s="2526" t="s">
        <v>2158</v>
      </c>
      <c r="D38" s="2527"/>
      <c r="E38" s="2527"/>
      <c r="F38" s="2528"/>
      <c r="G38" s="2541">
        <v>218361</v>
      </c>
      <c r="H38" s="2542"/>
      <c r="I38" s="2543"/>
    </row>
    <row r="39" spans="2:9" ht="16.5" customHeight="1" x14ac:dyDescent="0.2">
      <c r="B39" s="1401" t="s">
        <v>2159</v>
      </c>
      <c r="C39" s="2526" t="s">
        <v>2160</v>
      </c>
      <c r="D39" s="2527"/>
      <c r="E39" s="2527"/>
      <c r="F39" s="2528"/>
      <c r="G39" s="2529">
        <v>404015</v>
      </c>
      <c r="H39" s="2529"/>
      <c r="I39" s="2529"/>
    </row>
    <row r="40" spans="2:9" ht="16.5" customHeight="1" x14ac:dyDescent="0.2">
      <c r="B40" s="1401"/>
      <c r="C40" s="2526"/>
      <c r="D40" s="2527"/>
      <c r="E40" s="2527"/>
      <c r="F40" s="2528"/>
      <c r="G40" s="2529"/>
      <c r="H40" s="2529"/>
      <c r="I40" s="2529"/>
    </row>
    <row r="41" spans="2:9" ht="16.5" customHeight="1" x14ac:dyDescent="0.2">
      <c r="B41" s="1401"/>
      <c r="C41" s="2526"/>
      <c r="D41" s="2527"/>
      <c r="E41" s="2527"/>
      <c r="F41" s="2528"/>
      <c r="G41" s="2529"/>
      <c r="H41" s="2529"/>
      <c r="I41" s="2529"/>
    </row>
    <row r="42" spans="2:9" ht="16.5" customHeight="1" x14ac:dyDescent="0.2">
      <c r="B42" s="1401"/>
      <c r="C42" s="2526"/>
      <c r="D42" s="2527"/>
      <c r="E42" s="2527"/>
      <c r="F42" s="2528"/>
      <c r="G42" s="2529"/>
      <c r="H42" s="2529"/>
      <c r="I42" s="2529"/>
    </row>
    <row r="43" spans="2:9" ht="16.5" customHeight="1" x14ac:dyDescent="0.2">
      <c r="B43" s="1401"/>
      <c r="C43" s="2544" t="s">
        <v>1593</v>
      </c>
      <c r="D43" s="2545"/>
      <c r="E43" s="2545"/>
      <c r="F43" s="2546"/>
      <c r="G43" s="2547">
        <f>SUM(G38:I42)</f>
        <v>622376</v>
      </c>
      <c r="H43" s="2547"/>
      <c r="I43" s="2547"/>
    </row>
    <row r="44" spans="2:9" ht="12.75" customHeight="1" x14ac:dyDescent="0.2"/>
    <row r="45" spans="2:9" ht="12.75" customHeight="1" x14ac:dyDescent="0.2">
      <c r="B45" s="1392" t="s">
        <v>1838</v>
      </c>
      <c r="D45" s="2548">
        <f>' SEFA (3)'!I19</f>
        <v>1183418</v>
      </c>
      <c r="E45" s="2549"/>
    </row>
    <row r="46" spans="2:9" ht="5.25" customHeight="1" x14ac:dyDescent="0.2">
      <c r="B46" s="1402"/>
      <c r="D46" s="1403"/>
      <c r="E46" s="1404"/>
    </row>
    <row r="47" spans="2:9" ht="12.75" customHeight="1" x14ac:dyDescent="0.2">
      <c r="B47" s="1270" t="s">
        <v>1594</v>
      </c>
      <c r="C47" s="1270"/>
      <c r="D47" s="1405">
        <f>+G43/D45</f>
        <v>0.52591392052512298</v>
      </c>
      <c r="E47" s="1406"/>
      <c r="F47" s="1407"/>
      <c r="I47" s="1408"/>
    </row>
    <row r="48" spans="2:9" ht="9.9499999999999993" customHeight="1" x14ac:dyDescent="0.2"/>
    <row r="49" spans="1:9" x14ac:dyDescent="0.2">
      <c r="B49" s="1338" t="s">
        <v>1273</v>
      </c>
      <c r="C49" s="1252"/>
      <c r="D49" s="1252"/>
      <c r="E49" s="2550">
        <v>750000</v>
      </c>
      <c r="F49" s="2550"/>
      <c r="G49" s="2550"/>
      <c r="H49" s="322"/>
    </row>
    <row r="51" spans="1:9" ht="13.5" customHeight="1" x14ac:dyDescent="0.2">
      <c r="B51" s="1338" t="s">
        <v>1272</v>
      </c>
      <c r="C51" s="1252"/>
      <c r="E51" s="1395"/>
      <c r="F51" s="1270" t="s">
        <v>885</v>
      </c>
      <c r="G51" s="1395" t="s">
        <v>2120</v>
      </c>
      <c r="H51" s="1270" t="s">
        <v>99</v>
      </c>
    </row>
    <row r="52" spans="1:9" x14ac:dyDescent="0.2">
      <c r="B52" s="1330"/>
      <c r="C52" s="1267"/>
      <c r="D52" s="1409"/>
      <c r="E52" s="1410"/>
      <c r="F52" s="1411"/>
      <c r="G52" s="1411"/>
      <c r="H52" s="1411"/>
      <c r="I52" s="1411"/>
    </row>
    <row r="53" spans="1:9" ht="6" customHeight="1" x14ac:dyDescent="0.2">
      <c r="B53" s="1386"/>
      <c r="C53" s="322"/>
      <c r="D53" s="1412"/>
      <c r="E53" s="1413"/>
      <c r="F53" s="1414"/>
      <c r="G53" s="1414"/>
      <c r="H53" s="1414"/>
      <c r="I53" s="1414"/>
    </row>
    <row r="54" spans="1:9" s="1418" customFormat="1" ht="14.25" x14ac:dyDescent="0.2">
      <c r="A54" s="1415"/>
      <c r="B54" s="1416" t="s">
        <v>1749</v>
      </c>
      <c r="C54" s="1417"/>
      <c r="D54" s="1417"/>
    </row>
    <row r="55" spans="1:9" s="1418" customFormat="1" ht="12.75" customHeight="1" x14ac:dyDescent="0.2">
      <c r="A55" s="1415"/>
      <c r="B55" s="1419" t="s">
        <v>1595</v>
      </c>
      <c r="C55" s="1415"/>
      <c r="D55" s="1415"/>
    </row>
    <row r="56" spans="1:9" s="1418" customFormat="1" ht="12.75" customHeight="1" x14ac:dyDescent="0.2">
      <c r="A56" s="1415"/>
      <c r="B56" s="1419" t="s">
        <v>1596</v>
      </c>
      <c r="C56" s="1415"/>
      <c r="D56" s="1415"/>
    </row>
    <row r="57" spans="1:9" s="1418" customFormat="1" ht="3.95" customHeight="1" x14ac:dyDescent="0.2">
      <c r="A57" s="1415"/>
      <c r="B57" s="1419"/>
      <c r="C57" s="1415"/>
      <c r="D57" s="1415"/>
    </row>
    <row r="58" spans="1:9" s="1418" customFormat="1" ht="13.5" customHeight="1" x14ac:dyDescent="0.2">
      <c r="A58" s="1415"/>
      <c r="B58" s="1420" t="s">
        <v>1750</v>
      </c>
      <c r="C58" s="1421"/>
      <c r="D58" s="1421"/>
    </row>
    <row r="59" spans="1:9" s="1418" customFormat="1" ht="3.95" customHeight="1" x14ac:dyDescent="0.2">
      <c r="A59" s="1415"/>
      <c r="B59" s="1420"/>
      <c r="C59" s="1421"/>
      <c r="D59" s="1421"/>
    </row>
    <row r="60" spans="1:9" s="1418" customFormat="1" ht="13.5" customHeight="1" x14ac:dyDescent="0.2">
      <c r="A60" s="1415"/>
      <c r="B60" s="1420" t="s">
        <v>1751</v>
      </c>
      <c r="C60" s="1421"/>
      <c r="D60" s="1421"/>
    </row>
    <row r="61" spans="1:9" s="1418" customFormat="1" ht="3.95" customHeight="1" x14ac:dyDescent="0.2">
      <c r="A61" s="1415"/>
      <c r="B61" s="1420"/>
      <c r="C61" s="1421"/>
      <c r="D61" s="1421"/>
    </row>
    <row r="62" spans="1:9" s="1418" customFormat="1" ht="12.75" customHeight="1" x14ac:dyDescent="0.2">
      <c r="A62" s="1415"/>
      <c r="B62" s="1420" t="s">
        <v>1752</v>
      </c>
      <c r="C62" s="1421"/>
      <c r="D62" s="1421"/>
    </row>
    <row r="63" spans="1:9" s="1418" customFormat="1" ht="13.5" customHeight="1" x14ac:dyDescent="0.2">
      <c r="A63" s="1415"/>
      <c r="B63" s="1419" t="s">
        <v>1597</v>
      </c>
      <c r="C63" s="1415"/>
      <c r="D63" s="141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P14" sqref="P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0" t="str">
        <f>'Single Audit Cover'!A7</f>
        <v>Lake Villa CCSD 41</v>
      </c>
      <c r="C1" s="2530"/>
      <c r="D1" s="2530"/>
      <c r="E1" s="2530"/>
      <c r="F1" s="2530"/>
      <c r="G1" s="2530"/>
      <c r="H1" s="2530"/>
      <c r="I1" s="2530"/>
      <c r="J1" s="2530"/>
      <c r="K1" s="2530"/>
      <c r="L1" s="1344"/>
      <c r="M1" s="1344"/>
    </row>
    <row r="2" spans="1:13" ht="12" customHeight="1" x14ac:dyDescent="0.2">
      <c r="B2" s="2532">
        <f>'Single Audit Cover'!E7</f>
        <v>34049041004</v>
      </c>
      <c r="C2" s="2532"/>
      <c r="D2" s="2532"/>
      <c r="E2" s="2532"/>
      <c r="F2" s="2532"/>
      <c r="G2" s="2532"/>
      <c r="H2" s="2532"/>
      <c r="I2" s="2532"/>
      <c r="J2" s="2532"/>
      <c r="K2" s="2532"/>
      <c r="L2" s="1345"/>
      <c r="M2" s="1346"/>
    </row>
    <row r="3" spans="1:13" ht="10.35" customHeight="1" x14ac:dyDescent="0.2">
      <c r="B3" s="2553" t="s">
        <v>1285</v>
      </c>
      <c r="C3" s="2553"/>
      <c r="D3" s="2553"/>
      <c r="E3" s="2553"/>
      <c r="F3" s="2553"/>
      <c r="G3" s="2553"/>
      <c r="H3" s="2553"/>
      <c r="I3" s="2553"/>
      <c r="J3" s="2553"/>
      <c r="K3" s="2553"/>
      <c r="L3" s="1347"/>
      <c r="M3" s="1347"/>
    </row>
    <row r="4" spans="1:13" ht="14.25" customHeight="1" x14ac:dyDescent="0.2">
      <c r="B4" s="2554" t="str">
        <f>'Single Audit Cover'!A4</f>
        <v>Year Ending June 30, 2019</v>
      </c>
      <c r="C4" s="2554"/>
      <c r="D4" s="2554"/>
      <c r="E4" s="2554"/>
      <c r="F4" s="2554"/>
      <c r="G4" s="2554"/>
      <c r="H4" s="2554"/>
      <c r="I4" s="2554"/>
      <c r="J4" s="2554"/>
      <c r="K4" s="2554"/>
      <c r="L4" s="313"/>
      <c r="M4" s="313"/>
    </row>
    <row r="5" spans="1:13" ht="7.5" customHeight="1" x14ac:dyDescent="0.2">
      <c r="B5" s="1230" t="s">
        <v>1169</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554" t="s">
        <v>1296</v>
      </c>
      <c r="C7" s="2554"/>
      <c r="D7" s="2555"/>
      <c r="E7" s="2555"/>
      <c r="F7" s="2555"/>
      <c r="G7" s="2555"/>
      <c r="H7" s="2555"/>
      <c r="I7" s="2555"/>
      <c r="J7" s="2555"/>
      <c r="K7" s="2555"/>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1739</v>
      </c>
      <c r="C10" s="1355" t="s">
        <v>1988</v>
      </c>
      <c r="D10" s="1356" t="s">
        <v>2153</v>
      </c>
      <c r="E10" s="322"/>
      <c r="F10" s="1357" t="s">
        <v>1295</v>
      </c>
      <c r="G10" s="1358"/>
      <c r="H10" s="1359" t="s">
        <v>1294</v>
      </c>
      <c r="I10" s="1358"/>
      <c r="J10" s="1360" t="s">
        <v>1293</v>
      </c>
      <c r="K10" s="322"/>
      <c r="L10" s="1351"/>
    </row>
    <row r="11" spans="1:13" ht="13.5" customHeight="1" x14ac:dyDescent="0.2">
      <c r="B11" s="322"/>
      <c r="C11" s="322"/>
      <c r="D11" s="322"/>
      <c r="E11" s="322"/>
      <c r="F11" s="322"/>
      <c r="G11" s="1353"/>
      <c r="H11" s="322"/>
      <c r="I11" s="1361" t="s">
        <v>1292</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1291</v>
      </c>
      <c r="C13" s="1363"/>
      <c r="D13" s="1364"/>
      <c r="E13" s="1364"/>
      <c r="F13" s="1364"/>
      <c r="G13" s="1365"/>
      <c r="H13" s="1364"/>
      <c r="I13" s="1365"/>
      <c r="J13" s="1364"/>
      <c r="K13" s="1364"/>
      <c r="L13" s="1366"/>
    </row>
    <row r="14" spans="1:13" ht="45.75" customHeight="1" x14ac:dyDescent="0.2">
      <c r="B14" s="2552"/>
      <c r="C14" s="2552"/>
      <c r="D14" s="2552"/>
      <c r="E14" s="2552"/>
      <c r="F14" s="2552"/>
      <c r="G14" s="2552"/>
      <c r="H14" s="2552"/>
      <c r="I14" s="2552"/>
      <c r="J14" s="2552"/>
      <c r="K14" s="2552"/>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1290</v>
      </c>
      <c r="C16" s="1363"/>
      <c r="D16" s="1364"/>
      <c r="E16" s="1364"/>
      <c r="F16" s="1364"/>
      <c r="G16" s="1365"/>
      <c r="H16" s="1364"/>
      <c r="I16" s="1365"/>
      <c r="J16" s="1364"/>
      <c r="K16" s="1364"/>
      <c r="L16" s="1366"/>
    </row>
    <row r="17" spans="2:12" ht="45.75" customHeight="1" x14ac:dyDescent="0.2">
      <c r="B17" s="2552"/>
      <c r="C17" s="2552"/>
      <c r="D17" s="2552"/>
      <c r="E17" s="2552"/>
      <c r="F17" s="2552"/>
      <c r="G17" s="2552"/>
      <c r="H17" s="2552"/>
      <c r="I17" s="2552"/>
      <c r="J17" s="2552"/>
      <c r="K17" s="2552"/>
      <c r="L17" s="1351"/>
    </row>
    <row r="18" spans="2:12" ht="4.5" customHeight="1" x14ac:dyDescent="0.2">
      <c r="B18" s="1368"/>
      <c r="C18" s="1368"/>
      <c r="L18" s="1351"/>
    </row>
    <row r="19" spans="2:12" s="1252" customFormat="1" ht="13.5" customHeight="1" x14ac:dyDescent="0.2">
      <c r="B19" s="1363" t="s">
        <v>1740</v>
      </c>
      <c r="C19" s="1363"/>
      <c r="D19" s="1364"/>
      <c r="E19" s="1364"/>
      <c r="F19" s="1364"/>
      <c r="G19" s="1365"/>
      <c r="H19" s="1364"/>
      <c r="I19" s="1365"/>
      <c r="J19" s="1364"/>
      <c r="K19" s="1364"/>
      <c r="L19" s="1366"/>
    </row>
    <row r="20" spans="2:12" ht="45.75" customHeight="1" x14ac:dyDescent="0.2">
      <c r="B20" s="2556"/>
      <c r="C20" s="2556"/>
      <c r="D20" s="2552"/>
      <c r="E20" s="2552"/>
      <c r="F20" s="2552"/>
      <c r="G20" s="2552"/>
      <c r="H20" s="2552"/>
      <c r="I20" s="2552"/>
      <c r="J20" s="2552"/>
      <c r="K20" s="2552"/>
      <c r="L20" s="1351"/>
    </row>
    <row r="21" spans="2:12" ht="4.5" customHeight="1" x14ac:dyDescent="0.2">
      <c r="B21" s="1370"/>
      <c r="C21" s="1370"/>
      <c r="L21" s="1351"/>
    </row>
    <row r="22" spans="2:12" ht="13.5" customHeight="1" x14ac:dyDescent="0.2">
      <c r="B22" s="1363" t="s">
        <v>1289</v>
      </c>
      <c r="C22" s="1363"/>
      <c r="D22" s="1349"/>
      <c r="E22" s="1349"/>
      <c r="F22" s="1349"/>
      <c r="G22" s="1350"/>
      <c r="H22" s="1349"/>
      <c r="I22" s="1350"/>
      <c r="J22" s="1349"/>
      <c r="K22" s="1349"/>
      <c r="L22" s="1351"/>
    </row>
    <row r="23" spans="2:12" ht="45" customHeight="1" x14ac:dyDescent="0.2">
      <c r="B23" s="2552"/>
      <c r="C23" s="2552"/>
      <c r="D23" s="2552"/>
      <c r="E23" s="2552"/>
      <c r="F23" s="2552"/>
      <c r="G23" s="2552"/>
      <c r="H23" s="2552"/>
      <c r="I23" s="2552"/>
      <c r="J23" s="2552"/>
      <c r="K23" s="2552"/>
      <c r="L23" s="1351"/>
    </row>
    <row r="24" spans="2:12" ht="4.5" customHeight="1" x14ac:dyDescent="0.2">
      <c r="B24" s="1368"/>
      <c r="C24" s="1368"/>
      <c r="L24" s="1351"/>
    </row>
    <row r="25" spans="2:12" ht="13.5" customHeight="1" x14ac:dyDescent="0.2">
      <c r="B25" s="1363" t="s">
        <v>1288</v>
      </c>
      <c r="C25" s="1363"/>
      <c r="D25" s="1349"/>
      <c r="E25" s="1349"/>
      <c r="F25" s="1349"/>
      <c r="G25" s="1350"/>
      <c r="H25" s="1349"/>
      <c r="I25" s="1350"/>
      <c r="J25" s="1349"/>
      <c r="K25" s="1349"/>
      <c r="L25" s="1351"/>
    </row>
    <row r="26" spans="2:12" ht="45.75" customHeight="1" x14ac:dyDescent="0.2">
      <c r="B26" s="2552"/>
      <c r="C26" s="2552"/>
      <c r="D26" s="2552"/>
      <c r="E26" s="2552"/>
      <c r="F26" s="2552"/>
      <c r="G26" s="2552"/>
      <c r="H26" s="2552"/>
      <c r="I26" s="2552"/>
      <c r="J26" s="2552"/>
      <c r="K26" s="2552"/>
      <c r="L26" s="1351"/>
    </row>
    <row r="27" spans="2:12" ht="4.5" customHeight="1" x14ac:dyDescent="0.2">
      <c r="B27" s="1368"/>
      <c r="C27" s="1368"/>
      <c r="L27" s="1351"/>
    </row>
    <row r="28" spans="2:12" ht="13.5" customHeight="1" x14ac:dyDescent="0.2">
      <c r="B28" s="1371" t="s">
        <v>1287</v>
      </c>
      <c r="C28" s="1371"/>
      <c r="D28" s="1349"/>
      <c r="E28" s="1349"/>
      <c r="F28" s="1349"/>
      <c r="G28" s="1350"/>
      <c r="H28" s="1349"/>
      <c r="I28" s="1350"/>
      <c r="J28" s="1349"/>
      <c r="K28" s="1349"/>
      <c r="L28" s="1351"/>
    </row>
    <row r="29" spans="2:12" ht="45.75" customHeight="1" x14ac:dyDescent="0.2">
      <c r="B29" s="2551"/>
      <c r="C29" s="2551"/>
      <c r="D29" s="2552"/>
      <c r="E29" s="2552"/>
      <c r="F29" s="2552"/>
      <c r="G29" s="2552"/>
      <c r="H29" s="2552"/>
      <c r="I29" s="2552"/>
      <c r="J29" s="2552"/>
      <c r="K29" s="2552"/>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1741</v>
      </c>
      <c r="C31" s="1373"/>
      <c r="D31" s="1348"/>
      <c r="E31" s="1349"/>
      <c r="F31" s="1349"/>
      <c r="G31" s="1350"/>
      <c r="H31" s="1349"/>
      <c r="I31" s="1350"/>
      <c r="J31" s="1349"/>
      <c r="K31" s="1349"/>
      <c r="L31" s="1351"/>
    </row>
    <row r="32" spans="2:12" s="322" customFormat="1" ht="44.25" customHeight="1" x14ac:dyDescent="0.2">
      <c r="B32" s="2551"/>
      <c r="C32" s="2551"/>
      <c r="D32" s="2552"/>
      <c r="E32" s="2552"/>
      <c r="F32" s="2552"/>
      <c r="G32" s="2552"/>
      <c r="H32" s="2552"/>
      <c r="I32" s="2552"/>
      <c r="J32" s="2552"/>
      <c r="K32" s="2552"/>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1742</v>
      </c>
      <c r="C35" s="1376"/>
      <c r="D35" s="322"/>
      <c r="E35" s="322"/>
      <c r="F35" s="322"/>
      <c r="L35" s="1351"/>
    </row>
    <row r="36" spans="1:13" ht="9.6" customHeight="1" x14ac:dyDescent="0.2">
      <c r="B36" s="1270" t="s">
        <v>1839</v>
      </c>
      <c r="C36" s="1270"/>
      <c r="L36" s="1351"/>
    </row>
    <row r="37" spans="1:13" ht="9.6" customHeight="1" x14ac:dyDescent="0.2">
      <c r="B37" s="1270" t="s">
        <v>1840</v>
      </c>
      <c r="C37" s="1270"/>
    </row>
    <row r="38" spans="1:13" ht="11.85" customHeight="1" x14ac:dyDescent="0.2">
      <c r="B38" s="1377" t="s">
        <v>1743</v>
      </c>
      <c r="C38" s="1377"/>
    </row>
    <row r="39" spans="1:13" ht="9.6" customHeight="1" x14ac:dyDescent="0.2">
      <c r="B39" s="1270" t="s">
        <v>1286</v>
      </c>
      <c r="C39" s="1270"/>
      <c r="M39" s="1378"/>
    </row>
    <row r="40" spans="1:13" ht="12.6" customHeight="1" x14ac:dyDescent="0.2">
      <c r="B40" s="1377" t="s">
        <v>1744</v>
      </c>
      <c r="C40" s="1377"/>
      <c r="M40" s="1378"/>
    </row>
    <row r="41" spans="1:13" ht="9.6" customHeight="1" x14ac:dyDescent="0.2">
      <c r="B41" s="1270"/>
      <c r="C41" s="1270"/>
      <c r="M41" s="137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topLeftCell="A13" zoomScale="110" zoomScaleNormal="110" workbookViewId="0">
      <selection activeCell="B35" sqref="B35:K3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7" t="str">
        <f>'Single Audit Cover'!A7</f>
        <v>Lake Villa CCSD 41</v>
      </c>
      <c r="C1" s="2557"/>
      <c r="D1" s="2557"/>
      <c r="E1" s="2557"/>
      <c r="F1" s="2557"/>
      <c r="G1" s="2557"/>
      <c r="H1" s="2557"/>
      <c r="I1" s="2557"/>
      <c r="J1" s="2557"/>
      <c r="K1" s="2557"/>
      <c r="L1" s="1422"/>
    </row>
    <row r="2" spans="1:12" ht="12.75" customHeight="1" x14ac:dyDescent="0.2">
      <c r="B2" s="2558">
        <f>'Single Audit Cover'!E7</f>
        <v>34049041004</v>
      </c>
      <c r="C2" s="2558"/>
      <c r="D2" s="2558"/>
      <c r="E2" s="2558"/>
      <c r="F2" s="2558"/>
      <c r="G2" s="2558"/>
      <c r="H2" s="2558"/>
      <c r="I2" s="2558"/>
      <c r="J2" s="2558"/>
      <c r="K2" s="2558"/>
      <c r="L2" s="1423"/>
    </row>
    <row r="3" spans="1:12" ht="12.75" customHeight="1" x14ac:dyDescent="0.2">
      <c r="B3" s="2553" t="s">
        <v>1285</v>
      </c>
      <c r="C3" s="2553"/>
      <c r="D3" s="2553"/>
      <c r="E3" s="2553"/>
      <c r="F3" s="2553"/>
      <c r="G3" s="2553"/>
      <c r="H3" s="2553"/>
      <c r="I3" s="2553"/>
      <c r="J3" s="2553"/>
      <c r="K3" s="2553"/>
      <c r="L3" s="1347"/>
    </row>
    <row r="4" spans="1:12" ht="12.75" customHeight="1" x14ac:dyDescent="0.2">
      <c r="B4" s="2553" t="str">
        <f>'Single Audit Cover'!A4</f>
        <v>Year Ending June 30, 2019</v>
      </c>
      <c r="C4" s="2553"/>
      <c r="D4" s="2553"/>
      <c r="E4" s="2553"/>
      <c r="F4" s="2553"/>
      <c r="G4" s="2553"/>
      <c r="H4" s="2553"/>
      <c r="I4" s="2553"/>
      <c r="J4" s="2553"/>
      <c r="K4" s="2553"/>
      <c r="L4" s="1347"/>
    </row>
    <row r="5" spans="1:12" ht="5.25" customHeight="1" x14ac:dyDescent="0.2">
      <c r="B5" s="1230" t="s">
        <v>1169</v>
      </c>
      <c r="C5" s="1230"/>
      <c r="L5" s="322"/>
    </row>
    <row r="6" spans="1:12" ht="30.75" customHeight="1" x14ac:dyDescent="0.2">
      <c r="A6" s="322"/>
      <c r="B6" s="2559" t="s">
        <v>1308</v>
      </c>
      <c r="C6" s="2559"/>
      <c r="D6" s="2559"/>
      <c r="E6" s="2559"/>
      <c r="F6" s="2559"/>
      <c r="G6" s="2559"/>
      <c r="H6" s="2559"/>
      <c r="I6" s="2559"/>
      <c r="J6" s="2559"/>
      <c r="K6" s="2559"/>
      <c r="L6" s="322"/>
    </row>
    <row r="7" spans="1:12" ht="4.5" customHeight="1" x14ac:dyDescent="0.2">
      <c r="B7" s="1349"/>
      <c r="C7" s="1349"/>
      <c r="D7" s="1349"/>
      <c r="E7" s="1349"/>
      <c r="F7" s="1349"/>
      <c r="G7" s="1350"/>
      <c r="H7" s="1349"/>
      <c r="I7" s="1350"/>
      <c r="J7" s="1349"/>
      <c r="K7" s="1349"/>
      <c r="L7" s="322"/>
    </row>
    <row r="8" spans="1:12" ht="13.5" customHeight="1" x14ac:dyDescent="0.2">
      <c r="B8" s="1357" t="s">
        <v>1753</v>
      </c>
      <c r="C8" s="1424" t="s">
        <v>1988</v>
      </c>
      <c r="D8" s="1425">
        <v>1</v>
      </c>
      <c r="E8" s="322"/>
      <c r="F8" s="1354" t="s">
        <v>1295</v>
      </c>
      <c r="G8" s="1426"/>
      <c r="H8" s="1427" t="s">
        <v>1307</v>
      </c>
      <c r="I8" s="1426" t="s">
        <v>2120</v>
      </c>
      <c r="J8" s="1428" t="s">
        <v>1306</v>
      </c>
      <c r="L8" s="322"/>
    </row>
    <row r="9" spans="1:12" ht="13.5" customHeight="1" x14ac:dyDescent="0.2">
      <c r="D9" s="322"/>
      <c r="E9" s="322"/>
      <c r="F9" s="322"/>
      <c r="G9" s="1353"/>
      <c r="H9" s="322"/>
      <c r="I9" s="1429" t="s">
        <v>1292</v>
      </c>
      <c r="J9" s="322"/>
      <c r="K9" s="1430">
        <v>2018</v>
      </c>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1305</v>
      </c>
      <c r="C12" s="1354"/>
      <c r="D12" s="304"/>
      <c r="E12" s="322"/>
      <c r="F12" s="2537" t="s">
        <v>2194</v>
      </c>
      <c r="G12" s="2537"/>
      <c r="H12" s="2537"/>
      <c r="I12" s="2537"/>
      <c r="J12" s="2537"/>
      <c r="K12" s="2537"/>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1304</v>
      </c>
      <c r="C14" s="1357"/>
      <c r="D14" s="2560" t="s">
        <v>2195</v>
      </c>
      <c r="E14" s="2560"/>
      <c r="F14" s="2560"/>
      <c r="H14" s="1432" t="s">
        <v>1303</v>
      </c>
      <c r="I14" s="2561">
        <v>84.01</v>
      </c>
      <c r="J14" s="2561"/>
      <c r="K14" s="2561"/>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1302</v>
      </c>
      <c r="C16" s="1357"/>
      <c r="D16" s="2561" t="s">
        <v>405</v>
      </c>
      <c r="E16" s="2561"/>
      <c r="F16" s="2561"/>
      <c r="G16" s="2561"/>
      <c r="H16" s="2561"/>
      <c r="I16" s="2561"/>
      <c r="J16" s="2561"/>
      <c r="K16" s="2561"/>
      <c r="L16" s="322"/>
    </row>
    <row r="17" spans="2:12" ht="13.5" customHeight="1" x14ac:dyDescent="0.2">
      <c r="B17" s="1357" t="s">
        <v>1301</v>
      </c>
      <c r="C17" s="1357"/>
      <c r="D17" s="2562" t="s">
        <v>2197</v>
      </c>
      <c r="E17" s="2562"/>
      <c r="F17" s="2562"/>
      <c r="G17" s="2562"/>
      <c r="H17" s="2562"/>
      <c r="I17" s="2562"/>
      <c r="J17" s="2562"/>
      <c r="K17" s="2562"/>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1300</v>
      </c>
      <c r="C19" s="1434"/>
      <c r="D19" s="328"/>
      <c r="E19" s="328"/>
      <c r="F19" s="328"/>
      <c r="G19" s="1435"/>
      <c r="H19" s="328"/>
      <c r="I19" s="1435"/>
      <c r="J19" s="322"/>
      <c r="K19" s="322"/>
      <c r="L19" s="322"/>
    </row>
    <row r="20" spans="2:12" ht="35.25" customHeight="1" x14ac:dyDescent="0.2">
      <c r="B20" s="2552" t="s">
        <v>2199</v>
      </c>
      <c r="C20" s="2552"/>
      <c r="D20" s="2552"/>
      <c r="E20" s="2552"/>
      <c r="F20" s="2552"/>
      <c r="G20" s="2552"/>
      <c r="H20" s="2552"/>
      <c r="I20" s="2552"/>
      <c r="J20" s="2552"/>
      <c r="K20" s="2552"/>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1754</v>
      </c>
      <c r="C22" s="1434"/>
      <c r="D22" s="322"/>
      <c r="E22" s="322"/>
      <c r="F22" s="322"/>
      <c r="G22" s="1353"/>
      <c r="H22" s="322"/>
      <c r="I22" s="1353"/>
      <c r="J22" s="322"/>
      <c r="K22" s="322"/>
      <c r="L22" s="322"/>
    </row>
    <row r="23" spans="2:12" ht="37.5" customHeight="1" x14ac:dyDescent="0.2">
      <c r="B23" s="2552" t="s">
        <v>2200</v>
      </c>
      <c r="C23" s="2552"/>
      <c r="D23" s="2552"/>
      <c r="E23" s="2552"/>
      <c r="F23" s="2552"/>
      <c r="G23" s="2552"/>
      <c r="H23" s="2552"/>
      <c r="I23" s="2552"/>
      <c r="J23" s="2552"/>
      <c r="K23" s="2552"/>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1755</v>
      </c>
      <c r="C25" s="1434"/>
      <c r="D25" s="322"/>
      <c r="E25" s="322"/>
      <c r="F25" s="322"/>
      <c r="G25" s="1353"/>
      <c r="H25" s="322"/>
      <c r="I25" s="1353"/>
      <c r="J25" s="322"/>
      <c r="K25" s="322"/>
      <c r="L25" s="322"/>
    </row>
    <row r="26" spans="2:12" ht="37.5" customHeight="1" x14ac:dyDescent="0.2">
      <c r="B26" s="2552" t="s">
        <v>2081</v>
      </c>
      <c r="C26" s="2552"/>
      <c r="D26" s="2552"/>
      <c r="E26" s="2552"/>
      <c r="F26" s="2552"/>
      <c r="G26" s="2552"/>
      <c r="H26" s="2552"/>
      <c r="I26" s="2552"/>
      <c r="J26" s="2552"/>
      <c r="K26" s="2552"/>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1756</v>
      </c>
      <c r="C28" s="1434"/>
      <c r="D28" s="322"/>
      <c r="E28" s="322"/>
      <c r="F28" s="322"/>
      <c r="G28" s="1353"/>
      <c r="H28" s="322"/>
      <c r="I28" s="1353"/>
      <c r="J28" s="322"/>
      <c r="K28" s="322"/>
      <c r="L28" s="322"/>
    </row>
    <row r="29" spans="2:12" ht="37.5" customHeight="1" x14ac:dyDescent="0.2">
      <c r="B29" s="2552" t="s">
        <v>2196</v>
      </c>
      <c r="C29" s="2552"/>
      <c r="D29" s="2552"/>
      <c r="E29" s="2552"/>
      <c r="F29" s="2552"/>
      <c r="G29" s="2552"/>
      <c r="H29" s="2552"/>
      <c r="I29" s="2552"/>
      <c r="J29" s="2552"/>
      <c r="K29" s="2552"/>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1299</v>
      </c>
      <c r="C31" s="1434"/>
      <c r="D31" s="322"/>
      <c r="E31" s="322"/>
      <c r="F31" s="322"/>
      <c r="G31" s="1353"/>
      <c r="H31" s="322"/>
      <c r="I31" s="1353"/>
      <c r="J31" s="322"/>
      <c r="K31" s="322"/>
      <c r="L31" s="322"/>
    </row>
    <row r="32" spans="2:12" ht="37.5" customHeight="1" x14ac:dyDescent="0.2">
      <c r="B32" s="2552" t="s">
        <v>2201</v>
      </c>
      <c r="C32" s="2552"/>
      <c r="D32" s="2552"/>
      <c r="E32" s="2552"/>
      <c r="F32" s="2552"/>
      <c r="G32" s="2552"/>
      <c r="H32" s="2552"/>
      <c r="I32" s="2552"/>
      <c r="J32" s="2552"/>
      <c r="K32" s="2552"/>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1298</v>
      </c>
      <c r="C34" s="1354"/>
      <c r="D34" s="322"/>
      <c r="E34" s="322"/>
      <c r="F34" s="322"/>
      <c r="G34" s="1353"/>
      <c r="H34" s="322"/>
      <c r="I34" s="1353"/>
      <c r="J34" s="322"/>
      <c r="K34" s="322"/>
      <c r="L34" s="322"/>
    </row>
    <row r="35" spans="2:12" ht="37.5" customHeight="1" x14ac:dyDescent="0.2">
      <c r="B35" s="2552" t="s">
        <v>2208</v>
      </c>
      <c r="C35" s="2552"/>
      <c r="D35" s="2552"/>
      <c r="E35" s="2552"/>
      <c r="F35" s="2552"/>
      <c r="G35" s="2552"/>
      <c r="H35" s="2552"/>
      <c r="I35" s="2552"/>
      <c r="J35" s="2552"/>
      <c r="K35" s="2552"/>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1297</v>
      </c>
      <c r="C37" s="1354"/>
      <c r="D37" s="322"/>
      <c r="E37" s="322"/>
      <c r="F37" s="322"/>
      <c r="G37" s="1353"/>
      <c r="H37" s="322"/>
      <c r="I37" s="1353"/>
      <c r="J37" s="322"/>
      <c r="K37" s="322"/>
      <c r="L37" s="322"/>
    </row>
    <row r="38" spans="2:12" ht="35.25" customHeight="1" x14ac:dyDescent="0.2">
      <c r="B38" s="2552" t="s">
        <v>2202</v>
      </c>
      <c r="C38" s="2552"/>
      <c r="D38" s="2552"/>
      <c r="E38" s="2552"/>
      <c r="F38" s="2552"/>
      <c r="G38" s="2552"/>
      <c r="H38" s="2552"/>
      <c r="I38" s="2552"/>
      <c r="J38" s="2552"/>
      <c r="K38" s="2552"/>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1757</v>
      </c>
      <c r="C40" s="1373"/>
      <c r="D40" s="1348"/>
      <c r="E40" s="1349"/>
      <c r="F40" s="1349"/>
      <c r="G40" s="1350"/>
      <c r="H40" s="1349"/>
      <c r="I40" s="1350"/>
      <c r="J40" s="1349"/>
      <c r="K40" s="1349"/>
    </row>
    <row r="41" spans="2:12" s="322" customFormat="1" ht="33.75" customHeight="1" x14ac:dyDescent="0.2">
      <c r="B41" s="2552" t="s">
        <v>2203</v>
      </c>
      <c r="C41" s="2552"/>
      <c r="D41" s="2552"/>
      <c r="E41" s="2552"/>
      <c r="F41" s="2552"/>
      <c r="G41" s="2552"/>
      <c r="H41" s="2552"/>
      <c r="I41" s="2552"/>
      <c r="J41" s="2552"/>
      <c r="K41" s="2552"/>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1758</v>
      </c>
      <c r="C44" s="1376"/>
      <c r="D44" s="322"/>
      <c r="E44" s="322"/>
      <c r="F44" s="322"/>
    </row>
    <row r="45" spans="2:12" ht="10.5" customHeight="1" x14ac:dyDescent="0.2">
      <c r="B45" s="1377" t="s">
        <v>1759</v>
      </c>
      <c r="C45" s="1377"/>
      <c r="G45" s="317"/>
      <c r="I45" s="317"/>
    </row>
    <row r="46" spans="2:12" ht="11.1" customHeight="1" x14ac:dyDescent="0.2">
      <c r="B46" s="1377" t="s">
        <v>1760</v>
      </c>
      <c r="C46" s="1377"/>
      <c r="G46" s="317"/>
      <c r="I46" s="317"/>
    </row>
    <row r="47" spans="2:12" ht="11.1" customHeight="1" x14ac:dyDescent="0.2">
      <c r="B47" s="1377" t="s">
        <v>1761</v>
      </c>
      <c r="C47" s="1377"/>
      <c r="G47" s="317"/>
      <c r="I47" s="317"/>
    </row>
    <row r="48" spans="2:12" ht="11.1" customHeight="1" x14ac:dyDescent="0.2">
      <c r="B48" s="1377" t="s">
        <v>1762</v>
      </c>
      <c r="C48" s="137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E17" sqref="E1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530" t="str">
        <f>'Single Audit Cover'!A7</f>
        <v>Lake Villa CCSD 41</v>
      </c>
      <c r="C1" s="2530"/>
      <c r="D1" s="2530"/>
      <c r="E1" s="1442"/>
    </row>
    <row r="2" spans="2:5" s="1252" customFormat="1" ht="12.75" customHeight="1" x14ac:dyDescent="0.2">
      <c r="B2" s="2532">
        <f>'Single Audit Cover'!E7</f>
        <v>34049041004</v>
      </c>
      <c r="C2" s="2532"/>
      <c r="D2" s="2532"/>
      <c r="E2" s="1443"/>
    </row>
    <row r="3" spans="2:5" ht="12.75" customHeight="1" x14ac:dyDescent="0.2">
      <c r="B3" s="2553" t="s">
        <v>1763</v>
      </c>
      <c r="C3" s="2553"/>
      <c r="D3" s="2553"/>
      <c r="E3" s="1244"/>
    </row>
    <row r="4" spans="2:5" s="1252" customFormat="1" ht="12.75" customHeight="1" x14ac:dyDescent="0.2">
      <c r="B4" s="2563" t="str">
        <f>'Single Audit Cover'!A4</f>
        <v>Year Ending June 30, 2019</v>
      </c>
      <c r="C4" s="2563"/>
      <c r="D4" s="2563"/>
      <c r="E4" s="1444"/>
    </row>
    <row r="5" spans="2:5" s="1252" customFormat="1" ht="40.15" customHeight="1" x14ac:dyDescent="0.2">
      <c r="B5" s="1445" t="s">
        <v>1764</v>
      </c>
      <c r="C5" s="328"/>
      <c r="D5" s="328"/>
      <c r="E5" s="328"/>
    </row>
    <row r="6" spans="2:5" s="1252" customFormat="1" ht="13.5" customHeight="1" x14ac:dyDescent="0.2">
      <c r="B6" s="1446" t="s">
        <v>1315</v>
      </c>
      <c r="C6" s="1446" t="s">
        <v>1314</v>
      </c>
      <c r="D6" s="1446" t="s">
        <v>1765</v>
      </c>
    </row>
    <row r="7" spans="2:5" ht="13.5" customHeight="1" x14ac:dyDescent="0.2">
      <c r="B7" s="1447" t="s">
        <v>2161</v>
      </c>
      <c r="C7" s="324" t="s">
        <v>2204</v>
      </c>
      <c r="D7" s="324" t="s">
        <v>2198</v>
      </c>
      <c r="E7" s="324"/>
    </row>
    <row r="8" spans="2:5" ht="13.5" customHeight="1" x14ac:dyDescent="0.2">
      <c r="B8" s="1447"/>
      <c r="C8" s="324" t="s">
        <v>2205</v>
      </c>
      <c r="D8" s="324" t="s">
        <v>2206</v>
      </c>
      <c r="E8" s="324"/>
    </row>
    <row r="9" spans="2:5" ht="13.5" customHeight="1" x14ac:dyDescent="0.2">
      <c r="B9" s="1448"/>
      <c r="C9" s="323"/>
      <c r="D9" s="323" t="s">
        <v>2207</v>
      </c>
      <c r="E9" s="323"/>
    </row>
    <row r="10" spans="2:5" ht="13.5" customHeight="1" x14ac:dyDescent="0.2">
      <c r="B10" s="1447"/>
      <c r="C10" s="323"/>
      <c r="D10" s="323"/>
      <c r="E10" s="323"/>
    </row>
    <row r="11" spans="2:5" ht="13.5" customHeight="1" x14ac:dyDescent="0.2">
      <c r="B11" s="1447"/>
      <c r="C11" s="323"/>
      <c r="D11" s="323"/>
      <c r="E11" s="323"/>
    </row>
    <row r="12" spans="2:5" ht="13.5" customHeight="1" x14ac:dyDescent="0.2">
      <c r="B12" s="1447"/>
      <c r="C12" s="323"/>
      <c r="D12" s="323"/>
      <c r="E12" s="323"/>
    </row>
    <row r="13" spans="2:5" ht="13.5" customHeight="1" x14ac:dyDescent="0.2">
      <c r="B13" s="1447"/>
      <c r="C13" s="323"/>
      <c r="D13" s="323"/>
      <c r="E13" s="323"/>
    </row>
    <row r="14" spans="2:5" ht="13.5" customHeight="1" x14ac:dyDescent="0.2">
      <c r="B14" s="1447"/>
      <c r="C14" s="323"/>
      <c r="D14" s="323"/>
      <c r="E14" s="323"/>
    </row>
    <row r="15" spans="2:5" ht="13.5" customHeight="1" x14ac:dyDescent="0.2">
      <c r="B15" s="1447"/>
      <c r="C15" s="323"/>
      <c r="D15" s="323"/>
      <c r="E15" s="323"/>
    </row>
    <row r="16" spans="2:5" ht="13.5" customHeight="1" x14ac:dyDescent="0.2">
      <c r="B16" s="1447"/>
      <c r="C16" s="323"/>
      <c r="D16" s="323"/>
      <c r="E16" s="323"/>
    </row>
    <row r="17" spans="2:5" ht="13.5" customHeight="1" x14ac:dyDescent="0.2">
      <c r="B17" s="1447"/>
      <c r="C17" s="323"/>
      <c r="D17" s="323"/>
      <c r="E17" s="323"/>
    </row>
    <row r="18" spans="2:5" ht="13.5" customHeight="1" x14ac:dyDescent="0.2">
      <c r="B18" s="1447"/>
      <c r="C18" s="323"/>
      <c r="D18" s="323"/>
      <c r="E18" s="323"/>
    </row>
    <row r="19" spans="2:5" ht="13.5" customHeight="1" x14ac:dyDescent="0.2">
      <c r="B19" s="1447"/>
      <c r="C19" s="323"/>
      <c r="D19" s="323"/>
      <c r="E19" s="323"/>
    </row>
    <row r="20" spans="2:5" ht="13.5" customHeight="1" x14ac:dyDescent="0.2">
      <c r="B20" s="1447"/>
      <c r="C20" s="323"/>
      <c r="D20" s="323"/>
      <c r="E20" s="323"/>
    </row>
    <row r="21" spans="2:5" ht="13.5" customHeight="1" x14ac:dyDescent="0.2">
      <c r="B21" s="1447"/>
      <c r="C21" s="323"/>
      <c r="D21" s="323"/>
      <c r="E21" s="323"/>
    </row>
    <row r="22" spans="2:5" ht="13.5" customHeight="1" x14ac:dyDescent="0.2">
      <c r="B22" s="1447"/>
      <c r="C22" s="323"/>
      <c r="D22" s="323"/>
      <c r="E22" s="323"/>
    </row>
    <row r="23" spans="2:5" ht="13.5" customHeight="1" x14ac:dyDescent="0.2">
      <c r="B23" s="1447"/>
      <c r="C23" s="323"/>
      <c r="D23" s="323"/>
      <c r="E23" s="323"/>
    </row>
    <row r="24" spans="2:5" ht="13.5" customHeight="1" x14ac:dyDescent="0.2">
      <c r="B24" s="1447"/>
      <c r="C24" s="323"/>
      <c r="D24" s="323"/>
      <c r="E24" s="323"/>
    </row>
    <row r="25" spans="2:5" ht="13.5" customHeight="1" x14ac:dyDescent="0.2">
      <c r="B25" s="1447"/>
      <c r="C25" s="323"/>
      <c r="D25" s="323"/>
      <c r="E25" s="323"/>
    </row>
    <row r="26" spans="2:5" ht="13.5" customHeight="1" x14ac:dyDescent="0.2">
      <c r="B26" s="1447"/>
      <c r="C26" s="323"/>
      <c r="D26" s="323"/>
      <c r="E26" s="323"/>
    </row>
    <row r="27" spans="2:5" ht="13.5" customHeight="1" x14ac:dyDescent="0.2">
      <c r="B27" s="1447"/>
      <c r="C27" s="323"/>
      <c r="D27" s="323"/>
      <c r="E27" s="323"/>
    </row>
    <row r="28" spans="2:5" ht="13.5" customHeight="1" x14ac:dyDescent="0.2">
      <c r="B28" s="1447"/>
      <c r="C28" s="323"/>
      <c r="D28" s="323"/>
      <c r="E28" s="323"/>
    </row>
    <row r="29" spans="2:5" ht="13.5" customHeight="1" x14ac:dyDescent="0.2">
      <c r="B29" s="1447"/>
      <c r="C29" s="323"/>
      <c r="D29" s="323"/>
      <c r="E29" s="323"/>
    </row>
    <row r="30" spans="2:5" ht="13.5" customHeight="1" x14ac:dyDescent="0.2">
      <c r="B30" s="1447"/>
      <c r="C30" s="323"/>
      <c r="D30" s="323"/>
      <c r="E30" s="323"/>
    </row>
    <row r="31" spans="2:5" ht="13.5" customHeight="1" x14ac:dyDescent="0.2">
      <c r="B31" s="1447"/>
      <c r="C31" s="323"/>
      <c r="D31" s="323"/>
      <c r="E31" s="323"/>
    </row>
    <row r="32" spans="2:5" ht="13.5" customHeight="1" x14ac:dyDescent="0.2">
      <c r="B32" s="1449"/>
      <c r="C32" s="323"/>
      <c r="D32" s="323"/>
      <c r="E32" s="323"/>
    </row>
    <row r="33" spans="2:5" ht="13.5" customHeight="1" x14ac:dyDescent="0.2">
      <c r="B33" s="1450"/>
      <c r="C33" s="323"/>
      <c r="D33" s="323"/>
      <c r="E33" s="323"/>
    </row>
    <row r="34" spans="2:5" ht="13.5" customHeight="1" x14ac:dyDescent="0.2">
      <c r="B34" s="1451"/>
      <c r="C34" s="323"/>
      <c r="D34" s="323"/>
      <c r="E34" s="323"/>
    </row>
    <row r="35" spans="2:5" ht="13.5" customHeight="1" x14ac:dyDescent="0.2">
      <c r="B35" s="1450"/>
      <c r="C35" s="323"/>
      <c r="D35" s="323"/>
      <c r="E35" s="323"/>
    </row>
    <row r="36" spans="2:5" ht="13.5" customHeight="1" x14ac:dyDescent="0.2">
      <c r="B36" s="1451"/>
      <c r="C36" s="323"/>
      <c r="D36" s="323"/>
      <c r="E36" s="323"/>
    </row>
    <row r="37" spans="2:5" ht="13.5" customHeight="1" x14ac:dyDescent="0.2">
      <c r="B37" s="1451"/>
      <c r="C37" s="323"/>
      <c r="D37" s="323"/>
      <c r="E37" s="323"/>
    </row>
    <row r="38" spans="2:5" ht="13.5" customHeight="1" x14ac:dyDescent="0.2">
      <c r="B38" s="1450"/>
      <c r="C38" s="323"/>
      <c r="D38" s="323"/>
      <c r="E38" s="323"/>
    </row>
    <row r="39" spans="2:5" ht="13.5" customHeight="1" x14ac:dyDescent="0.2">
      <c r="B39" s="1451"/>
      <c r="C39" s="323"/>
      <c r="D39" s="323"/>
      <c r="E39" s="323"/>
    </row>
    <row r="40" spans="2:5" ht="13.5" customHeight="1" x14ac:dyDescent="0.2">
      <c r="B40" s="1450"/>
      <c r="C40" s="323"/>
      <c r="D40" s="323"/>
      <c r="E40" s="323"/>
    </row>
    <row r="41" spans="2:5" ht="13.5" customHeight="1" x14ac:dyDescent="0.2">
      <c r="B41" s="1452"/>
      <c r="C41" s="323"/>
      <c r="D41" s="323"/>
      <c r="E41" s="323"/>
    </row>
    <row r="42" spans="2:5" ht="13.5" customHeight="1" x14ac:dyDescent="0.2">
      <c r="B42" s="1453"/>
      <c r="C42" s="323"/>
      <c r="D42" s="323"/>
      <c r="E42" s="323"/>
    </row>
    <row r="43" spans="2:5" ht="12.75" customHeight="1" x14ac:dyDescent="0.2">
      <c r="B43" s="1454"/>
      <c r="C43" s="1455"/>
      <c r="D43" s="1455"/>
      <c r="E43" s="323"/>
    </row>
    <row r="44" spans="2:5" ht="12.2" customHeight="1" x14ac:dyDescent="0.2">
      <c r="B44" s="1227" t="s">
        <v>1313</v>
      </c>
      <c r="C44" s="322"/>
    </row>
    <row r="45" spans="2:5" ht="12.2" customHeight="1" x14ac:dyDescent="0.2">
      <c r="B45" s="1456" t="s">
        <v>1766</v>
      </c>
    </row>
    <row r="46" spans="2:5" ht="12.2" customHeight="1" x14ac:dyDescent="0.2">
      <c r="B46" s="1456" t="s">
        <v>1767</v>
      </c>
    </row>
    <row r="47" spans="2:5" ht="12.2" customHeight="1" x14ac:dyDescent="0.2">
      <c r="B47" s="1457" t="s">
        <v>1312</v>
      </c>
    </row>
    <row r="48" spans="2:5" ht="12.2" customHeight="1" x14ac:dyDescent="0.2">
      <c r="B48" s="1457" t="s">
        <v>1311</v>
      </c>
    </row>
    <row r="49" spans="2:5" ht="12.2" customHeight="1" x14ac:dyDescent="0.2">
      <c r="B49" s="1457" t="s">
        <v>1310</v>
      </c>
    </row>
    <row r="50" spans="2:5" ht="12.2" customHeight="1" x14ac:dyDescent="0.2">
      <c r="B50" s="1457" t="s">
        <v>1309</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6"/>
    </row>
    <row r="68" spans="2:2" x14ac:dyDescent="0.2">
      <c r="B68" s="1270"/>
    </row>
    <row r="69" spans="2:2" x14ac:dyDescent="0.2">
      <c r="B69" s="1270"/>
    </row>
    <row r="70" spans="2:2" x14ac:dyDescent="0.2">
      <c r="B70" s="1377"/>
    </row>
    <row r="71" spans="2:2" x14ac:dyDescent="0.2">
      <c r="B71" s="1377"/>
    </row>
    <row r="72" spans="2:2" x14ac:dyDescent="0.2">
      <c r="B72" s="1377"/>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2" colorId="8" zoomScale="110" zoomScaleNormal="110" workbookViewId="0">
      <selection activeCell="R16" sqref="R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1" t="s">
        <v>386</v>
      </c>
      <c r="B1" s="2161"/>
      <c r="C1" s="2161"/>
      <c r="D1" s="2161"/>
      <c r="E1" s="2161"/>
      <c r="F1" s="2161"/>
      <c r="G1" s="2161"/>
      <c r="H1" s="2161"/>
      <c r="I1" s="2161"/>
      <c r="J1" s="2161"/>
      <c r="K1" s="2161"/>
      <c r="L1" s="2161"/>
      <c r="M1" s="216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520501094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2.7871420000000001E-2</v>
      </c>
      <c r="E10" s="356" t="s">
        <v>1005</v>
      </c>
      <c r="F10" s="355">
        <v>3.9554000000000004E-3</v>
      </c>
      <c r="G10" s="356" t="s">
        <v>1005</v>
      </c>
      <c r="H10" s="355">
        <v>2.1803E-3</v>
      </c>
      <c r="I10" s="356" t="s">
        <v>1006</v>
      </c>
      <c r="J10" s="1705">
        <f>ROUND(D10+F10+H10,5)</f>
        <v>3.4009999999999999E-2</v>
      </c>
      <c r="K10" s="222"/>
      <c r="L10" s="355">
        <v>1.04E-5</v>
      </c>
      <c r="M10" s="222"/>
    </row>
    <row r="11" spans="1:14" ht="7.5" customHeight="1" x14ac:dyDescent="0.2">
      <c r="B11" s="222"/>
      <c r="C11" s="222"/>
      <c r="D11" s="2171" t="str">
        <f>IF(SUM(J10)&lt;=0.0999999,"","Enter the Tax Rates by moving the decimal two places to the left.")</f>
        <v/>
      </c>
      <c r="E11" s="2172"/>
      <c r="F11" s="2172"/>
      <c r="G11" s="2172"/>
      <c r="H11" s="2172"/>
      <c r="I11" s="2172"/>
      <c r="J11" s="217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6">
        <f>SUM('Acct Summary 7-8'!C8,'Acct Summary 7-8'!D8,'Acct Summary 7-8'!F8,'Acct Summary 7-8'!I8)</f>
        <v>29852829</v>
      </c>
      <c r="E16" s="356"/>
      <c r="F16" s="1706">
        <f>SUM('Acct Summary 7-8'!C17,'Acct Summary 7-8'!D17,'Acct Summary 7-8'!F17)</f>
        <v>28438655</v>
      </c>
      <c r="G16" s="356"/>
      <c r="H16" s="1706">
        <f>SUM(D16-F16)</f>
        <v>1414174</v>
      </c>
      <c r="I16" s="222"/>
      <c r="J16" s="1706">
        <f>SUM('Acct Summary 7-8'!C81,'Acct Summary 7-8'!D81,'Acct Summary 7-8'!F81,'Acct Summary 7-8'!I81)</f>
        <v>22553426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6">
        <f>'Short-Term Long-Term Debt 24'!F4</f>
        <v>0</v>
      </c>
      <c r="E22" s="356" t="s">
        <v>1005</v>
      </c>
      <c r="F22" s="1706">
        <f>'Short-Term Long-Term Debt 24'!F15</f>
        <v>0</v>
      </c>
      <c r="G22" s="356" t="s">
        <v>1005</v>
      </c>
      <c r="H22" s="1706">
        <f>'Short-Term Long-Term Debt 24'!F21</f>
        <v>0</v>
      </c>
      <c r="I22" s="356" t="s">
        <v>1005</v>
      </c>
      <c r="J22" s="1706">
        <f>'Short-Term Long-Term Debt 24'!F23</f>
        <v>0</v>
      </c>
      <c r="K22" s="356" t="s">
        <v>1005</v>
      </c>
      <c r="L22" s="170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6">
        <f>'Short-Term Long-Term Debt 24'!F27</f>
        <v>0</v>
      </c>
      <c r="E24" s="356" t="s">
        <v>1006</v>
      </c>
      <c r="F24" s="1707">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2149</v>
      </c>
      <c r="C31" s="367" t="s">
        <v>586</v>
      </c>
      <c r="D31" s="237" t="s">
        <v>1072</v>
      </c>
      <c r="E31" s="222"/>
      <c r="F31" s="222"/>
      <c r="G31" s="363"/>
      <c r="H31" s="1708">
        <f>IF(B31="X",(J7*0.069),IF(B32="X",(J7*0.138),"Enter x in a.or b."))</f>
        <v>35914575.486000001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7">
        <f>'Assets-Liab 5-6'!N36</f>
        <v>5194358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62"/>
      <c r="C54" s="2163"/>
      <c r="D54" s="2163"/>
      <c r="E54" s="2163"/>
      <c r="F54" s="2163"/>
      <c r="G54" s="2163"/>
      <c r="H54" s="2163"/>
      <c r="I54" s="2163"/>
      <c r="J54" s="2163"/>
      <c r="K54" s="2163"/>
      <c r="L54" s="2164"/>
      <c r="M54" s="380"/>
    </row>
    <row r="55" spans="1:13" ht="12.75" customHeight="1" x14ac:dyDescent="0.2">
      <c r="B55" s="2165"/>
      <c r="C55" s="2166"/>
      <c r="D55" s="2166"/>
      <c r="E55" s="2166"/>
      <c r="F55" s="2166"/>
      <c r="G55" s="2166"/>
      <c r="H55" s="2166"/>
      <c r="I55" s="2166"/>
      <c r="J55" s="2166"/>
      <c r="K55" s="2166"/>
      <c r="L55" s="2167"/>
      <c r="M55" s="380"/>
    </row>
    <row r="56" spans="1:13" ht="12.75" customHeight="1" x14ac:dyDescent="0.2">
      <c r="B56" s="2165"/>
      <c r="C56" s="2166"/>
      <c r="D56" s="2166"/>
      <c r="E56" s="2166"/>
      <c r="F56" s="2166"/>
      <c r="G56" s="2166"/>
      <c r="H56" s="2166"/>
      <c r="I56" s="2166"/>
      <c r="J56" s="2166"/>
      <c r="K56" s="2166"/>
      <c r="L56" s="2167"/>
      <c r="M56" s="222"/>
    </row>
    <row r="57" spans="1:13" ht="12.75" customHeight="1" x14ac:dyDescent="0.2">
      <c r="B57" s="2165"/>
      <c r="C57" s="2166"/>
      <c r="D57" s="2166"/>
      <c r="E57" s="2166"/>
      <c r="F57" s="2166"/>
      <c r="G57" s="2166"/>
      <c r="H57" s="2166"/>
      <c r="I57" s="2166"/>
      <c r="J57" s="2166"/>
      <c r="K57" s="2166"/>
      <c r="L57" s="2167"/>
      <c r="M57" s="222"/>
    </row>
    <row r="58" spans="1:13" x14ac:dyDescent="0.2">
      <c r="B58" s="2168"/>
      <c r="C58" s="2169"/>
      <c r="D58" s="2169"/>
      <c r="E58" s="2169"/>
      <c r="F58" s="2169"/>
      <c r="G58" s="2169"/>
      <c r="H58" s="2169"/>
      <c r="I58" s="2169"/>
      <c r="J58" s="2169"/>
      <c r="K58" s="2169"/>
      <c r="L58" s="217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3"/>
      <c r="D61" s="217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E1" zoomScale="110" zoomScaleNormal="110" workbookViewId="0">
      <selection activeCell="AF22" sqref="AF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76"/>
      <c r="B1" s="2177"/>
      <c r="C1" s="2177"/>
      <c r="D1" s="384"/>
      <c r="E1" s="384"/>
      <c r="F1" s="384"/>
      <c r="G1" s="384"/>
      <c r="H1" s="384"/>
      <c r="I1" s="384"/>
      <c r="J1" s="384"/>
      <c r="K1" s="384"/>
      <c r="L1" s="384"/>
      <c r="M1" s="384"/>
      <c r="N1" s="384"/>
      <c r="O1" s="2176"/>
      <c r="P1" s="2177"/>
      <c r="Q1" s="2177"/>
    </row>
    <row r="2" spans="1:18" ht="15" x14ac:dyDescent="0.2">
      <c r="A2" s="2180" t="s">
        <v>556</v>
      </c>
      <c r="B2" s="2180"/>
      <c r="C2" s="2180"/>
      <c r="D2" s="2180"/>
      <c r="E2" s="2180"/>
      <c r="F2" s="2180"/>
      <c r="G2" s="2180"/>
      <c r="H2" s="2180"/>
      <c r="I2" s="2180"/>
      <c r="J2" s="2180"/>
      <c r="K2" s="2180"/>
      <c r="L2" s="2180"/>
      <c r="M2" s="2180"/>
      <c r="N2" s="2180"/>
      <c r="O2" s="2180"/>
      <c r="P2" s="2180"/>
      <c r="Q2" s="2180"/>
      <c r="R2" s="2180"/>
    </row>
    <row r="3" spans="1:18" ht="12.75" x14ac:dyDescent="0.2">
      <c r="A3" s="2181" t="s">
        <v>1413</v>
      </c>
      <c r="B3" s="2181"/>
      <c r="C3" s="2181"/>
      <c r="D3" s="2181"/>
      <c r="E3" s="2181"/>
      <c r="F3" s="2181"/>
      <c r="G3" s="2181"/>
      <c r="H3" s="2181"/>
      <c r="I3" s="2181"/>
      <c r="J3" s="2181"/>
      <c r="K3" s="2181"/>
      <c r="L3" s="2181"/>
      <c r="M3" s="2181"/>
      <c r="N3" s="2181"/>
      <c r="O3" s="2181"/>
      <c r="P3" s="2181"/>
      <c r="Q3" s="2181"/>
      <c r="R3" s="2181"/>
    </row>
    <row r="4" spans="1:18" x14ac:dyDescent="0.2">
      <c r="A4" s="2182" t="s">
        <v>1554</v>
      </c>
      <c r="B4" s="2182"/>
      <c r="C4" s="2182"/>
      <c r="D4" s="2182"/>
      <c r="E4" s="2182"/>
      <c r="F4" s="2182"/>
      <c r="G4" s="2182"/>
      <c r="H4" s="2182"/>
      <c r="I4" s="2182"/>
      <c r="J4" s="2182"/>
      <c r="K4" s="2182"/>
      <c r="L4" s="2182"/>
      <c r="M4" s="2182"/>
      <c r="N4" s="2182"/>
      <c r="O4" s="2182"/>
      <c r="P4" s="2182"/>
      <c r="Q4" s="2182"/>
      <c r="R4" s="218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Lake Villa CCSD 41</v>
      </c>
      <c r="E7" s="391"/>
      <c r="G7" s="252"/>
      <c r="H7" s="387"/>
      <c r="I7" s="387"/>
      <c r="J7" s="387"/>
      <c r="K7" s="387"/>
      <c r="L7" s="329"/>
      <c r="M7" s="329"/>
      <c r="N7" s="329"/>
      <c r="O7" s="329"/>
      <c r="P7" s="329"/>
    </row>
    <row r="8" spans="1:18" ht="12.75" x14ac:dyDescent="0.2">
      <c r="A8" s="329"/>
      <c r="B8" s="329"/>
      <c r="C8" s="389" t="s">
        <v>1125</v>
      </c>
      <c r="D8" s="392">
        <f>COVER!A13</f>
        <v>34049041004</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22553426</v>
      </c>
      <c r="I12" s="404"/>
      <c r="J12" s="404"/>
      <c r="K12" s="405">
        <f>TRUNC((H12/H13*100000),5)/100000</f>
        <v>0.75750266300000002</v>
      </c>
      <c r="L12" s="406"/>
      <c r="M12" s="360" t="s">
        <v>1144</v>
      </c>
      <c r="N12" s="360"/>
      <c r="O12" s="407">
        <v>0.35</v>
      </c>
      <c r="P12" s="218"/>
      <c r="Q12" s="218"/>
    </row>
    <row r="13" spans="1:18" s="408" customFormat="1" ht="12.75" x14ac:dyDescent="0.2">
      <c r="A13" s="218"/>
      <c r="B13" s="401"/>
      <c r="C13" s="2178" t="s">
        <v>1324</v>
      </c>
      <c r="D13" s="2179"/>
      <c r="E13" s="218"/>
      <c r="F13" s="409" t="s">
        <v>793</v>
      </c>
      <c r="G13" s="402"/>
      <c r="H13" s="403">
        <f>SUM('Acct Summary 7-8'!C8+'Acct Summary 7-8'!D8+'Acct Summary 7-8'!F8+'Acct Summary 7-8'!I8)+H14</f>
        <v>29773395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-79434</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28438655</v>
      </c>
      <c r="I17" s="404"/>
      <c r="J17" s="416"/>
      <c r="K17" s="405">
        <f>TRUNC((H17/H18*100000),5)/100000</f>
        <v>0.95517004350000001</v>
      </c>
      <c r="L17" s="406"/>
      <c r="M17" s="417" t="s">
        <v>1171</v>
      </c>
      <c r="O17" s="418" t="str">
        <f>IF(AND(O16="2", J20 &gt; 2),"1",IF(AND(O16 = "1", J20 &gt; 2),"2",IF(AND(O16="1", J20 &gt;1),"1","0")))</f>
        <v>0</v>
      </c>
      <c r="P17" s="218"/>
    </row>
    <row r="18" spans="1:18" s="408" customFormat="1" ht="11.25" x14ac:dyDescent="0.2">
      <c r="A18" s="218"/>
      <c r="B18" s="401"/>
      <c r="C18" s="2178" t="s">
        <v>1317</v>
      </c>
      <c r="D18" s="2179"/>
      <c r="E18" s="218"/>
      <c r="F18" s="419" t="s">
        <v>794</v>
      </c>
      <c r="G18" s="402"/>
      <c r="H18" s="403">
        <f>SUM('Acct Summary 7-8'!C8+'Acct Summary 7-8'!D8+'Acct Summary 7-8'!F8+'Acct Summary 7-8'!I8)+H19</f>
        <v>29773395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-79434</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75" t="s">
        <v>1412</v>
      </c>
      <c r="D24" s="2175"/>
      <c r="E24" s="218"/>
      <c r="F24" s="218" t="s">
        <v>445</v>
      </c>
      <c r="G24" s="402"/>
      <c r="H24" s="403">
        <f>SUM('Assets-Liab 5-6'!C4+'Assets-Liab 5-6'!D4+'Assets-Liab 5-6'!F4+'Assets-Liab 5-6'!I4+'Assets-Liab 5-6'!C5+'Assets-Liab 5-6'!D5+'Assets-Liab 5-6'!F5+'Assets-Liab 5-6'!I5)</f>
        <v>22553426</v>
      </c>
      <c r="I24" s="422"/>
      <c r="J24" s="422"/>
      <c r="K24" s="423">
        <f>TRUNC(((H24/H25*100000)/100000),2)</f>
        <v>285.49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78996.263890000002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15046905.8759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5194358</v>
      </c>
      <c r="I32" s="420"/>
      <c r="J32" s="420"/>
      <c r="K32" s="423">
        <f>TRUNC(100-((((H32/H33*100))*100)/100),2)</f>
        <v>85.53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35914575.486000001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3" activePane="bottomLeft" state="frozen"/>
      <selection activeCell="AF22" sqref="AF22"/>
      <selection pane="bottomLeft" activeCell="D30" sqref="D30"/>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8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8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85" t="s">
        <v>973</v>
      </c>
      <c r="B3" s="2186"/>
      <c r="C3" s="1532"/>
      <c r="D3" s="1533"/>
      <c r="E3" s="1533"/>
      <c r="F3" s="1533"/>
      <c r="G3" s="1533"/>
      <c r="H3" s="1533"/>
      <c r="I3" s="1533"/>
      <c r="J3" s="1533"/>
      <c r="K3" s="1533"/>
      <c r="L3" s="1533"/>
      <c r="M3" s="1534"/>
      <c r="N3" s="1535"/>
    </row>
    <row r="4" spans="1:14" ht="13.5" customHeight="1" x14ac:dyDescent="0.2">
      <c r="A4" s="463" t="s">
        <v>1651</v>
      </c>
      <c r="B4" s="464"/>
      <c r="C4" s="1911">
        <v>3753618</v>
      </c>
      <c r="D4" s="1912">
        <v>613315</v>
      </c>
      <c r="E4" s="1912">
        <v>670130</v>
      </c>
      <c r="F4" s="1912">
        <v>118193</v>
      </c>
      <c r="G4" s="1912">
        <v>118987</v>
      </c>
      <c r="H4" s="1912">
        <v>3880</v>
      </c>
      <c r="I4" s="1912">
        <v>497023</v>
      </c>
      <c r="J4" s="1913">
        <v>42828</v>
      </c>
      <c r="K4" s="1992">
        <v>181185</v>
      </c>
      <c r="L4" s="1912">
        <v>21656</v>
      </c>
      <c r="M4" s="467"/>
      <c r="N4" s="468"/>
    </row>
    <row r="5" spans="1:14" x14ac:dyDescent="0.2">
      <c r="A5" s="463" t="s">
        <v>992</v>
      </c>
      <c r="B5" s="469">
        <v>120</v>
      </c>
      <c r="C5" s="1911">
        <v>13238440</v>
      </c>
      <c r="D5" s="1912">
        <v>2163067</v>
      </c>
      <c r="E5" s="1912">
        <v>2363448</v>
      </c>
      <c r="F5" s="1912">
        <v>416848</v>
      </c>
      <c r="G5" s="1912">
        <v>419650</v>
      </c>
      <c r="H5" s="1912">
        <v>13682</v>
      </c>
      <c r="I5" s="1912">
        <v>1752922</v>
      </c>
      <c r="J5" s="1913">
        <v>151048</v>
      </c>
      <c r="K5" s="1914">
        <v>639013</v>
      </c>
      <c r="L5" s="470"/>
      <c r="M5" s="467"/>
      <c r="N5" s="468"/>
    </row>
    <row r="6" spans="1:14" ht="13.5" customHeight="1" x14ac:dyDescent="0.2">
      <c r="A6" s="471" t="s">
        <v>417</v>
      </c>
      <c r="B6" s="469">
        <v>130</v>
      </c>
      <c r="C6" s="1911">
        <v>0</v>
      </c>
      <c r="D6" s="1912">
        <v>0</v>
      </c>
      <c r="E6" s="1912">
        <v>0</v>
      </c>
      <c r="F6" s="1912">
        <v>0</v>
      </c>
      <c r="G6" s="1914">
        <v>0</v>
      </c>
      <c r="H6" s="1914">
        <v>0</v>
      </c>
      <c r="I6" s="1912">
        <v>0</v>
      </c>
      <c r="J6" s="1915">
        <v>0</v>
      </c>
      <c r="K6" s="1914">
        <v>0</v>
      </c>
      <c r="L6" s="472"/>
      <c r="M6" s="467"/>
      <c r="N6" s="468"/>
    </row>
    <row r="7" spans="1:14" ht="13.5" customHeight="1" x14ac:dyDescent="0.2">
      <c r="A7" s="471" t="s">
        <v>418</v>
      </c>
      <c r="B7" s="469">
        <v>140</v>
      </c>
      <c r="C7" s="1916">
        <v>0</v>
      </c>
      <c r="D7" s="1913">
        <v>0</v>
      </c>
      <c r="E7" s="1916">
        <v>0</v>
      </c>
      <c r="F7" s="1913">
        <v>0</v>
      </c>
      <c r="G7" s="1913">
        <v>0</v>
      </c>
      <c r="H7" s="1913">
        <v>0</v>
      </c>
      <c r="I7" s="1913">
        <v>0</v>
      </c>
      <c r="J7" s="1913">
        <v>0</v>
      </c>
      <c r="K7" s="1913">
        <v>0</v>
      </c>
      <c r="L7" s="473"/>
      <c r="M7" s="467"/>
      <c r="N7" s="468"/>
    </row>
    <row r="8" spans="1:14" ht="13.5" customHeight="1" x14ac:dyDescent="0.2">
      <c r="A8" s="471" t="s">
        <v>269</v>
      </c>
      <c r="B8" s="469">
        <v>150</v>
      </c>
      <c r="C8" s="1916">
        <v>0</v>
      </c>
      <c r="D8" s="1913">
        <v>0</v>
      </c>
      <c r="E8" s="1916">
        <v>0</v>
      </c>
      <c r="F8" s="1913">
        <v>0</v>
      </c>
      <c r="G8" s="1917">
        <v>0</v>
      </c>
      <c r="H8" s="1913">
        <v>0</v>
      </c>
      <c r="I8" s="1915">
        <v>0</v>
      </c>
      <c r="J8" s="1915">
        <v>0</v>
      </c>
      <c r="K8" s="1918">
        <v>0</v>
      </c>
      <c r="L8" s="476"/>
      <c r="M8" s="467"/>
      <c r="N8" s="468"/>
    </row>
    <row r="9" spans="1:14" ht="13.5" customHeight="1" x14ac:dyDescent="0.2">
      <c r="A9" s="471" t="s">
        <v>270</v>
      </c>
      <c r="B9" s="469">
        <v>160</v>
      </c>
      <c r="C9" s="1916">
        <v>0</v>
      </c>
      <c r="D9" s="1913">
        <v>0</v>
      </c>
      <c r="E9" s="1916">
        <v>0</v>
      </c>
      <c r="F9" s="1913">
        <v>0</v>
      </c>
      <c r="G9" s="1913">
        <v>0</v>
      </c>
      <c r="H9" s="1917">
        <v>0</v>
      </c>
      <c r="I9" s="1913">
        <v>0</v>
      </c>
      <c r="J9" s="1913">
        <v>0</v>
      </c>
      <c r="K9" s="1913">
        <v>0</v>
      </c>
      <c r="L9" s="466"/>
      <c r="M9" s="467"/>
      <c r="N9" s="468"/>
    </row>
    <row r="10" spans="1:14" ht="13.5" customHeight="1" x14ac:dyDescent="0.2">
      <c r="A10" s="471" t="s">
        <v>991</v>
      </c>
      <c r="B10" s="469">
        <v>170</v>
      </c>
      <c r="C10" s="1911">
        <v>0</v>
      </c>
      <c r="D10" s="1912">
        <v>0</v>
      </c>
      <c r="E10" s="1913">
        <v>0</v>
      </c>
      <c r="F10" s="1912">
        <v>0</v>
      </c>
      <c r="G10" s="1917">
        <v>0</v>
      </c>
      <c r="H10" s="1919">
        <v>0</v>
      </c>
      <c r="I10" s="1913">
        <v>0</v>
      </c>
      <c r="J10" s="1913">
        <v>0</v>
      </c>
      <c r="K10" s="1919">
        <v>0</v>
      </c>
      <c r="L10" s="477"/>
      <c r="M10" s="468"/>
      <c r="N10" s="468"/>
    </row>
    <row r="11" spans="1:14" ht="13.5" customHeight="1" x14ac:dyDescent="0.2">
      <c r="A11" s="471" t="s">
        <v>271</v>
      </c>
      <c r="B11" s="469">
        <v>180</v>
      </c>
      <c r="C11" s="1916">
        <v>0</v>
      </c>
      <c r="D11" s="1913">
        <v>0</v>
      </c>
      <c r="E11" s="1913">
        <v>0</v>
      </c>
      <c r="F11" s="1913">
        <v>0</v>
      </c>
      <c r="G11" s="1913">
        <v>0</v>
      </c>
      <c r="H11" s="1913">
        <v>0</v>
      </c>
      <c r="I11" s="1917">
        <v>0</v>
      </c>
      <c r="J11" s="1917">
        <v>0</v>
      </c>
      <c r="K11" s="1913">
        <v>0</v>
      </c>
      <c r="L11" s="466"/>
      <c r="M11" s="468"/>
      <c r="N11" s="468"/>
    </row>
    <row r="12" spans="1:14" ht="13.5" customHeight="1" x14ac:dyDescent="0.2">
      <c r="A12" s="471" t="s">
        <v>419</v>
      </c>
      <c r="B12" s="469">
        <v>190</v>
      </c>
      <c r="C12" s="1911">
        <v>0</v>
      </c>
      <c r="D12" s="1912">
        <v>0</v>
      </c>
      <c r="E12" s="1912">
        <v>0</v>
      </c>
      <c r="F12" s="1912">
        <v>0</v>
      </c>
      <c r="G12" s="1912">
        <v>0</v>
      </c>
      <c r="H12" s="1912">
        <v>0</v>
      </c>
      <c r="I12" s="1912">
        <v>0</v>
      </c>
      <c r="J12" s="1913">
        <v>0</v>
      </c>
      <c r="K12" s="1912">
        <v>0</v>
      </c>
      <c r="L12" s="465"/>
      <c r="M12" s="468"/>
      <c r="N12" s="468"/>
    </row>
    <row r="13" spans="1:14" ht="13.5" customHeight="1" thickBot="1" x14ac:dyDescent="0.25">
      <c r="A13" s="1709" t="s">
        <v>644</v>
      </c>
      <c r="B13" s="1682"/>
      <c r="C13" s="1710">
        <f>SUM(C4:C12)</f>
        <v>16992058</v>
      </c>
      <c r="D13" s="1710">
        <f t="shared" ref="D13:L13" si="0">SUM(D4:D12)</f>
        <v>2776382</v>
      </c>
      <c r="E13" s="1710">
        <f t="shared" si="0"/>
        <v>3033578</v>
      </c>
      <c r="F13" s="1710">
        <f t="shared" si="0"/>
        <v>535041</v>
      </c>
      <c r="G13" s="1710">
        <f t="shared" si="0"/>
        <v>538637</v>
      </c>
      <c r="H13" s="1710">
        <f t="shared" si="0"/>
        <v>17562</v>
      </c>
      <c r="I13" s="1710">
        <f t="shared" si="0"/>
        <v>2249945</v>
      </c>
      <c r="J13" s="1710">
        <f t="shared" si="0"/>
        <v>193876</v>
      </c>
      <c r="K13" s="1710">
        <f t="shared" si="0"/>
        <v>820198</v>
      </c>
      <c r="L13" s="1710">
        <f t="shared" si="0"/>
        <v>21656</v>
      </c>
      <c r="M13" s="467"/>
      <c r="N13" s="468"/>
    </row>
    <row r="14" spans="1:14" ht="18" customHeight="1" thickTop="1" x14ac:dyDescent="0.2">
      <c r="A14" s="2187" t="s">
        <v>147</v>
      </c>
      <c r="B14" s="2188"/>
      <c r="C14" s="1536"/>
      <c r="D14" s="1537"/>
      <c r="E14" s="1537"/>
      <c r="F14" s="1537"/>
      <c r="G14" s="1537"/>
      <c r="H14" s="1537"/>
      <c r="I14" s="1537"/>
      <c r="J14" s="1537"/>
      <c r="K14" s="1537"/>
      <c r="L14" s="1537"/>
      <c r="M14" s="1538"/>
      <c r="N14" s="1539"/>
    </row>
    <row r="15" spans="1:14" s="481" customFormat="1" ht="12.75" customHeight="1" x14ac:dyDescent="0.2">
      <c r="A15" s="478" t="s">
        <v>1401</v>
      </c>
      <c r="B15" s="479">
        <v>210</v>
      </c>
      <c r="C15" s="473"/>
      <c r="D15" s="473"/>
      <c r="E15" s="473"/>
      <c r="F15" s="473"/>
      <c r="G15" s="473"/>
      <c r="H15" s="473"/>
      <c r="I15" s="473"/>
      <c r="J15" s="473"/>
      <c r="K15" s="473"/>
      <c r="L15" s="473"/>
      <c r="M15" s="474"/>
      <c r="N15" s="480"/>
    </row>
    <row r="16" spans="1:14" s="481" customFormat="1" ht="12.75" customHeight="1" x14ac:dyDescent="0.2">
      <c r="A16" s="478" t="s">
        <v>1402</v>
      </c>
      <c r="B16" s="479">
        <v>220</v>
      </c>
      <c r="C16" s="473"/>
      <c r="D16" s="473"/>
      <c r="E16" s="473"/>
      <c r="F16" s="473"/>
      <c r="G16" s="473"/>
      <c r="H16" s="473"/>
      <c r="I16" s="473"/>
      <c r="J16" s="473"/>
      <c r="K16" s="473"/>
      <c r="L16" s="473"/>
      <c r="M16" s="1913">
        <v>6064657</v>
      </c>
      <c r="N16" s="480"/>
    </row>
    <row r="17" spans="1:14" s="481" customFormat="1" ht="12.75" customHeight="1" x14ac:dyDescent="0.2">
      <c r="A17" s="478" t="s">
        <v>1403</v>
      </c>
      <c r="B17" s="479">
        <v>230</v>
      </c>
      <c r="C17" s="473"/>
      <c r="D17" s="473"/>
      <c r="E17" s="473"/>
      <c r="F17" s="473"/>
      <c r="G17" s="473"/>
      <c r="H17" s="473"/>
      <c r="I17" s="473"/>
      <c r="J17" s="473"/>
      <c r="K17" s="473"/>
      <c r="L17" s="473"/>
      <c r="M17" s="1913">
        <v>44505848</v>
      </c>
      <c r="N17" s="480"/>
    </row>
    <row r="18" spans="1:14" s="481" customFormat="1" ht="12.75" customHeight="1" x14ac:dyDescent="0.2">
      <c r="A18" s="478" t="s">
        <v>1404</v>
      </c>
      <c r="B18" s="479">
        <v>240</v>
      </c>
      <c r="C18" s="473"/>
      <c r="D18" s="473"/>
      <c r="E18" s="473"/>
      <c r="F18" s="473"/>
      <c r="G18" s="473"/>
      <c r="H18" s="473"/>
      <c r="I18" s="473"/>
      <c r="J18" s="473"/>
      <c r="K18" s="473"/>
      <c r="L18" s="473"/>
      <c r="M18" s="1913">
        <v>2304019</v>
      </c>
      <c r="N18" s="480"/>
    </row>
    <row r="19" spans="1:14" s="481" customFormat="1" ht="12.75" customHeight="1" x14ac:dyDescent="0.2">
      <c r="A19" s="478" t="s">
        <v>1405</v>
      </c>
      <c r="B19" s="479">
        <v>250</v>
      </c>
      <c r="C19" s="473"/>
      <c r="D19" s="473"/>
      <c r="E19" s="473"/>
      <c r="F19" s="473"/>
      <c r="G19" s="473"/>
      <c r="H19" s="473"/>
      <c r="I19" s="473"/>
      <c r="J19" s="473"/>
      <c r="K19" s="473"/>
      <c r="L19" s="473"/>
      <c r="M19" s="1913">
        <v>9599809</v>
      </c>
      <c r="N19" s="480"/>
    </row>
    <row r="20" spans="1:14" s="481" customFormat="1" ht="12.75" customHeight="1" x14ac:dyDescent="0.2">
      <c r="A20" s="478" t="s">
        <v>1406</v>
      </c>
      <c r="B20" s="479">
        <v>260</v>
      </c>
      <c r="C20" s="473"/>
      <c r="D20" s="473"/>
      <c r="E20" s="473"/>
      <c r="F20" s="473"/>
      <c r="G20" s="473"/>
      <c r="H20" s="473"/>
      <c r="I20" s="473"/>
      <c r="J20" s="473"/>
      <c r="K20" s="473"/>
      <c r="L20" s="473"/>
      <c r="M20" s="1913">
        <v>1156922</v>
      </c>
      <c r="N20" s="480"/>
    </row>
    <row r="21" spans="1:14" s="481" customFormat="1" ht="12.75" customHeight="1" x14ac:dyDescent="0.2">
      <c r="A21" s="478" t="s">
        <v>1407</v>
      </c>
      <c r="B21" s="479">
        <v>340</v>
      </c>
      <c r="C21" s="473"/>
      <c r="D21" s="473"/>
      <c r="E21" s="473"/>
      <c r="F21" s="473"/>
      <c r="G21" s="473"/>
      <c r="H21" s="473"/>
      <c r="I21" s="473"/>
      <c r="J21" s="473"/>
      <c r="K21" s="473"/>
      <c r="L21" s="473"/>
      <c r="M21" s="482"/>
      <c r="N21" s="1913">
        <f>+E39</f>
        <v>3033578</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2160780</v>
      </c>
    </row>
    <row r="23" spans="1:14" ht="13.5" customHeight="1" thickBot="1" x14ac:dyDescent="0.25">
      <c r="A23" s="1709" t="s">
        <v>643</v>
      </c>
      <c r="B23" s="1714"/>
      <c r="C23" s="467"/>
      <c r="D23" s="467"/>
      <c r="E23" s="467"/>
      <c r="F23" s="467"/>
      <c r="G23" s="467"/>
      <c r="H23" s="467"/>
      <c r="I23" s="467"/>
      <c r="J23" s="467"/>
      <c r="K23" s="467"/>
      <c r="L23" s="467"/>
      <c r="M23" s="1661">
        <f>SUM(M15:M22)</f>
        <v>63631255</v>
      </c>
      <c r="N23" s="1661">
        <f>SUM(N21:N22)</f>
        <v>5194358</v>
      </c>
    </row>
    <row r="24" spans="1:14" ht="18" customHeight="1" thickTop="1" x14ac:dyDescent="0.2">
      <c r="A24" s="2189" t="s">
        <v>598</v>
      </c>
      <c r="B24" s="2190"/>
      <c r="C24" s="1541"/>
      <c r="D24" s="1538"/>
      <c r="E24" s="1538"/>
      <c r="F24" s="1538"/>
      <c r="G24" s="1538"/>
      <c r="H24" s="1538"/>
      <c r="I24" s="1538"/>
      <c r="J24" s="1538"/>
      <c r="K24" s="1538"/>
      <c r="L24" s="1538"/>
      <c r="M24" s="1537"/>
      <c r="N24" s="1542"/>
    </row>
    <row r="25" spans="1:14" x14ac:dyDescent="0.2">
      <c r="A25" s="471" t="s">
        <v>645</v>
      </c>
      <c r="B25" s="469">
        <v>410</v>
      </c>
      <c r="C25" s="474">
        <v>0</v>
      </c>
      <c r="D25" s="474">
        <v>0</v>
      </c>
      <c r="E25" s="474">
        <v>0</v>
      </c>
      <c r="F25" s="474">
        <v>0</v>
      </c>
      <c r="G25" s="474">
        <v>0</v>
      </c>
      <c r="H25" s="1918">
        <v>0</v>
      </c>
      <c r="I25" s="467"/>
      <c r="J25" s="474">
        <v>0</v>
      </c>
      <c r="K25" s="474">
        <v>0</v>
      </c>
      <c r="L25" s="467"/>
      <c r="M25" s="467"/>
      <c r="N25" s="467"/>
    </row>
    <row r="26" spans="1:14" x14ac:dyDescent="0.2">
      <c r="A26" s="471" t="s">
        <v>646</v>
      </c>
      <c r="B26" s="469">
        <v>420</v>
      </c>
      <c r="C26" s="1913">
        <v>0</v>
      </c>
      <c r="D26" s="1913">
        <v>0</v>
      </c>
      <c r="E26" s="1913">
        <v>0</v>
      </c>
      <c r="F26" s="1913">
        <v>0</v>
      </c>
      <c r="G26" s="1913">
        <v>0</v>
      </c>
      <c r="H26" s="1913">
        <v>0</v>
      </c>
      <c r="I26" s="1913">
        <v>0</v>
      </c>
      <c r="J26" s="1915">
        <v>0</v>
      </c>
      <c r="K26" s="1913">
        <v>0</v>
      </c>
      <c r="L26" s="467"/>
      <c r="M26" s="467"/>
      <c r="N26" s="467"/>
    </row>
    <row r="27" spans="1:14" ht="13.5" customHeight="1" x14ac:dyDescent="0.2">
      <c r="A27" s="471" t="s">
        <v>647</v>
      </c>
      <c r="B27" s="469">
        <v>430</v>
      </c>
      <c r="C27" s="1913">
        <v>0</v>
      </c>
      <c r="D27" s="1913">
        <v>0</v>
      </c>
      <c r="E27" s="1913">
        <v>0</v>
      </c>
      <c r="F27" s="1913">
        <v>0</v>
      </c>
      <c r="G27" s="1913">
        <v>0</v>
      </c>
      <c r="H27" s="1913">
        <v>0</v>
      </c>
      <c r="I27" s="1913">
        <v>0</v>
      </c>
      <c r="J27" s="1913">
        <v>0</v>
      </c>
      <c r="K27" s="1913">
        <v>0</v>
      </c>
      <c r="L27" s="467"/>
      <c r="M27" s="467"/>
      <c r="N27" s="467"/>
    </row>
    <row r="28" spans="1:14" ht="13.5" customHeight="1" x14ac:dyDescent="0.2">
      <c r="A28" s="471" t="s">
        <v>648</v>
      </c>
      <c r="B28" s="469">
        <v>440</v>
      </c>
      <c r="C28" s="1913">
        <v>0</v>
      </c>
      <c r="D28" s="1913">
        <v>0</v>
      </c>
      <c r="E28" s="1915">
        <v>0</v>
      </c>
      <c r="F28" s="1913">
        <v>0</v>
      </c>
      <c r="G28" s="1915">
        <v>0</v>
      </c>
      <c r="H28" s="1915">
        <v>0</v>
      </c>
      <c r="I28" s="1913">
        <v>0</v>
      </c>
      <c r="J28" s="1913">
        <v>0</v>
      </c>
      <c r="K28" s="1918">
        <v>0</v>
      </c>
      <c r="L28" s="467"/>
      <c r="M28" s="467"/>
      <c r="N28" s="467"/>
    </row>
    <row r="29" spans="1:14" ht="13.5" customHeight="1" x14ac:dyDescent="0.2">
      <c r="A29" s="471" t="s">
        <v>649</v>
      </c>
      <c r="B29" s="469">
        <v>460</v>
      </c>
      <c r="C29" s="1920">
        <v>0</v>
      </c>
      <c r="D29" s="1921">
        <v>0</v>
      </c>
      <c r="E29" s="1915">
        <v>0</v>
      </c>
      <c r="F29" s="1913">
        <v>0</v>
      </c>
      <c r="G29" s="1915">
        <v>0</v>
      </c>
      <c r="H29" s="1915">
        <v>0</v>
      </c>
      <c r="I29" s="1915">
        <v>0</v>
      </c>
      <c r="J29" s="1915">
        <v>0</v>
      </c>
      <c r="K29" s="1913">
        <v>0</v>
      </c>
      <c r="L29" s="467"/>
      <c r="M29" s="467"/>
      <c r="N29" s="467"/>
    </row>
    <row r="30" spans="1:14" ht="13.5" customHeight="1" x14ac:dyDescent="0.2">
      <c r="A30" s="471" t="s">
        <v>650</v>
      </c>
      <c r="B30" s="469">
        <v>470</v>
      </c>
      <c r="C30" s="1913">
        <v>0</v>
      </c>
      <c r="D30" s="1915">
        <v>0</v>
      </c>
      <c r="E30" s="1913">
        <v>0</v>
      </c>
      <c r="F30" s="1913">
        <v>0</v>
      </c>
      <c r="G30" s="1913">
        <v>0</v>
      </c>
      <c r="H30" s="1913">
        <v>0</v>
      </c>
      <c r="I30" s="1913">
        <v>0</v>
      </c>
      <c r="J30" s="1913">
        <v>0</v>
      </c>
      <c r="K30" s="474">
        <v>0</v>
      </c>
      <c r="L30" s="467"/>
      <c r="M30" s="467"/>
      <c r="N30" s="467"/>
    </row>
    <row r="31" spans="1:14" ht="13.5" customHeight="1" x14ac:dyDescent="0.2">
      <c r="A31" s="471" t="s">
        <v>651</v>
      </c>
      <c r="B31" s="469">
        <v>480</v>
      </c>
      <c r="C31" s="1912">
        <v>0</v>
      </c>
      <c r="D31" s="1913">
        <v>0</v>
      </c>
      <c r="E31" s="1913">
        <v>0</v>
      </c>
      <c r="F31" s="1912">
        <v>0</v>
      </c>
      <c r="G31" s="1913">
        <v>0</v>
      </c>
      <c r="H31" s="1913">
        <v>0</v>
      </c>
      <c r="I31" s="1913">
        <v>0</v>
      </c>
      <c r="J31" s="1913">
        <v>0</v>
      </c>
      <c r="K31" s="1913">
        <v>0</v>
      </c>
      <c r="L31" s="467"/>
      <c r="M31" s="467"/>
      <c r="N31" s="467"/>
    </row>
    <row r="32" spans="1:14" ht="13.5" customHeight="1" x14ac:dyDescent="0.2">
      <c r="A32" s="484" t="s">
        <v>652</v>
      </c>
      <c r="B32" s="485">
        <v>490</v>
      </c>
      <c r="C32" s="1922">
        <v>0</v>
      </c>
      <c r="D32" s="1922">
        <v>0</v>
      </c>
      <c r="E32" s="1915">
        <v>0</v>
      </c>
      <c r="F32" s="1915">
        <v>0</v>
      </c>
      <c r="G32" s="1915">
        <v>0</v>
      </c>
      <c r="H32" s="1915">
        <v>0</v>
      </c>
      <c r="I32" s="1915">
        <v>0</v>
      </c>
      <c r="J32" s="1915">
        <v>0</v>
      </c>
      <c r="K32" s="1918">
        <v>0</v>
      </c>
      <c r="L32" s="467"/>
      <c r="M32" s="467"/>
      <c r="N32" s="467"/>
    </row>
    <row r="33" spans="1:14" ht="13.5" customHeight="1" x14ac:dyDescent="0.2">
      <c r="A33" s="486" t="s">
        <v>303</v>
      </c>
      <c r="B33" s="485">
        <v>493</v>
      </c>
      <c r="C33" s="1913">
        <v>0</v>
      </c>
      <c r="D33" s="1913">
        <v>0</v>
      </c>
      <c r="E33" s="1913">
        <v>0</v>
      </c>
      <c r="F33" s="1913">
        <v>0</v>
      </c>
      <c r="G33" s="1913">
        <v>0</v>
      </c>
      <c r="H33" s="1913">
        <v>0</v>
      </c>
      <c r="I33" s="1913">
        <v>0</v>
      </c>
      <c r="J33" s="1913">
        <v>0</v>
      </c>
      <c r="K33" s="1913">
        <v>0</v>
      </c>
      <c r="L33" s="1913">
        <v>21656</v>
      </c>
      <c r="M33" s="467"/>
      <c r="N33" s="468"/>
    </row>
    <row r="34" spans="1:14" ht="13.5" customHeight="1" thickBot="1" x14ac:dyDescent="0.25">
      <c r="A34" s="1711" t="s">
        <v>654</v>
      </c>
      <c r="B34" s="1712"/>
      <c r="C34" s="1713">
        <f>SUM(C25:C33)</f>
        <v>0</v>
      </c>
      <c r="D34" s="1713">
        <f t="shared" ref="D34:K34" si="1">SUM(D25:D33)</f>
        <v>0</v>
      </c>
      <c r="E34" s="1713">
        <f t="shared" si="1"/>
        <v>0</v>
      </c>
      <c r="F34" s="1713">
        <f t="shared" si="1"/>
        <v>0</v>
      </c>
      <c r="G34" s="1713">
        <f t="shared" si="1"/>
        <v>0</v>
      </c>
      <c r="H34" s="1713">
        <f t="shared" si="1"/>
        <v>0</v>
      </c>
      <c r="I34" s="1713">
        <f t="shared" si="1"/>
        <v>0</v>
      </c>
      <c r="J34" s="1713">
        <f t="shared" si="1"/>
        <v>0</v>
      </c>
      <c r="K34" s="1713">
        <f t="shared" si="1"/>
        <v>0</v>
      </c>
      <c r="L34" s="1694">
        <f>SUM(L33)</f>
        <v>21656</v>
      </c>
      <c r="M34" s="467"/>
      <c r="N34" s="476"/>
    </row>
    <row r="35" spans="1:14" ht="18" customHeight="1" thickTop="1" x14ac:dyDescent="0.2">
      <c r="A35" s="2191" t="s">
        <v>529</v>
      </c>
      <c r="B35" s="2192"/>
      <c r="C35" s="1543"/>
      <c r="D35" s="1544"/>
      <c r="E35" s="1544"/>
      <c r="F35" s="1544"/>
      <c r="G35" s="1544"/>
      <c r="H35" s="1544"/>
      <c r="I35" s="1544"/>
      <c r="J35" s="1544"/>
      <c r="K35" s="1544"/>
      <c r="L35" s="1544"/>
      <c r="M35" s="1538"/>
      <c r="N35" s="1542"/>
    </row>
    <row r="36" spans="1:14" x14ac:dyDescent="0.2">
      <c r="A36" s="487" t="s">
        <v>1</v>
      </c>
      <c r="B36" s="469">
        <v>511</v>
      </c>
      <c r="C36" s="473"/>
      <c r="D36" s="473"/>
      <c r="E36" s="473"/>
      <c r="F36" s="473"/>
      <c r="G36" s="473"/>
      <c r="H36" s="473"/>
      <c r="I36" s="473"/>
      <c r="J36" s="473"/>
      <c r="K36" s="473"/>
      <c r="L36" s="467"/>
      <c r="M36" s="467"/>
      <c r="N36" s="488">
        <f>'Short-Term Long-Term Debt 24'!I49</f>
        <v>5194358</v>
      </c>
    </row>
    <row r="37" spans="1:14" ht="13.5" thickBot="1" x14ac:dyDescent="0.25">
      <c r="A37" s="1709" t="s">
        <v>653</v>
      </c>
      <c r="B37" s="1714"/>
      <c r="C37" s="473"/>
      <c r="D37" s="473"/>
      <c r="E37" s="473"/>
      <c r="F37" s="473"/>
      <c r="G37" s="473"/>
      <c r="H37" s="473"/>
      <c r="I37" s="473"/>
      <c r="J37" s="473"/>
      <c r="K37" s="473"/>
      <c r="L37" s="476"/>
      <c r="M37" s="467"/>
      <c r="N37" s="1661">
        <f>SUM(N36:N36)</f>
        <v>5194358</v>
      </c>
    </row>
    <row r="38" spans="1:14" s="329" customFormat="1" ht="13.5" customHeight="1" thickTop="1" x14ac:dyDescent="0.2">
      <c r="A38" s="489" t="s">
        <v>420</v>
      </c>
      <c r="B38" s="479">
        <v>714</v>
      </c>
      <c r="C38" s="1912">
        <v>1978845</v>
      </c>
      <c r="D38" s="1912">
        <v>57423</v>
      </c>
      <c r="E38" s="1912"/>
      <c r="F38" s="1912"/>
      <c r="G38" s="1912">
        <v>189570</v>
      </c>
      <c r="H38" s="1912"/>
      <c r="I38" s="1912"/>
      <c r="J38" s="1913"/>
      <c r="K38" s="1912"/>
      <c r="L38" s="477"/>
      <c r="M38" s="490"/>
      <c r="N38" s="490"/>
    </row>
    <row r="39" spans="1:14" s="329" customFormat="1" ht="13.5" customHeight="1" x14ac:dyDescent="0.2">
      <c r="A39" s="489" t="s">
        <v>342</v>
      </c>
      <c r="B39" s="479">
        <v>730</v>
      </c>
      <c r="C39" s="1912">
        <v>15013213</v>
      </c>
      <c r="D39" s="1912">
        <v>2718959</v>
      </c>
      <c r="E39" s="1912">
        <v>3033578</v>
      </c>
      <c r="F39" s="1912">
        <v>535041</v>
      </c>
      <c r="G39" s="1912">
        <v>349067</v>
      </c>
      <c r="H39" s="1912">
        <v>17562</v>
      </c>
      <c r="I39" s="1912">
        <v>2249945</v>
      </c>
      <c r="J39" s="1913">
        <v>193876</v>
      </c>
      <c r="K39" s="1912">
        <v>820198</v>
      </c>
      <c r="L39" s="1912">
        <v>0</v>
      </c>
      <c r="M39" s="490"/>
      <c r="N39" s="490"/>
    </row>
    <row r="40" spans="1:14" s="329" customFormat="1" ht="13.5" customHeight="1" x14ac:dyDescent="0.2">
      <c r="A40" s="491" t="s">
        <v>148</v>
      </c>
      <c r="B40" s="492"/>
      <c r="C40" s="493"/>
      <c r="D40" s="493"/>
      <c r="E40" s="493"/>
      <c r="F40" s="493"/>
      <c r="G40" s="493"/>
      <c r="H40" s="493"/>
      <c r="I40" s="493"/>
      <c r="J40" s="493"/>
      <c r="K40" s="493"/>
      <c r="L40" s="493"/>
      <c r="M40" s="1923">
        <v>63631255</v>
      </c>
      <c r="N40" s="490"/>
    </row>
    <row r="41" spans="1:14" ht="13.5" customHeight="1" thickBot="1" x14ac:dyDescent="0.25">
      <c r="A41" s="1709" t="s">
        <v>655</v>
      </c>
      <c r="B41" s="1679"/>
      <c r="C41" s="1661">
        <f>(SUM(C34,C37,C38,C39))</f>
        <v>16992058</v>
      </c>
      <c r="D41" s="1661">
        <f t="shared" ref="D41:L41" si="2">SUM(D34,D37,D38:D39)</f>
        <v>2776382</v>
      </c>
      <c r="E41" s="1661">
        <f t="shared" si="2"/>
        <v>3033578</v>
      </c>
      <c r="F41" s="1661">
        <f t="shared" si="2"/>
        <v>535041</v>
      </c>
      <c r="G41" s="1661">
        <f t="shared" si="2"/>
        <v>538637</v>
      </c>
      <c r="H41" s="1661">
        <f t="shared" si="2"/>
        <v>17562</v>
      </c>
      <c r="I41" s="1661">
        <f t="shared" si="2"/>
        <v>2249945</v>
      </c>
      <c r="J41" s="1661">
        <f t="shared" si="2"/>
        <v>193876</v>
      </c>
      <c r="K41" s="1661">
        <f t="shared" si="2"/>
        <v>820198</v>
      </c>
      <c r="L41" s="1661">
        <f t="shared" si="2"/>
        <v>21656</v>
      </c>
      <c r="M41" s="1661">
        <f>SUM(M40)</f>
        <v>63631255</v>
      </c>
      <c r="N41" s="1661">
        <f>SUM(N37)</f>
        <v>5194358</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9"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7" activePane="bottomLeft" state="frozen"/>
      <selection activeCell="AF22" sqref="AF22"/>
      <selection pane="bottomLeft" activeCell="F34" sqref="F34"/>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201" t="s">
        <v>1652</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202"/>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213" t="s">
        <v>1175</v>
      </c>
      <c r="B3" s="2214"/>
      <c r="C3" s="1546"/>
      <c r="D3" s="1547"/>
      <c r="E3" s="1547"/>
      <c r="F3" s="1547"/>
      <c r="G3" s="1547"/>
      <c r="H3" s="1547"/>
      <c r="I3" s="1547"/>
      <c r="J3" s="1547"/>
      <c r="K3" s="1548"/>
      <c r="L3" s="499"/>
    </row>
    <row r="4" spans="1:13" ht="15.75" customHeight="1" x14ac:dyDescent="0.2">
      <c r="A4" s="1901" t="s">
        <v>1499</v>
      </c>
      <c r="B4" s="1902">
        <v>1000</v>
      </c>
      <c r="C4" s="1715">
        <f>'Revenues 9-14'!C109</f>
        <v>15453487</v>
      </c>
      <c r="D4" s="1715">
        <f>'Revenues 9-14'!D109</f>
        <v>2343967</v>
      </c>
      <c r="E4" s="1715">
        <f>'Revenues 9-14'!E109</f>
        <v>5072271</v>
      </c>
      <c r="F4" s="1715">
        <f>'Revenues 9-14'!F109</f>
        <v>917386</v>
      </c>
      <c r="G4" s="1715">
        <f>'Revenues 9-14'!G109</f>
        <v>743186</v>
      </c>
      <c r="H4" s="1715">
        <f>'Revenues 9-14'!H109</f>
        <v>1312</v>
      </c>
      <c r="I4" s="1715">
        <f>'Revenues 9-14'!I109</f>
        <v>49111</v>
      </c>
      <c r="J4" s="1715">
        <f>'Revenues 9-14'!J109</f>
        <v>193866</v>
      </c>
      <c r="K4" s="1715">
        <f>'Revenues 9-14'!K109</f>
        <v>19143</v>
      </c>
      <c r="L4" s="347"/>
    </row>
    <row r="5" spans="1:13" ht="15.75" customHeight="1" x14ac:dyDescent="0.2">
      <c r="A5" s="1549" t="s">
        <v>1500</v>
      </c>
      <c r="B5" s="1550">
        <v>2000</v>
      </c>
      <c r="C5" s="1716">
        <f>'Revenues 9-14'!C114</f>
        <v>809700</v>
      </c>
      <c r="D5" s="1716">
        <f>'Revenues 9-14'!D114</f>
        <v>0</v>
      </c>
      <c r="E5" s="501"/>
      <c r="F5" s="1716">
        <f>'Revenues 9-14'!F114</f>
        <v>0</v>
      </c>
      <c r="G5" s="1716">
        <f>'Revenues 9-14'!G114</f>
        <v>0</v>
      </c>
      <c r="H5" s="502" t="s">
        <v>1169</v>
      </c>
      <c r="I5" s="503" t="s">
        <v>1169</v>
      </c>
      <c r="J5" s="504" t="s">
        <v>1169</v>
      </c>
      <c r="K5" s="505" t="s">
        <v>1169</v>
      </c>
      <c r="L5" s="347"/>
    </row>
    <row r="6" spans="1:13" ht="15.75" customHeight="1" x14ac:dyDescent="0.2">
      <c r="A6" s="1549" t="s">
        <v>1501</v>
      </c>
      <c r="B6" s="1551">
        <v>3000</v>
      </c>
      <c r="C6" s="1716">
        <f>'Revenues 9-14'!C170</f>
        <v>7593256</v>
      </c>
      <c r="D6" s="1716">
        <f>'Revenues 9-14'!D170</f>
        <v>0</v>
      </c>
      <c r="E6" s="1716">
        <f>'Revenues 9-14'!E170</f>
        <v>0</v>
      </c>
      <c r="F6" s="1716">
        <f>'Revenues 9-14'!F170</f>
        <v>1412083</v>
      </c>
      <c r="G6" s="1716">
        <f>'Revenues 9-14'!G170</f>
        <v>0</v>
      </c>
      <c r="H6" s="1716">
        <f>'Revenues 9-14'!H170</f>
        <v>0</v>
      </c>
      <c r="I6" s="1716">
        <f>'Revenues 9-14'!I170</f>
        <v>0</v>
      </c>
      <c r="J6" s="1716">
        <f>'Revenues 9-14'!J170</f>
        <v>0</v>
      </c>
      <c r="K6" s="1716">
        <f>'Revenues 9-14'!K170</f>
        <v>0</v>
      </c>
      <c r="L6" s="347"/>
      <c r="M6" s="506"/>
    </row>
    <row r="7" spans="1:13" ht="15.75" customHeight="1" x14ac:dyDescent="0.2">
      <c r="A7" s="1549" t="s">
        <v>1502</v>
      </c>
      <c r="B7" s="1551">
        <v>4000</v>
      </c>
      <c r="C7" s="1716">
        <f>'Revenues 9-14'!C267</f>
        <v>1263510</v>
      </c>
      <c r="D7" s="1716">
        <f>'Revenues 9-14'!D267</f>
        <v>0</v>
      </c>
      <c r="E7" s="1716">
        <f>'Revenues 9-14'!E267</f>
        <v>0</v>
      </c>
      <c r="F7" s="1716">
        <f>'Revenues 9-14'!F267</f>
        <v>10329</v>
      </c>
      <c r="G7" s="1716">
        <f>'Revenues 9-14'!G267</f>
        <v>0</v>
      </c>
      <c r="H7" s="1716">
        <f>'Revenues 9-14'!H267</f>
        <v>0</v>
      </c>
      <c r="I7" s="1716">
        <f>'Revenues 9-14'!I267</f>
        <v>0</v>
      </c>
      <c r="J7" s="1716">
        <f>'Revenues 9-14'!J267</f>
        <v>0</v>
      </c>
      <c r="K7" s="1716">
        <f>'Revenues 9-14'!K267</f>
        <v>0</v>
      </c>
      <c r="L7" s="347"/>
      <c r="M7" s="506"/>
    </row>
    <row r="8" spans="1:13" ht="13.5" thickBot="1" x14ac:dyDescent="0.25">
      <c r="A8" s="1709" t="s">
        <v>1172</v>
      </c>
      <c r="B8" s="1682"/>
      <c r="C8" s="1661">
        <f>SUM(C4:C7)</f>
        <v>25119953</v>
      </c>
      <c r="D8" s="1661">
        <f t="shared" ref="D8:K8" si="0">SUM(D4:D7)</f>
        <v>2343967</v>
      </c>
      <c r="E8" s="1661">
        <f t="shared" si="0"/>
        <v>5072271</v>
      </c>
      <c r="F8" s="1661">
        <f t="shared" si="0"/>
        <v>2339798</v>
      </c>
      <c r="G8" s="1661">
        <f t="shared" si="0"/>
        <v>743186</v>
      </c>
      <c r="H8" s="1661">
        <f t="shared" si="0"/>
        <v>1312</v>
      </c>
      <c r="I8" s="1661">
        <f t="shared" si="0"/>
        <v>49111</v>
      </c>
      <c r="J8" s="1661">
        <f t="shared" si="0"/>
        <v>193866</v>
      </c>
      <c r="K8" s="1661">
        <f t="shared" si="0"/>
        <v>19143</v>
      </c>
      <c r="L8" s="347"/>
    </row>
    <row r="9" spans="1:13" ht="15.75" thickTop="1" x14ac:dyDescent="0.2">
      <c r="A9" s="507" t="s">
        <v>1653</v>
      </c>
      <c r="B9" s="508">
        <v>3998</v>
      </c>
      <c r="C9" s="477">
        <v>8986813</v>
      </c>
      <c r="D9" s="509">
        <v>0</v>
      </c>
      <c r="E9" s="477">
        <v>0</v>
      </c>
      <c r="F9" s="477">
        <v>0</v>
      </c>
      <c r="G9" s="510">
        <v>0</v>
      </c>
      <c r="H9" s="477">
        <v>0</v>
      </c>
      <c r="I9" s="502" t="s">
        <v>1169</v>
      </c>
      <c r="J9" s="474">
        <v>0</v>
      </c>
      <c r="K9" s="477">
        <v>0</v>
      </c>
      <c r="L9" s="347"/>
    </row>
    <row r="10" spans="1:13" s="512" customFormat="1" ht="13.5" thickBot="1" x14ac:dyDescent="0.25">
      <c r="A10" s="1709" t="s">
        <v>1173</v>
      </c>
      <c r="B10" s="1682"/>
      <c r="C10" s="1661">
        <f>SUM(C8:C9)</f>
        <v>34106766</v>
      </c>
      <c r="D10" s="1661">
        <f t="shared" ref="D10:K10" si="1">SUM(D8:D9)</f>
        <v>2343967</v>
      </c>
      <c r="E10" s="1661">
        <f t="shared" si="1"/>
        <v>5072271</v>
      </c>
      <c r="F10" s="1661">
        <f t="shared" si="1"/>
        <v>2339798</v>
      </c>
      <c r="G10" s="1661">
        <f t="shared" si="1"/>
        <v>743186</v>
      </c>
      <c r="H10" s="1661">
        <f t="shared" si="1"/>
        <v>1312</v>
      </c>
      <c r="I10" s="1661">
        <f t="shared" si="1"/>
        <v>49111</v>
      </c>
      <c r="J10" s="1661">
        <f t="shared" si="1"/>
        <v>193866</v>
      </c>
      <c r="K10" s="1661">
        <f t="shared" si="1"/>
        <v>19143</v>
      </c>
      <c r="L10" s="511"/>
    </row>
    <row r="11" spans="1:13" s="512" customFormat="1" ht="16.7" customHeight="1" thickTop="1" x14ac:dyDescent="0.2">
      <c r="A11" s="2187" t="s">
        <v>1176</v>
      </c>
      <c r="B11" s="2188"/>
      <c r="C11" s="1543"/>
      <c r="D11" s="1544"/>
      <c r="E11" s="1544"/>
      <c r="F11" s="1544"/>
      <c r="G11" s="1544"/>
      <c r="H11" s="1544"/>
      <c r="I11" s="1544"/>
      <c r="J11" s="1544"/>
      <c r="K11" s="1545"/>
      <c r="L11" s="511"/>
    </row>
    <row r="12" spans="1:13" ht="15.75" customHeight="1" x14ac:dyDescent="0.2">
      <c r="A12" s="1549" t="s">
        <v>456</v>
      </c>
      <c r="B12" s="1551">
        <v>1000</v>
      </c>
      <c r="C12" s="1715">
        <f>'Expenditures 15-22'!K33</f>
        <v>14513287</v>
      </c>
      <c r="D12" s="513" t="s">
        <v>1169</v>
      </c>
      <c r="E12" s="467" t="s">
        <v>1169</v>
      </c>
      <c r="F12" s="467" t="s">
        <v>1169</v>
      </c>
      <c r="G12" s="1715">
        <f>'Expenditures 15-22'!K229</f>
        <v>309446</v>
      </c>
      <c r="H12" s="514"/>
      <c r="I12" s="467" t="s">
        <v>1169</v>
      </c>
      <c r="J12" s="467" t="s">
        <v>1169</v>
      </c>
      <c r="K12" s="514" t="s">
        <v>1169</v>
      </c>
      <c r="L12" s="347"/>
    </row>
    <row r="13" spans="1:13" ht="15.75" customHeight="1" x14ac:dyDescent="0.2">
      <c r="A13" s="1549" t="s">
        <v>457</v>
      </c>
      <c r="B13" s="1551">
        <v>2000</v>
      </c>
      <c r="C13" s="1716">
        <f>'Expenditures 15-22'!K74</f>
        <v>6067302</v>
      </c>
      <c r="D13" s="1716">
        <f>'Expenditures 15-22'!K129</f>
        <v>2082561</v>
      </c>
      <c r="E13" s="468" t="s">
        <v>1169</v>
      </c>
      <c r="F13" s="1716">
        <f>'Expenditures 15-22'!K184</f>
        <v>2452465</v>
      </c>
      <c r="G13" s="1716">
        <f>'Expenditures 15-22'!K279</f>
        <v>321601</v>
      </c>
      <c r="H13" s="1716">
        <f>'Expenditures 15-22'!K303</f>
        <v>1113233</v>
      </c>
      <c r="I13" s="467" t="s">
        <v>1169</v>
      </c>
      <c r="J13" s="1716">
        <f>'Expenditures 15-22'!K330</f>
        <v>129633</v>
      </c>
      <c r="K13" s="1720">
        <f>'Expenditures 15-22'!K352</f>
        <v>815807</v>
      </c>
      <c r="L13" s="347"/>
    </row>
    <row r="14" spans="1:13" ht="15.75" customHeight="1" x14ac:dyDescent="0.2">
      <c r="A14" s="1549" t="s">
        <v>449</v>
      </c>
      <c r="B14" s="1551">
        <v>3000</v>
      </c>
      <c r="C14" s="1716">
        <f>'Expenditures 15-22'!K75</f>
        <v>11638</v>
      </c>
      <c r="D14" s="1716">
        <f>'Expenditures 15-22'!K130</f>
        <v>0</v>
      </c>
      <c r="E14" s="513" t="s">
        <v>1169</v>
      </c>
      <c r="F14" s="1716">
        <f>'Expenditures 15-22'!K185</f>
        <v>0</v>
      </c>
      <c r="G14" s="1716">
        <f>'Expenditures 15-22'!K280</f>
        <v>134</v>
      </c>
      <c r="H14" s="505"/>
      <c r="I14" s="467" t="s">
        <v>1169</v>
      </c>
      <c r="J14" s="467" t="s">
        <v>1169</v>
      </c>
      <c r="K14" s="505" t="s">
        <v>1169</v>
      </c>
      <c r="L14" s="347"/>
    </row>
    <row r="15" spans="1:13" ht="15.75" customHeight="1" x14ac:dyDescent="0.2">
      <c r="A15" s="1549" t="s">
        <v>107</v>
      </c>
      <c r="B15" s="1551">
        <v>4000</v>
      </c>
      <c r="C15" s="1716">
        <f>'Expenditures 15-22'!K102</f>
        <v>3234139</v>
      </c>
      <c r="D15" s="1716">
        <f>'Expenditures 15-22'!K139</f>
        <v>72448</v>
      </c>
      <c r="E15" s="1716">
        <f>'Expenditures 15-22'!K160</f>
        <v>0</v>
      </c>
      <c r="F15" s="1716">
        <f>'Expenditures 15-22'!K196</f>
        <v>4815</v>
      </c>
      <c r="G15" s="1716">
        <f>'Expenditures 15-22'!K285</f>
        <v>36877</v>
      </c>
      <c r="H15" s="1716">
        <f>'Expenditures 15-22'!K310</f>
        <v>0</v>
      </c>
      <c r="I15" s="467" t="s">
        <v>1169</v>
      </c>
      <c r="J15" s="1808">
        <f>'Expenditures 15-22'!K334</f>
        <v>0</v>
      </c>
      <c r="K15" s="1716">
        <f>'Expenditures 15-22'!K357</f>
        <v>0</v>
      </c>
      <c r="L15" s="347"/>
    </row>
    <row r="16" spans="1:13" ht="15.75" customHeight="1" x14ac:dyDescent="0.2">
      <c r="A16" s="1549" t="s">
        <v>450</v>
      </c>
      <c r="B16" s="1551">
        <v>5000</v>
      </c>
      <c r="C16" s="1716">
        <f>'Expenditures 15-22'!K112</f>
        <v>0</v>
      </c>
      <c r="D16" s="1716">
        <f>'Expenditures 15-22'!K149</f>
        <v>0</v>
      </c>
      <c r="E16" s="1716">
        <f>'Expenditures 15-22'!K172</f>
        <v>5137928</v>
      </c>
      <c r="F16" s="1716">
        <f>'Expenditures 15-22'!K208</f>
        <v>0</v>
      </c>
      <c r="G16" s="1716">
        <f>'Expenditures 15-22'!K293</f>
        <v>0</v>
      </c>
      <c r="H16" s="516"/>
      <c r="I16" s="467" t="s">
        <v>1169</v>
      </c>
      <c r="J16" s="1721">
        <f>'Expenditures 15-22'!K340</f>
        <v>0</v>
      </c>
      <c r="K16" s="1716">
        <f>'Expenditures 15-22'!K365</f>
        <v>0</v>
      </c>
      <c r="L16" s="347"/>
    </row>
    <row r="17" spans="1:12" ht="13.5" thickBot="1" x14ac:dyDescent="0.25">
      <c r="A17" s="1681" t="s">
        <v>48</v>
      </c>
      <c r="B17" s="1682"/>
      <c r="C17" s="1661">
        <f t="shared" ref="C17:H17" si="2">SUM(C12:C16)</f>
        <v>23826366</v>
      </c>
      <c r="D17" s="1661">
        <f t="shared" si="2"/>
        <v>2155009</v>
      </c>
      <c r="E17" s="1661">
        <f t="shared" si="2"/>
        <v>5137928</v>
      </c>
      <c r="F17" s="1661">
        <f t="shared" si="2"/>
        <v>2457280</v>
      </c>
      <c r="G17" s="1661">
        <f t="shared" si="2"/>
        <v>668058</v>
      </c>
      <c r="H17" s="1661">
        <f t="shared" si="2"/>
        <v>1113233</v>
      </c>
      <c r="I17" s="467"/>
      <c r="J17" s="1661">
        <f>SUM(J12:J16)</f>
        <v>129633</v>
      </c>
      <c r="K17" s="1661">
        <f>SUM(K12:K16)</f>
        <v>815807</v>
      </c>
      <c r="L17" s="347"/>
    </row>
    <row r="18" spans="1:12" ht="15" customHeight="1" thickTop="1" x14ac:dyDescent="0.2">
      <c r="A18" s="1717" t="s">
        <v>1654</v>
      </c>
      <c r="B18" s="1718">
        <v>4180</v>
      </c>
      <c r="C18" s="1715">
        <f t="shared" ref="C18:H18" si="3">C9</f>
        <v>8986813</v>
      </c>
      <c r="D18" s="1715">
        <f t="shared" si="3"/>
        <v>0</v>
      </c>
      <c r="E18" s="1715">
        <f t="shared" si="3"/>
        <v>0</v>
      </c>
      <c r="F18" s="1715">
        <f t="shared" si="3"/>
        <v>0</v>
      </c>
      <c r="G18" s="1715">
        <f t="shared" si="3"/>
        <v>0</v>
      </c>
      <c r="H18" s="1715">
        <f t="shared" si="3"/>
        <v>0</v>
      </c>
      <c r="I18" s="467"/>
      <c r="J18" s="1715">
        <f>J9</f>
        <v>0</v>
      </c>
      <c r="K18" s="1715">
        <f>K9</f>
        <v>0</v>
      </c>
      <c r="L18" s="347"/>
    </row>
    <row r="19" spans="1:12" ht="13.5" thickBot="1" x14ac:dyDescent="0.25">
      <c r="A19" s="1681" t="s">
        <v>505</v>
      </c>
      <c r="B19" s="1682"/>
      <c r="C19" s="1661">
        <f t="shared" ref="C19:H19" si="4">SUM(C17:C18)</f>
        <v>32813179</v>
      </c>
      <c r="D19" s="1661">
        <f t="shared" si="4"/>
        <v>2155009</v>
      </c>
      <c r="E19" s="1661">
        <f t="shared" si="4"/>
        <v>5137928</v>
      </c>
      <c r="F19" s="1661">
        <f t="shared" si="4"/>
        <v>2457280</v>
      </c>
      <c r="G19" s="1661">
        <f t="shared" si="4"/>
        <v>668058</v>
      </c>
      <c r="H19" s="1661">
        <f t="shared" si="4"/>
        <v>1113233</v>
      </c>
      <c r="I19" s="467"/>
      <c r="J19" s="1661">
        <f>SUM(J17:J18)</f>
        <v>129633</v>
      </c>
      <c r="K19" s="1661">
        <f>SUM(K17:K18)</f>
        <v>815807</v>
      </c>
      <c r="L19" s="347"/>
    </row>
    <row r="20" spans="1:12" ht="16.5" thickTop="1" thickBot="1" x14ac:dyDescent="0.25">
      <c r="A20" s="2203" t="s">
        <v>1655</v>
      </c>
      <c r="B20" s="2204"/>
      <c r="C20" s="1719">
        <f>C8-C17</f>
        <v>1293587</v>
      </c>
      <c r="D20" s="1719">
        <f t="shared" ref="D20:K20" si="5">D8-D17</f>
        <v>188958</v>
      </c>
      <c r="E20" s="1719">
        <f t="shared" si="5"/>
        <v>-65657</v>
      </c>
      <c r="F20" s="1719">
        <f t="shared" si="5"/>
        <v>-117482</v>
      </c>
      <c r="G20" s="1719">
        <f t="shared" si="5"/>
        <v>75128</v>
      </c>
      <c r="H20" s="1719">
        <f t="shared" si="5"/>
        <v>-1111921</v>
      </c>
      <c r="I20" s="1719">
        <f t="shared" si="5"/>
        <v>49111</v>
      </c>
      <c r="J20" s="1719">
        <f t="shared" si="5"/>
        <v>64233</v>
      </c>
      <c r="K20" s="1719">
        <f t="shared" si="5"/>
        <v>-796664</v>
      </c>
      <c r="L20" s="347"/>
    </row>
    <row r="21" spans="1:12" ht="16.7" customHeight="1" thickTop="1" x14ac:dyDescent="0.2">
      <c r="A21" s="2215" t="s">
        <v>595</v>
      </c>
      <c r="B21" s="2216"/>
      <c r="C21" s="1543"/>
      <c r="D21" s="1544"/>
      <c r="E21" s="1544"/>
      <c r="F21" s="1544"/>
      <c r="G21" s="1544"/>
      <c r="H21" s="1544"/>
      <c r="I21" s="1544"/>
      <c r="J21" s="1544"/>
      <c r="K21" s="1545"/>
      <c r="L21" s="517"/>
    </row>
    <row r="22" spans="1:12" ht="15.75" customHeight="1" collapsed="1" x14ac:dyDescent="0.2">
      <c r="A22" s="2211" t="s">
        <v>596</v>
      </c>
      <c r="B22" s="2212"/>
      <c r="C22" s="473"/>
      <c r="D22" s="473"/>
      <c r="E22" s="473"/>
      <c r="F22" s="473"/>
      <c r="G22" s="473"/>
      <c r="H22" s="473"/>
      <c r="I22" s="473"/>
      <c r="J22" s="473"/>
      <c r="K22" s="473"/>
      <c r="L22" s="347"/>
    </row>
    <row r="23" spans="1:12" s="481" customFormat="1" ht="15.75" customHeight="1" x14ac:dyDescent="0.2">
      <c r="A23" s="2207" t="s">
        <v>293</v>
      </c>
      <c r="B23" s="2208"/>
      <c r="C23" s="476"/>
      <c r="D23" s="473"/>
      <c r="E23" s="473"/>
      <c r="F23" s="473"/>
      <c r="G23" s="473"/>
      <c r="H23" s="473"/>
      <c r="I23" s="473"/>
      <c r="J23" s="473"/>
      <c r="K23" s="473"/>
      <c r="L23" s="517"/>
    </row>
    <row r="24" spans="1:12" s="481" customFormat="1" ht="13.5" customHeight="1" x14ac:dyDescent="0.2">
      <c r="A24" s="1462" t="s">
        <v>1656</v>
      </c>
      <c r="B24" s="518">
        <v>7110</v>
      </c>
      <c r="C24" s="1923"/>
      <c r="D24" s="473"/>
      <c r="E24" s="473"/>
      <c r="F24" s="473"/>
      <c r="G24" s="473"/>
      <c r="H24" s="473"/>
      <c r="I24" s="473"/>
      <c r="J24" s="473"/>
      <c r="K24" s="473"/>
      <c r="L24" s="517"/>
    </row>
    <row r="25" spans="1:12" s="481" customFormat="1" ht="13.5" customHeight="1" x14ac:dyDescent="0.2">
      <c r="A25" s="1462" t="s">
        <v>1657</v>
      </c>
      <c r="B25" s="518">
        <v>7110</v>
      </c>
      <c r="C25" s="1923">
        <v>0</v>
      </c>
      <c r="D25" s="1923">
        <v>500000</v>
      </c>
      <c r="E25" s="1923">
        <v>0</v>
      </c>
      <c r="F25" s="1923">
        <v>0</v>
      </c>
      <c r="G25" s="1923">
        <v>0</v>
      </c>
      <c r="H25" s="1923">
        <v>0</v>
      </c>
      <c r="I25" s="473"/>
      <c r="J25" s="1923">
        <v>0</v>
      </c>
      <c r="K25" s="1923">
        <v>0</v>
      </c>
      <c r="L25" s="517"/>
    </row>
    <row r="26" spans="1:12" s="481" customFormat="1" ht="13.5" customHeight="1" x14ac:dyDescent="0.2">
      <c r="A26" s="1462" t="s">
        <v>184</v>
      </c>
      <c r="B26" s="479">
        <v>7120</v>
      </c>
      <c r="C26" s="1923">
        <v>0</v>
      </c>
      <c r="D26" s="1923">
        <v>42000</v>
      </c>
      <c r="E26" s="1923">
        <v>0</v>
      </c>
      <c r="F26" s="1923">
        <v>0</v>
      </c>
      <c r="G26" s="1923">
        <v>0</v>
      </c>
      <c r="H26" s="1923">
        <v>0</v>
      </c>
      <c r="I26" s="473"/>
      <c r="J26" s="1923">
        <v>0</v>
      </c>
      <c r="K26" s="1923">
        <v>0</v>
      </c>
      <c r="L26" s="517"/>
    </row>
    <row r="27" spans="1:12" s="481" customFormat="1" ht="13.5" customHeight="1" x14ac:dyDescent="0.2">
      <c r="A27" s="1462" t="s">
        <v>185</v>
      </c>
      <c r="B27" s="479">
        <v>7130</v>
      </c>
      <c r="C27" s="1923">
        <v>0</v>
      </c>
      <c r="D27" s="1923">
        <v>0</v>
      </c>
      <c r="E27" s="519"/>
      <c r="F27" s="1923">
        <v>0</v>
      </c>
      <c r="G27" s="476"/>
      <c r="H27" s="476"/>
      <c r="I27" s="476"/>
      <c r="J27" s="476"/>
      <c r="K27" s="476"/>
      <c r="L27" s="517"/>
    </row>
    <row r="28" spans="1:12" s="481" customFormat="1" ht="13.5" customHeight="1" x14ac:dyDescent="0.2">
      <c r="A28" s="1462" t="s">
        <v>1398</v>
      </c>
      <c r="B28" s="479">
        <v>7140</v>
      </c>
      <c r="C28" s="1923">
        <v>0</v>
      </c>
      <c r="D28" s="1923">
        <v>158000</v>
      </c>
      <c r="E28" s="1923">
        <v>0</v>
      </c>
      <c r="F28" s="1923">
        <v>0</v>
      </c>
      <c r="G28" s="1923">
        <v>0</v>
      </c>
      <c r="H28" s="1923">
        <v>0</v>
      </c>
      <c r="I28" s="1923">
        <v>0</v>
      </c>
      <c r="J28" s="1923">
        <v>0</v>
      </c>
      <c r="K28" s="1923">
        <v>0</v>
      </c>
      <c r="L28" s="517"/>
    </row>
    <row r="29" spans="1:12" s="481" customFormat="1" ht="13.5" customHeight="1" x14ac:dyDescent="0.2">
      <c r="A29" s="1462" t="s">
        <v>294</v>
      </c>
      <c r="B29" s="479">
        <v>7150</v>
      </c>
      <c r="C29" s="472"/>
      <c r="D29" s="1923">
        <v>0</v>
      </c>
      <c r="E29" s="472"/>
      <c r="F29" s="472"/>
      <c r="G29" s="472"/>
      <c r="H29" s="472"/>
      <c r="I29" s="472"/>
      <c r="J29" s="472"/>
      <c r="K29" s="472"/>
      <c r="L29" s="517"/>
    </row>
    <row r="30" spans="1:12" s="481" customFormat="1" ht="26.25" x14ac:dyDescent="0.2">
      <c r="A30" s="1462" t="s">
        <v>1791</v>
      </c>
      <c r="B30" s="520">
        <v>7160</v>
      </c>
      <c r="C30" s="473"/>
      <c r="D30" s="1923">
        <v>0</v>
      </c>
      <c r="E30" s="473"/>
      <c r="F30" s="473"/>
      <c r="G30" s="473"/>
      <c r="H30" s="473"/>
      <c r="I30" s="473"/>
      <c r="J30" s="473"/>
      <c r="K30" s="473"/>
      <c r="L30" s="517"/>
    </row>
    <row r="31" spans="1:12" s="481" customFormat="1" ht="26.25" x14ac:dyDescent="0.2">
      <c r="A31" s="1462" t="s">
        <v>1795</v>
      </c>
      <c r="B31" s="520">
        <v>7170</v>
      </c>
      <c r="C31" s="473"/>
      <c r="D31" s="473"/>
      <c r="E31" s="1924">
        <v>0</v>
      </c>
      <c r="F31" s="473"/>
      <c r="G31" s="473"/>
      <c r="H31" s="473"/>
      <c r="I31" s="473"/>
      <c r="J31" s="473"/>
      <c r="K31" s="473"/>
      <c r="L31" s="517"/>
    </row>
    <row r="32" spans="1:12" s="481" customFormat="1" ht="15.75" customHeight="1" x14ac:dyDescent="0.2">
      <c r="A32" s="2209" t="s">
        <v>981</v>
      </c>
      <c r="B32" s="2210"/>
      <c r="C32" s="473"/>
      <c r="D32" s="473"/>
      <c r="E32" s="472"/>
      <c r="F32" s="473"/>
      <c r="G32" s="473"/>
      <c r="H32" s="473"/>
      <c r="I32" s="473"/>
      <c r="J32" s="473"/>
      <c r="K32" s="473"/>
      <c r="L32" s="517"/>
    </row>
    <row r="33" spans="1:12" s="481" customFormat="1" x14ac:dyDescent="0.2">
      <c r="A33" s="1462" t="s">
        <v>412</v>
      </c>
      <c r="B33" s="518">
        <v>7210</v>
      </c>
      <c r="C33" s="1923">
        <v>0</v>
      </c>
      <c r="D33" s="1923">
        <v>0</v>
      </c>
      <c r="E33" s="1923">
        <v>0</v>
      </c>
      <c r="F33" s="1923">
        <v>0</v>
      </c>
      <c r="G33" s="473"/>
      <c r="H33" s="1923">
        <v>0</v>
      </c>
      <c r="I33" s="1923">
        <v>0</v>
      </c>
      <c r="J33" s="1923">
        <v>0</v>
      </c>
      <c r="K33" s="1923">
        <v>0</v>
      </c>
      <c r="L33" s="517"/>
    </row>
    <row r="34" spans="1:12" s="481" customFormat="1" x14ac:dyDescent="0.2">
      <c r="A34" s="1462" t="s">
        <v>1001</v>
      </c>
      <c r="B34" s="518">
        <v>7220</v>
      </c>
      <c r="C34" s="1923">
        <v>0</v>
      </c>
      <c r="D34" s="1923">
        <v>0</v>
      </c>
      <c r="E34" s="1923">
        <v>0</v>
      </c>
      <c r="F34" s="1923">
        <v>0</v>
      </c>
      <c r="G34" s="473"/>
      <c r="H34" s="474">
        <v>0</v>
      </c>
      <c r="I34" s="474">
        <v>0</v>
      </c>
      <c r="J34" s="474">
        <v>0</v>
      </c>
      <c r="K34" s="474">
        <v>0</v>
      </c>
      <c r="L34" s="517"/>
    </row>
    <row r="35" spans="1:12" s="481" customFormat="1" x14ac:dyDescent="0.2">
      <c r="A35" s="1462" t="s">
        <v>990</v>
      </c>
      <c r="B35" s="518">
        <v>7230</v>
      </c>
      <c r="C35" s="1923">
        <v>0</v>
      </c>
      <c r="D35" s="1923">
        <v>0</v>
      </c>
      <c r="E35" s="1923">
        <v>0</v>
      </c>
      <c r="F35" s="1923">
        <v>0</v>
      </c>
      <c r="G35" s="476"/>
      <c r="H35" s="1923">
        <v>0</v>
      </c>
      <c r="I35" s="1923">
        <v>0</v>
      </c>
      <c r="J35" s="1923">
        <v>0</v>
      </c>
      <c r="K35" s="1923">
        <v>0</v>
      </c>
      <c r="L35" s="517"/>
    </row>
    <row r="36" spans="1:12" s="481" customFormat="1" ht="15" x14ac:dyDescent="0.2">
      <c r="A36" s="1462" t="s">
        <v>1658</v>
      </c>
      <c r="B36" s="518">
        <v>7300</v>
      </c>
      <c r="C36" s="1923">
        <v>0</v>
      </c>
      <c r="D36" s="1923">
        <v>0</v>
      </c>
      <c r="E36" s="1923">
        <v>0</v>
      </c>
      <c r="F36" s="1923">
        <v>0</v>
      </c>
      <c r="G36" s="1923">
        <v>0</v>
      </c>
      <c r="H36" s="1923">
        <v>0</v>
      </c>
      <c r="I36" s="472"/>
      <c r="J36" s="1923">
        <v>0</v>
      </c>
      <c r="K36" s="1923">
        <v>0</v>
      </c>
      <c r="L36" s="517"/>
    </row>
    <row r="37" spans="1:12" s="481" customFormat="1" x14ac:dyDescent="0.2">
      <c r="A37" s="1462" t="s">
        <v>441</v>
      </c>
      <c r="B37" s="518">
        <v>7400</v>
      </c>
      <c r="C37" s="472"/>
      <c r="D37" s="472"/>
      <c r="E37" s="1716">
        <f>SUM(C54:D57,H54:H57)</f>
        <v>79434</v>
      </c>
      <c r="F37" s="472"/>
      <c r="G37" s="472"/>
      <c r="H37" s="472"/>
      <c r="I37" s="473"/>
      <c r="J37" s="472"/>
      <c r="K37" s="472"/>
      <c r="L37" s="517"/>
    </row>
    <row r="38" spans="1:12" s="481" customFormat="1" x14ac:dyDescent="0.2">
      <c r="A38" s="1462" t="s">
        <v>442</v>
      </c>
      <c r="B38" s="518">
        <v>7500</v>
      </c>
      <c r="C38" s="473"/>
      <c r="D38" s="473"/>
      <c r="E38" s="1716">
        <f>SUM(C58:D61,H58:H61)</f>
        <v>0</v>
      </c>
      <c r="F38" s="473"/>
      <c r="G38" s="473"/>
      <c r="H38" s="473"/>
      <c r="I38" s="473"/>
      <c r="J38" s="473"/>
      <c r="K38" s="473"/>
      <c r="L38" s="517"/>
    </row>
    <row r="39" spans="1:12" s="481" customFormat="1" x14ac:dyDescent="0.2">
      <c r="A39" s="1462" t="s">
        <v>443</v>
      </c>
      <c r="B39" s="518">
        <v>7600</v>
      </c>
      <c r="C39" s="473"/>
      <c r="D39" s="473"/>
      <c r="E39" s="1716">
        <f>SUM(C62:D65)</f>
        <v>0</v>
      </c>
      <c r="F39" s="473"/>
      <c r="G39" s="473"/>
      <c r="H39" s="473"/>
      <c r="I39" s="473"/>
      <c r="J39" s="473"/>
      <c r="K39" s="473"/>
      <c r="L39" s="517"/>
    </row>
    <row r="40" spans="1:12" s="481" customFormat="1" ht="13.5" customHeight="1" x14ac:dyDescent="0.2">
      <c r="A40" s="1462" t="s">
        <v>642</v>
      </c>
      <c r="B40" s="479">
        <v>7700</v>
      </c>
      <c r="C40" s="473"/>
      <c r="D40" s="473"/>
      <c r="E40" s="1716">
        <f>SUM(C66:D69)</f>
        <v>0</v>
      </c>
      <c r="F40" s="473"/>
      <c r="G40" s="473"/>
      <c r="H40" s="476"/>
      <c r="I40" s="473"/>
      <c r="J40" s="473"/>
      <c r="K40" s="473"/>
      <c r="L40" s="517"/>
    </row>
    <row r="41" spans="1:12" s="481" customFormat="1" ht="13.5" customHeight="1" x14ac:dyDescent="0.2">
      <c r="A41" s="1462" t="s">
        <v>640</v>
      </c>
      <c r="B41" s="479">
        <v>7800</v>
      </c>
      <c r="C41" s="476"/>
      <c r="D41" s="476"/>
      <c r="E41" s="519"/>
      <c r="F41" s="476"/>
      <c r="G41" s="476"/>
      <c r="H41" s="1716">
        <f>SUM(C70:D73)</f>
        <v>1094000</v>
      </c>
      <c r="I41" s="473"/>
      <c r="J41" s="473"/>
      <c r="K41" s="476"/>
      <c r="L41" s="517"/>
    </row>
    <row r="42" spans="1:12" s="481" customFormat="1" ht="13.5" customHeight="1" x14ac:dyDescent="0.2">
      <c r="A42" s="1462" t="s">
        <v>641</v>
      </c>
      <c r="B42" s="479">
        <v>7900</v>
      </c>
      <c r="C42" s="1923">
        <v>0</v>
      </c>
      <c r="D42" s="1923">
        <v>0</v>
      </c>
      <c r="E42" s="1923">
        <v>0</v>
      </c>
      <c r="F42" s="1923">
        <v>0</v>
      </c>
      <c r="G42" s="1923">
        <v>0</v>
      </c>
      <c r="H42" s="1923">
        <v>0</v>
      </c>
      <c r="I42" s="476"/>
      <c r="J42" s="476"/>
      <c r="K42" s="1923">
        <v>0</v>
      </c>
      <c r="L42" s="517"/>
    </row>
    <row r="43" spans="1:12" s="481" customFormat="1" ht="13.5" customHeight="1" x14ac:dyDescent="0.2">
      <c r="A43" s="1462" t="s">
        <v>373</v>
      </c>
      <c r="B43" s="479">
        <v>7990</v>
      </c>
      <c r="C43" s="1923">
        <v>0</v>
      </c>
      <c r="D43" s="1923">
        <v>0</v>
      </c>
      <c r="E43" s="1923">
        <v>0</v>
      </c>
      <c r="F43" s="1923">
        <v>0</v>
      </c>
      <c r="G43" s="1923">
        <v>0</v>
      </c>
      <c r="H43" s="1923">
        <v>0</v>
      </c>
      <c r="I43" s="1923">
        <v>0</v>
      </c>
      <c r="J43" s="1923">
        <v>0</v>
      </c>
      <c r="K43" s="1923">
        <v>0</v>
      </c>
      <c r="L43" s="517"/>
    </row>
    <row r="44" spans="1:12" s="481" customFormat="1" ht="13.5" customHeight="1" thickBot="1" x14ac:dyDescent="0.25">
      <c r="A44" s="2217" t="s">
        <v>374</v>
      </c>
      <c r="B44" s="2218"/>
      <c r="C44" s="1676">
        <f>SUM(C24:C43)</f>
        <v>0</v>
      </c>
      <c r="D44" s="1676">
        <f t="shared" ref="D44:K44" si="6">SUM(D24:D43)</f>
        <v>700000</v>
      </c>
      <c r="E44" s="1676">
        <f t="shared" si="6"/>
        <v>79434</v>
      </c>
      <c r="F44" s="1676">
        <f t="shared" si="6"/>
        <v>0</v>
      </c>
      <c r="G44" s="1676">
        <f t="shared" si="6"/>
        <v>0</v>
      </c>
      <c r="H44" s="1676">
        <f t="shared" si="6"/>
        <v>1094000</v>
      </c>
      <c r="I44" s="1676">
        <f t="shared" si="6"/>
        <v>0</v>
      </c>
      <c r="J44" s="1676">
        <f t="shared" si="6"/>
        <v>0</v>
      </c>
      <c r="K44" s="1676">
        <f t="shared" si="6"/>
        <v>0</v>
      </c>
      <c r="L44" s="517"/>
    </row>
    <row r="45" spans="1:12" ht="15.75" customHeight="1" thickTop="1" x14ac:dyDescent="0.2">
      <c r="A45" s="2211" t="s">
        <v>108</v>
      </c>
      <c r="B45" s="2212"/>
      <c r="C45" s="521"/>
      <c r="D45" s="521"/>
      <c r="E45" s="521"/>
      <c r="F45" s="521"/>
      <c r="G45" s="521"/>
      <c r="H45" s="521"/>
      <c r="I45" s="521"/>
      <c r="J45" s="521"/>
      <c r="K45" s="521"/>
      <c r="L45" s="347"/>
    </row>
    <row r="46" spans="1:12" s="481" customFormat="1" ht="15.75" customHeight="1" x14ac:dyDescent="0.2">
      <c r="A46" s="2219" t="s">
        <v>109</v>
      </c>
      <c r="B46" s="2220"/>
      <c r="C46" s="473"/>
      <c r="D46" s="473"/>
      <c r="E46" s="473"/>
      <c r="F46" s="473"/>
      <c r="G46" s="473"/>
      <c r="H46" s="473"/>
      <c r="I46" s="476"/>
      <c r="J46" s="473"/>
      <c r="K46" s="473"/>
      <c r="L46" s="522"/>
    </row>
    <row r="47" spans="1:12" s="481" customFormat="1" ht="15" x14ac:dyDescent="0.2">
      <c r="A47" s="1463" t="s">
        <v>1659</v>
      </c>
      <c r="B47" s="479">
        <v>8110</v>
      </c>
      <c r="C47" s="473"/>
      <c r="D47" s="473"/>
      <c r="E47" s="473"/>
      <c r="F47" s="473"/>
      <c r="G47" s="473"/>
      <c r="H47" s="473"/>
      <c r="I47" s="1716">
        <f>SUM(C24,C25:H25,J25:K25)</f>
        <v>500000</v>
      </c>
      <c r="J47" s="473"/>
      <c r="K47" s="473"/>
      <c r="L47" s="522"/>
    </row>
    <row r="48" spans="1:12" s="481" customFormat="1" ht="15" x14ac:dyDescent="0.2">
      <c r="A48" s="1463" t="s">
        <v>1660</v>
      </c>
      <c r="B48" s="479">
        <v>8120</v>
      </c>
      <c r="C48" s="476"/>
      <c r="D48" s="476"/>
      <c r="E48" s="473"/>
      <c r="F48" s="476"/>
      <c r="G48" s="473"/>
      <c r="H48" s="473"/>
      <c r="I48" s="1716">
        <f>SUM(C26:H26,J26,K26)</f>
        <v>42000</v>
      </c>
      <c r="J48" s="473"/>
      <c r="K48" s="473"/>
      <c r="L48" s="522"/>
    </row>
    <row r="49" spans="1:12" s="481" customFormat="1" x14ac:dyDescent="0.2">
      <c r="A49" s="1463" t="s">
        <v>185</v>
      </c>
      <c r="B49" s="479">
        <v>8130</v>
      </c>
      <c r="C49" s="1923">
        <v>0</v>
      </c>
      <c r="D49" s="1923">
        <v>0</v>
      </c>
      <c r="E49" s="476"/>
      <c r="F49" s="1923">
        <v>0</v>
      </c>
      <c r="G49" s="476"/>
      <c r="H49" s="476"/>
      <c r="I49" s="473"/>
      <c r="J49" s="476"/>
      <c r="K49" s="473"/>
      <c r="L49" s="517"/>
    </row>
    <row r="50" spans="1:12" s="481" customFormat="1" x14ac:dyDescent="0.2">
      <c r="A50" s="1463" t="s">
        <v>1398</v>
      </c>
      <c r="B50" s="479">
        <v>8140</v>
      </c>
      <c r="C50" s="1923">
        <v>158000</v>
      </c>
      <c r="D50" s="1923">
        <v>0</v>
      </c>
      <c r="E50" s="1923">
        <v>0</v>
      </c>
      <c r="F50" s="1923">
        <v>0</v>
      </c>
      <c r="G50" s="1923">
        <v>0</v>
      </c>
      <c r="H50" s="1923">
        <v>0</v>
      </c>
      <c r="I50" s="473"/>
      <c r="J50" s="1923">
        <v>0</v>
      </c>
      <c r="K50" s="473"/>
      <c r="L50" s="517"/>
    </row>
    <row r="51" spans="1:12" s="481" customFormat="1" x14ac:dyDescent="0.2">
      <c r="A51" s="1463" t="s">
        <v>294</v>
      </c>
      <c r="B51" s="479">
        <v>8150</v>
      </c>
      <c r="C51" s="472"/>
      <c r="D51" s="472"/>
      <c r="E51" s="472"/>
      <c r="F51" s="472"/>
      <c r="G51" s="472"/>
      <c r="H51" s="1716">
        <f>SUM(D29)</f>
        <v>0</v>
      </c>
      <c r="I51" s="473"/>
      <c r="J51" s="472"/>
      <c r="K51" s="476"/>
      <c r="L51" s="517"/>
    </row>
    <row r="52" spans="1:12" s="481" customFormat="1" ht="26.25" x14ac:dyDescent="0.2">
      <c r="A52" s="1463" t="s">
        <v>1794</v>
      </c>
      <c r="B52" s="479">
        <v>8160</v>
      </c>
      <c r="C52" s="473"/>
      <c r="D52" s="473"/>
      <c r="E52" s="473"/>
      <c r="F52" s="473"/>
      <c r="G52" s="473"/>
      <c r="H52" s="473"/>
      <c r="I52" s="473"/>
      <c r="J52" s="473"/>
      <c r="K52" s="1716">
        <f>D30</f>
        <v>0</v>
      </c>
      <c r="L52" s="517"/>
    </row>
    <row r="53" spans="1:12" s="481" customFormat="1" ht="26.25" x14ac:dyDescent="0.2">
      <c r="A53" s="1463" t="s">
        <v>1793</v>
      </c>
      <c r="B53" s="479">
        <v>8170</v>
      </c>
      <c r="C53" s="476"/>
      <c r="D53" s="476"/>
      <c r="E53" s="473"/>
      <c r="F53" s="473"/>
      <c r="G53" s="473"/>
      <c r="H53" s="476"/>
      <c r="I53" s="473"/>
      <c r="J53" s="473"/>
      <c r="K53" s="1716">
        <f>E31</f>
        <v>0</v>
      </c>
      <c r="L53" s="517"/>
    </row>
    <row r="54" spans="1:12" s="481" customFormat="1" ht="13.5" thickBot="1" x14ac:dyDescent="0.25">
      <c r="A54" s="1463" t="s">
        <v>692</v>
      </c>
      <c r="B54" s="479">
        <v>8410</v>
      </c>
      <c r="C54" s="1925">
        <v>0</v>
      </c>
      <c r="D54" s="1925">
        <v>0</v>
      </c>
      <c r="E54" s="473"/>
      <c r="F54" s="473"/>
      <c r="G54" s="473"/>
      <c r="H54" s="1929">
        <v>0</v>
      </c>
      <c r="I54" s="473"/>
      <c r="J54" s="473"/>
      <c r="K54" s="472"/>
      <c r="L54" s="517"/>
    </row>
    <row r="55" spans="1:12" s="481" customFormat="1" ht="14.25" thickTop="1" thickBot="1" x14ac:dyDescent="0.25">
      <c r="A55" s="1464" t="s">
        <v>693</v>
      </c>
      <c r="B55" s="479">
        <v>8420</v>
      </c>
      <c r="C55" s="1926">
        <v>0</v>
      </c>
      <c r="D55" s="1926">
        <v>0</v>
      </c>
      <c r="E55" s="473"/>
      <c r="F55" s="473"/>
      <c r="G55" s="473"/>
      <c r="H55" s="1929">
        <v>0</v>
      </c>
      <c r="I55" s="473"/>
      <c r="J55" s="473"/>
      <c r="K55" s="473"/>
      <c r="L55" s="517"/>
    </row>
    <row r="56" spans="1:12" s="481" customFormat="1" ht="14.25" thickTop="1" thickBot="1" x14ac:dyDescent="0.25">
      <c r="A56" s="1463" t="s">
        <v>581</v>
      </c>
      <c r="B56" s="479">
        <v>8430</v>
      </c>
      <c r="C56" s="1926">
        <v>79434</v>
      </c>
      <c r="D56" s="1926">
        <v>0</v>
      </c>
      <c r="E56" s="473"/>
      <c r="F56" s="473"/>
      <c r="G56" s="473"/>
      <c r="H56" s="1929">
        <v>0</v>
      </c>
      <c r="I56" s="473"/>
      <c r="J56" s="473"/>
      <c r="K56" s="473"/>
      <c r="L56" s="517"/>
    </row>
    <row r="57" spans="1:12" s="481" customFormat="1" ht="14.25" thickTop="1" thickBot="1" x14ac:dyDescent="0.25">
      <c r="A57" s="1464" t="s">
        <v>578</v>
      </c>
      <c r="B57" s="479">
        <v>8440</v>
      </c>
      <c r="C57" s="1926">
        <v>0</v>
      </c>
      <c r="D57" s="1926">
        <v>0</v>
      </c>
      <c r="E57" s="473"/>
      <c r="F57" s="473"/>
      <c r="G57" s="473"/>
      <c r="H57" s="1929">
        <v>0</v>
      </c>
      <c r="I57" s="473"/>
      <c r="J57" s="473"/>
      <c r="K57" s="473"/>
      <c r="L57" s="517"/>
    </row>
    <row r="58" spans="1:12" s="481" customFormat="1" ht="14.25" thickTop="1" thickBot="1" x14ac:dyDescent="0.25">
      <c r="A58" s="1463" t="s">
        <v>579</v>
      </c>
      <c r="B58" s="479">
        <v>8510</v>
      </c>
      <c r="C58" s="1926">
        <v>0</v>
      </c>
      <c r="D58" s="1926">
        <v>0</v>
      </c>
      <c r="E58" s="473"/>
      <c r="F58" s="473"/>
      <c r="G58" s="473"/>
      <c r="H58" s="1929">
        <v>0</v>
      </c>
      <c r="I58" s="473"/>
      <c r="J58" s="473"/>
      <c r="K58" s="473"/>
      <c r="L58" s="517"/>
    </row>
    <row r="59" spans="1:12" s="481" customFormat="1" ht="14.25" thickTop="1" thickBot="1" x14ac:dyDescent="0.25">
      <c r="A59" s="1465" t="s">
        <v>694</v>
      </c>
      <c r="B59" s="479">
        <v>8520</v>
      </c>
      <c r="C59" s="1926">
        <v>0</v>
      </c>
      <c r="D59" s="1926">
        <v>0</v>
      </c>
      <c r="E59" s="473"/>
      <c r="F59" s="473"/>
      <c r="G59" s="473"/>
      <c r="H59" s="1929">
        <v>0</v>
      </c>
      <c r="I59" s="473"/>
      <c r="J59" s="473"/>
      <c r="K59" s="473"/>
      <c r="L59" s="517"/>
    </row>
    <row r="60" spans="1:12" s="481" customFormat="1" ht="14.25" thickTop="1" thickBot="1" x14ac:dyDescent="0.25">
      <c r="A60" s="1463" t="s">
        <v>580</v>
      </c>
      <c r="B60" s="479">
        <v>8530</v>
      </c>
      <c r="C60" s="1926">
        <v>0</v>
      </c>
      <c r="D60" s="1926">
        <v>0</v>
      </c>
      <c r="E60" s="473"/>
      <c r="F60" s="473"/>
      <c r="G60" s="473"/>
      <c r="H60" s="1929">
        <v>0</v>
      </c>
      <c r="I60" s="473"/>
      <c r="J60" s="473"/>
      <c r="K60" s="473"/>
      <c r="L60" s="517"/>
    </row>
    <row r="61" spans="1:12" s="481" customFormat="1" ht="14.25" thickTop="1" thickBot="1" x14ac:dyDescent="0.25">
      <c r="A61" s="1464" t="s">
        <v>743</v>
      </c>
      <c r="B61" s="479">
        <v>8540</v>
      </c>
      <c r="C61" s="1926">
        <v>0</v>
      </c>
      <c r="D61" s="1926">
        <v>0</v>
      </c>
      <c r="E61" s="473"/>
      <c r="F61" s="473"/>
      <c r="G61" s="473"/>
      <c r="H61" s="1929">
        <v>0</v>
      </c>
      <c r="I61" s="473"/>
      <c r="J61" s="473"/>
      <c r="K61" s="473"/>
      <c r="L61" s="517"/>
    </row>
    <row r="62" spans="1:12" s="481" customFormat="1" ht="13.5" customHeight="1" thickTop="1" thickBot="1" x14ac:dyDescent="0.25">
      <c r="A62" s="1463" t="s">
        <v>744</v>
      </c>
      <c r="B62" s="479">
        <v>8610</v>
      </c>
      <c r="C62" s="1926">
        <v>0</v>
      </c>
      <c r="D62" s="1926">
        <v>0</v>
      </c>
      <c r="E62" s="473"/>
      <c r="F62" s="473"/>
      <c r="G62" s="473"/>
      <c r="H62" s="473"/>
      <c r="I62" s="473"/>
      <c r="J62" s="473"/>
      <c r="K62" s="473"/>
      <c r="L62" s="517"/>
    </row>
    <row r="63" spans="1:12" s="481" customFormat="1" ht="14.25" thickTop="1" thickBot="1" x14ac:dyDescent="0.25">
      <c r="A63" s="1464" t="s">
        <v>695</v>
      </c>
      <c r="B63" s="479">
        <v>8620</v>
      </c>
      <c r="C63" s="1926">
        <v>0</v>
      </c>
      <c r="D63" s="1926">
        <v>0</v>
      </c>
      <c r="E63" s="473"/>
      <c r="F63" s="473"/>
      <c r="G63" s="473"/>
      <c r="H63" s="473"/>
      <c r="I63" s="473"/>
      <c r="J63" s="473"/>
      <c r="K63" s="473"/>
      <c r="L63" s="517"/>
    </row>
    <row r="64" spans="1:12" s="481" customFormat="1" ht="13.5" customHeight="1" thickTop="1" thickBot="1" x14ac:dyDescent="0.25">
      <c r="A64" s="1463" t="s">
        <v>745</v>
      </c>
      <c r="B64" s="479">
        <v>8630</v>
      </c>
      <c r="C64" s="1926">
        <v>0</v>
      </c>
      <c r="D64" s="1926">
        <v>0</v>
      </c>
      <c r="E64" s="473"/>
      <c r="F64" s="473"/>
      <c r="G64" s="473"/>
      <c r="H64" s="473"/>
      <c r="I64" s="473"/>
      <c r="J64" s="473"/>
      <c r="K64" s="473"/>
      <c r="L64" s="517"/>
    </row>
    <row r="65" spans="1:12" s="481" customFormat="1" ht="14.25" thickTop="1" thickBot="1" x14ac:dyDescent="0.25">
      <c r="A65" s="1464" t="s">
        <v>746</v>
      </c>
      <c r="B65" s="479">
        <v>8640</v>
      </c>
      <c r="C65" s="1926">
        <v>0</v>
      </c>
      <c r="D65" s="1926">
        <v>0</v>
      </c>
      <c r="E65" s="473"/>
      <c r="F65" s="473"/>
      <c r="G65" s="473"/>
      <c r="H65" s="473"/>
      <c r="I65" s="473"/>
      <c r="J65" s="473"/>
      <c r="K65" s="473"/>
      <c r="L65" s="517"/>
    </row>
    <row r="66" spans="1:12" s="481" customFormat="1" ht="14.25" thickTop="1" thickBot="1" x14ac:dyDescent="0.25">
      <c r="A66" s="1463" t="s">
        <v>747</v>
      </c>
      <c r="B66" s="479">
        <v>8710</v>
      </c>
      <c r="C66" s="1926">
        <v>0</v>
      </c>
      <c r="D66" s="1926">
        <v>0</v>
      </c>
      <c r="E66" s="473"/>
      <c r="F66" s="473"/>
      <c r="G66" s="473"/>
      <c r="H66" s="473"/>
      <c r="I66" s="473"/>
      <c r="J66" s="473"/>
      <c r="K66" s="473"/>
      <c r="L66" s="517"/>
    </row>
    <row r="67" spans="1:12" s="481" customFormat="1" ht="14.25" thickTop="1" thickBot="1" x14ac:dyDescent="0.25">
      <c r="A67" s="1464" t="s">
        <v>696</v>
      </c>
      <c r="B67" s="479">
        <v>8720</v>
      </c>
      <c r="C67" s="1926">
        <v>0</v>
      </c>
      <c r="D67" s="1926">
        <v>0</v>
      </c>
      <c r="E67" s="473"/>
      <c r="F67" s="473"/>
      <c r="G67" s="473"/>
      <c r="H67" s="473"/>
      <c r="I67" s="473"/>
      <c r="J67" s="473"/>
      <c r="K67" s="473"/>
      <c r="L67" s="517"/>
    </row>
    <row r="68" spans="1:12" s="481" customFormat="1" ht="14.25" thickTop="1" thickBot="1" x14ac:dyDescent="0.25">
      <c r="A68" s="1465" t="s">
        <v>748</v>
      </c>
      <c r="B68" s="479">
        <v>8730</v>
      </c>
      <c r="C68" s="1926">
        <v>0</v>
      </c>
      <c r="D68" s="1926">
        <v>0</v>
      </c>
      <c r="E68" s="473"/>
      <c r="F68" s="473"/>
      <c r="G68" s="473"/>
      <c r="H68" s="473"/>
      <c r="I68" s="473"/>
      <c r="J68" s="473"/>
      <c r="K68" s="473"/>
      <c r="L68" s="517"/>
    </row>
    <row r="69" spans="1:12" s="481" customFormat="1" ht="14.25" thickTop="1" thickBot="1" x14ac:dyDescent="0.25">
      <c r="A69" s="1464" t="s">
        <v>749</v>
      </c>
      <c r="B69" s="479">
        <v>8740</v>
      </c>
      <c r="C69" s="1926">
        <v>0</v>
      </c>
      <c r="D69" s="1926">
        <v>0</v>
      </c>
      <c r="E69" s="473"/>
      <c r="F69" s="473"/>
      <c r="G69" s="473"/>
      <c r="H69" s="473"/>
      <c r="I69" s="473"/>
      <c r="J69" s="473"/>
      <c r="K69" s="473"/>
      <c r="L69" s="517"/>
    </row>
    <row r="70" spans="1:12" s="481" customFormat="1" ht="14.25" thickTop="1" thickBot="1" x14ac:dyDescent="0.25">
      <c r="A70" s="1463" t="s">
        <v>750</v>
      </c>
      <c r="B70" s="479">
        <v>8810</v>
      </c>
      <c r="C70" s="1926">
        <v>0</v>
      </c>
      <c r="D70" s="1926">
        <v>0</v>
      </c>
      <c r="E70" s="473"/>
      <c r="F70" s="473"/>
      <c r="G70" s="473"/>
      <c r="H70" s="473"/>
      <c r="I70" s="473"/>
      <c r="J70" s="473"/>
      <c r="K70" s="473"/>
      <c r="L70" s="517"/>
    </row>
    <row r="71" spans="1:12" s="481" customFormat="1" ht="14.25" thickTop="1" thickBot="1" x14ac:dyDescent="0.25">
      <c r="A71" s="1463" t="s">
        <v>754</v>
      </c>
      <c r="B71" s="479">
        <v>8820</v>
      </c>
      <c r="C71" s="1926">
        <v>0</v>
      </c>
      <c r="D71" s="1926">
        <v>0</v>
      </c>
      <c r="E71" s="473"/>
      <c r="F71" s="473"/>
      <c r="G71" s="473"/>
      <c r="H71" s="473"/>
      <c r="I71" s="473"/>
      <c r="J71" s="473"/>
      <c r="K71" s="473"/>
      <c r="L71" s="517"/>
    </row>
    <row r="72" spans="1:12" s="481" customFormat="1" ht="14.25" thickTop="1" thickBot="1" x14ac:dyDescent="0.25">
      <c r="A72" s="1463" t="s">
        <v>751</v>
      </c>
      <c r="B72" s="479">
        <v>8830</v>
      </c>
      <c r="C72" s="1926">
        <v>0</v>
      </c>
      <c r="D72" s="1926">
        <v>0</v>
      </c>
      <c r="E72" s="473"/>
      <c r="F72" s="473"/>
      <c r="G72" s="473"/>
      <c r="H72" s="473"/>
      <c r="I72" s="473"/>
      <c r="J72" s="473"/>
      <c r="K72" s="473"/>
      <c r="L72" s="517"/>
    </row>
    <row r="73" spans="1:12" s="481" customFormat="1" ht="14.25" thickTop="1" thickBot="1" x14ac:dyDescent="0.25">
      <c r="A73" s="1463" t="s">
        <v>752</v>
      </c>
      <c r="B73" s="479">
        <v>8840</v>
      </c>
      <c r="C73" s="1926">
        <v>0</v>
      </c>
      <c r="D73" s="1926">
        <v>1094000</v>
      </c>
      <c r="E73" s="473"/>
      <c r="F73" s="473"/>
      <c r="G73" s="473"/>
      <c r="H73" s="473"/>
      <c r="I73" s="473"/>
      <c r="J73" s="473"/>
      <c r="K73" s="476"/>
      <c r="L73" s="517"/>
    </row>
    <row r="74" spans="1:12" s="481" customFormat="1" ht="14.25" thickTop="1" thickBot="1" x14ac:dyDescent="0.25">
      <c r="A74" s="1463" t="s">
        <v>375</v>
      </c>
      <c r="B74" s="479">
        <v>8910</v>
      </c>
      <c r="C74" s="1926">
        <v>0</v>
      </c>
      <c r="D74" s="1926">
        <v>0</v>
      </c>
      <c r="E74" s="476"/>
      <c r="F74" s="1929">
        <v>0</v>
      </c>
      <c r="G74" s="1929">
        <v>0</v>
      </c>
      <c r="H74" s="1929">
        <v>0</v>
      </c>
      <c r="I74" s="476"/>
      <c r="J74" s="476"/>
      <c r="K74" s="1929">
        <v>0</v>
      </c>
      <c r="L74" s="517"/>
    </row>
    <row r="75" spans="1:12" s="481" customFormat="1" ht="14.25" thickTop="1" thickBot="1" x14ac:dyDescent="0.25">
      <c r="A75" s="1466" t="s">
        <v>439</v>
      </c>
      <c r="B75" s="479">
        <v>8990</v>
      </c>
      <c r="C75" s="1926">
        <v>0</v>
      </c>
      <c r="D75" s="1926">
        <v>0</v>
      </c>
      <c r="E75" s="1929">
        <v>0</v>
      </c>
      <c r="F75" s="1930">
        <v>0</v>
      </c>
      <c r="G75" s="1930">
        <v>0</v>
      </c>
      <c r="H75" s="1930">
        <v>0</v>
      </c>
      <c r="I75" s="1929">
        <v>0</v>
      </c>
      <c r="J75" s="1929">
        <v>0</v>
      </c>
      <c r="K75" s="1930">
        <v>0</v>
      </c>
      <c r="L75" s="517"/>
    </row>
    <row r="76" spans="1:12" s="481" customFormat="1" ht="14.25" thickTop="1" thickBot="1" x14ac:dyDescent="0.25">
      <c r="A76" s="2193" t="s">
        <v>440</v>
      </c>
      <c r="B76" s="2194"/>
      <c r="C76" s="1676">
        <f t="shared" ref="C76:K76" si="7">SUM(C47:C75)</f>
        <v>237434</v>
      </c>
      <c r="D76" s="1676">
        <f t="shared" si="7"/>
        <v>1094000</v>
      </c>
      <c r="E76" s="1676">
        <f t="shared" si="7"/>
        <v>0</v>
      </c>
      <c r="F76" s="1676">
        <f t="shared" si="7"/>
        <v>0</v>
      </c>
      <c r="G76" s="1676">
        <f t="shared" si="7"/>
        <v>0</v>
      </c>
      <c r="H76" s="1676">
        <f t="shared" si="7"/>
        <v>0</v>
      </c>
      <c r="I76" s="1676">
        <f t="shared" si="7"/>
        <v>542000</v>
      </c>
      <c r="J76" s="1676">
        <f t="shared" si="7"/>
        <v>0</v>
      </c>
      <c r="K76" s="1676">
        <f t="shared" si="7"/>
        <v>0</v>
      </c>
      <c r="L76" s="517"/>
    </row>
    <row r="77" spans="1:12" ht="14.25" thickTop="1" thickBot="1" x14ac:dyDescent="0.25">
      <c r="A77" s="2195" t="s">
        <v>1177</v>
      </c>
      <c r="B77" s="2196"/>
      <c r="C77" s="1676">
        <f t="shared" ref="C77:K77" si="8">C44-C76</f>
        <v>-237434</v>
      </c>
      <c r="D77" s="1676">
        <f t="shared" si="8"/>
        <v>-394000</v>
      </c>
      <c r="E77" s="1676">
        <f t="shared" si="8"/>
        <v>79434</v>
      </c>
      <c r="F77" s="1676">
        <f t="shared" si="8"/>
        <v>0</v>
      </c>
      <c r="G77" s="1676">
        <f t="shared" si="8"/>
        <v>0</v>
      </c>
      <c r="H77" s="1676">
        <f t="shared" si="8"/>
        <v>1094000</v>
      </c>
      <c r="I77" s="1676">
        <f t="shared" si="8"/>
        <v>-542000</v>
      </c>
      <c r="J77" s="1676">
        <f t="shared" si="8"/>
        <v>0</v>
      </c>
      <c r="K77" s="1676">
        <f t="shared" si="8"/>
        <v>0</v>
      </c>
      <c r="L77" s="347"/>
    </row>
    <row r="78" spans="1:12" ht="21.75" customHeight="1" thickTop="1" thickBot="1" x14ac:dyDescent="0.25">
      <c r="A78" s="2199" t="s">
        <v>597</v>
      </c>
      <c r="B78" s="2200"/>
      <c r="C78" s="1675">
        <f t="shared" ref="C78:K78" si="9">C20+C77</f>
        <v>1056153</v>
      </c>
      <c r="D78" s="1675">
        <f t="shared" si="9"/>
        <v>-205042</v>
      </c>
      <c r="E78" s="1675">
        <f t="shared" si="9"/>
        <v>13777</v>
      </c>
      <c r="F78" s="1675">
        <f t="shared" si="9"/>
        <v>-117482</v>
      </c>
      <c r="G78" s="1675">
        <f t="shared" si="9"/>
        <v>75128</v>
      </c>
      <c r="H78" s="1675">
        <f t="shared" si="9"/>
        <v>-17921</v>
      </c>
      <c r="I78" s="1675">
        <f t="shared" si="9"/>
        <v>-492889</v>
      </c>
      <c r="J78" s="1675">
        <f t="shared" si="9"/>
        <v>64233</v>
      </c>
      <c r="K78" s="1675">
        <f t="shared" si="9"/>
        <v>-796664</v>
      </c>
      <c r="L78" s="524"/>
    </row>
    <row r="79" spans="1:12" ht="13.5" thickTop="1" x14ac:dyDescent="0.2">
      <c r="A79" s="1467" t="s">
        <v>1946</v>
      </c>
      <c r="B79" s="525"/>
      <c r="C79" s="474">
        <v>15935905</v>
      </c>
      <c r="D79" s="1931">
        <v>2981424</v>
      </c>
      <c r="E79" s="1931">
        <v>3019801</v>
      </c>
      <c r="F79" s="1931">
        <v>652523</v>
      </c>
      <c r="G79" s="1931">
        <v>463509</v>
      </c>
      <c r="H79" s="1931">
        <v>35483</v>
      </c>
      <c r="I79" s="1931">
        <v>2742834</v>
      </c>
      <c r="J79" s="1931">
        <v>129643</v>
      </c>
      <c r="K79" s="1931">
        <v>1616862</v>
      </c>
      <c r="L79" s="347"/>
    </row>
    <row r="80" spans="1:12" x14ac:dyDescent="0.2">
      <c r="A80" s="2205" t="s">
        <v>1792</v>
      </c>
      <c r="B80" s="2206"/>
      <c r="C80" s="466"/>
      <c r="D80" s="466"/>
      <c r="E80" s="466"/>
      <c r="F80" s="466"/>
      <c r="G80" s="466"/>
      <c r="H80" s="466"/>
      <c r="I80" s="466"/>
      <c r="J80" s="466"/>
      <c r="K80" s="466"/>
      <c r="L80" s="347"/>
    </row>
    <row r="81" spans="1:12" ht="13.5" thickBot="1" x14ac:dyDescent="0.25">
      <c r="A81" s="2197" t="s">
        <v>1947</v>
      </c>
      <c r="B81" s="2198"/>
      <c r="C81" s="1661">
        <f>(SUM(C78:C80))</f>
        <v>16992058</v>
      </c>
      <c r="D81" s="1661">
        <f>SUM(D78:D80)</f>
        <v>2776382</v>
      </c>
      <c r="E81" s="1661">
        <f t="shared" ref="E81:K81" si="10">SUM(E78:E80)</f>
        <v>3033578</v>
      </c>
      <c r="F81" s="1661">
        <f t="shared" si="10"/>
        <v>535041</v>
      </c>
      <c r="G81" s="1661">
        <f t="shared" si="10"/>
        <v>538637</v>
      </c>
      <c r="H81" s="1661">
        <f t="shared" si="10"/>
        <v>17562</v>
      </c>
      <c r="I81" s="1661">
        <f t="shared" si="10"/>
        <v>2249945</v>
      </c>
      <c r="J81" s="1661">
        <f t="shared" si="10"/>
        <v>193876</v>
      </c>
      <c r="K81" s="1661">
        <f t="shared" si="10"/>
        <v>820198</v>
      </c>
      <c r="L81" s="347"/>
    </row>
    <row r="82" spans="1:12" ht="0.75" customHeight="1" thickTop="1" thickBot="1" x14ac:dyDescent="0.25">
      <c r="A82" s="526" t="s">
        <v>343</v>
      </c>
      <c r="B82" s="527"/>
      <c r="C82" s="528">
        <f>(C81-C79)</f>
        <v>1056153</v>
      </c>
      <c r="D82" s="528">
        <f t="shared" ref="D82:K82" si="11">(D81-D79)</f>
        <v>-205042</v>
      </c>
      <c r="E82" s="528">
        <f t="shared" si="11"/>
        <v>13777</v>
      </c>
      <c r="F82" s="528">
        <f t="shared" si="11"/>
        <v>-117482</v>
      </c>
      <c r="G82" s="528">
        <f t="shared" si="11"/>
        <v>75128</v>
      </c>
      <c r="H82" s="528">
        <f t="shared" si="11"/>
        <v>-17921</v>
      </c>
      <c r="I82" s="528">
        <f t="shared" si="11"/>
        <v>-492889</v>
      </c>
      <c r="J82" s="528">
        <f t="shared" si="11"/>
        <v>64233</v>
      </c>
      <c r="K82" s="528">
        <f t="shared" si="11"/>
        <v>-796664</v>
      </c>
    </row>
    <row r="83" spans="1:12" ht="14.25" hidden="1" thickTop="1" thickBot="1" x14ac:dyDescent="0.25">
      <c r="A83" s="529" t="s">
        <v>344</v>
      </c>
      <c r="B83" s="464"/>
      <c r="C83" s="530">
        <f>C82/C81</f>
        <v>6.2155684732243734E-2</v>
      </c>
      <c r="D83" s="530">
        <f t="shared" ref="D83:K83" si="12">D82/D81</f>
        <v>-7.3852229268162664E-2</v>
      </c>
      <c r="E83" s="530">
        <f t="shared" si="12"/>
        <v>4.5415018173259429E-3</v>
      </c>
      <c r="F83" s="530">
        <f t="shared" si="12"/>
        <v>-0.21957569606815178</v>
      </c>
      <c r="G83" s="530">
        <f t="shared" si="12"/>
        <v>0.13947797867580577</v>
      </c>
      <c r="H83" s="530">
        <f t="shared" si="12"/>
        <v>-1.0204418631135406</v>
      </c>
      <c r="I83" s="530">
        <f t="shared" si="12"/>
        <v>-0.21906713275213394</v>
      </c>
      <c r="J83" s="530">
        <f t="shared" si="12"/>
        <v>0.33130970310920382</v>
      </c>
      <c r="K83" s="530">
        <f t="shared" si="12"/>
        <v>-0.97130692832706245</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1" activePane="bottomLeft" state="frozen"/>
      <selection activeCell="AF22" sqref="AF22"/>
      <selection pane="bottomLeft" activeCell="C88" sqref="C88"/>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201" t="s">
        <v>1799</v>
      </c>
      <c r="B1" s="452"/>
      <c r="C1" s="453" t="s">
        <v>425</v>
      </c>
      <c r="D1" s="453" t="s">
        <v>426</v>
      </c>
      <c r="E1" s="453" t="s">
        <v>427</v>
      </c>
      <c r="F1" s="453" t="s">
        <v>428</v>
      </c>
      <c r="G1" s="453" t="s">
        <v>429</v>
      </c>
      <c r="H1" s="453" t="s">
        <v>430</v>
      </c>
      <c r="I1" s="453" t="s">
        <v>431</v>
      </c>
      <c r="J1" s="453" t="s">
        <v>432</v>
      </c>
      <c r="K1" s="453" t="s">
        <v>756</v>
      </c>
    </row>
    <row r="2" spans="1:12" ht="36" x14ac:dyDescent="0.2">
      <c r="A2" s="2202"/>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52" t="s">
        <v>113</v>
      </c>
      <c r="B3" s="1553"/>
      <c r="C3" s="1554"/>
      <c r="D3" s="1554"/>
      <c r="E3" s="1554"/>
      <c r="F3" s="1555"/>
      <c r="G3" s="1556"/>
      <c r="H3" s="1555"/>
      <c r="I3" s="1555"/>
      <c r="J3" s="1555"/>
      <c r="K3" s="1557"/>
    </row>
    <row r="4" spans="1:12" ht="15.75" customHeight="1" x14ac:dyDescent="0.2">
      <c r="A4" s="1563" t="s">
        <v>379</v>
      </c>
      <c r="B4" s="1564">
        <v>1100</v>
      </c>
      <c r="C4" s="533"/>
      <c r="D4" s="533"/>
      <c r="E4" s="533"/>
      <c r="F4" s="534"/>
      <c r="G4" s="535"/>
      <c r="H4" s="536"/>
      <c r="I4" s="536"/>
      <c r="J4" s="536"/>
      <c r="K4" s="536"/>
    </row>
    <row r="5" spans="1:12" ht="15" x14ac:dyDescent="0.2">
      <c r="A5" s="486" t="s">
        <v>1661</v>
      </c>
      <c r="B5" s="537"/>
      <c r="C5" s="477">
        <v>13918317</v>
      </c>
      <c r="D5" s="477">
        <v>1984451</v>
      </c>
      <c r="E5" s="1927">
        <v>5055250</v>
      </c>
      <c r="F5" s="1935">
        <v>895344</v>
      </c>
      <c r="G5" s="1933">
        <v>343414</v>
      </c>
      <c r="H5" s="1933">
        <v>0</v>
      </c>
      <c r="I5" s="1933">
        <v>5052</v>
      </c>
      <c r="J5" s="1937">
        <v>191964</v>
      </c>
      <c r="K5" s="1936">
        <v>76</v>
      </c>
    </row>
    <row r="6" spans="1:12" ht="15" x14ac:dyDescent="0.2">
      <c r="A6" s="463" t="s">
        <v>1662</v>
      </c>
      <c r="B6" s="469">
        <v>1130</v>
      </c>
      <c r="C6" s="1927">
        <v>0</v>
      </c>
      <c r="D6" s="1927">
        <v>0</v>
      </c>
      <c r="E6" s="472"/>
      <c r="F6" s="472"/>
      <c r="G6" s="467"/>
      <c r="H6" s="467"/>
      <c r="I6" s="467"/>
      <c r="J6" s="467"/>
      <c r="K6" s="467"/>
    </row>
    <row r="7" spans="1:12" x14ac:dyDescent="0.2">
      <c r="A7" s="463" t="s">
        <v>110</v>
      </c>
      <c r="B7" s="538">
        <v>1140</v>
      </c>
      <c r="C7" s="1927">
        <v>76190</v>
      </c>
      <c r="D7" s="1927">
        <v>0</v>
      </c>
      <c r="E7" s="467"/>
      <c r="F7" s="1934">
        <v>0</v>
      </c>
      <c r="G7" s="1934">
        <v>0</v>
      </c>
      <c r="H7" s="1934">
        <v>0</v>
      </c>
      <c r="I7" s="467"/>
      <c r="J7" s="467"/>
      <c r="K7" s="467"/>
    </row>
    <row r="8" spans="1:12" x14ac:dyDescent="0.2">
      <c r="A8" s="463" t="s">
        <v>413</v>
      </c>
      <c r="B8" s="469">
        <v>1150</v>
      </c>
      <c r="C8" s="472"/>
      <c r="D8" s="472"/>
      <c r="E8" s="473"/>
      <c r="F8" s="473"/>
      <c r="G8" s="477">
        <v>343325</v>
      </c>
      <c r="H8" s="467"/>
      <c r="I8" s="467"/>
      <c r="J8" s="467"/>
      <c r="K8" s="467"/>
    </row>
    <row r="9" spans="1:12" x14ac:dyDescent="0.2">
      <c r="A9" s="471" t="s">
        <v>111</v>
      </c>
      <c r="B9" s="469">
        <v>1160</v>
      </c>
      <c r="C9" s="467"/>
      <c r="D9" s="1928">
        <v>0</v>
      </c>
      <c r="E9" s="1934">
        <v>0</v>
      </c>
      <c r="F9" s="468"/>
      <c r="G9" s="472"/>
      <c r="H9" s="1934">
        <v>0</v>
      </c>
      <c r="I9" s="467"/>
      <c r="J9" s="467"/>
      <c r="K9" s="467"/>
    </row>
    <row r="10" spans="1:12" x14ac:dyDescent="0.2">
      <c r="A10" s="471" t="s">
        <v>112</v>
      </c>
      <c r="B10" s="469">
        <v>1170</v>
      </c>
      <c r="C10" s="1928">
        <v>0</v>
      </c>
      <c r="D10" s="519"/>
      <c r="E10" s="519"/>
      <c r="F10" s="468"/>
      <c r="G10" s="467"/>
      <c r="H10" s="467"/>
      <c r="I10" s="467"/>
      <c r="J10" s="467"/>
      <c r="K10" s="467"/>
    </row>
    <row r="11" spans="1:12" x14ac:dyDescent="0.2">
      <c r="A11" s="471" t="s">
        <v>414</v>
      </c>
      <c r="B11" s="539">
        <v>1190</v>
      </c>
      <c r="C11" s="1932">
        <v>0</v>
      </c>
      <c r="D11" s="1927">
        <v>0</v>
      </c>
      <c r="E11" s="1933">
        <v>0</v>
      </c>
      <c r="F11" s="1933">
        <v>0</v>
      </c>
      <c r="G11" s="1933">
        <v>32999</v>
      </c>
      <c r="H11" s="1933">
        <v>0</v>
      </c>
      <c r="I11" s="1933">
        <v>0</v>
      </c>
      <c r="J11" s="1937">
        <v>0</v>
      </c>
      <c r="K11" s="1936">
        <v>0</v>
      </c>
      <c r="L11" s="540"/>
    </row>
    <row r="12" spans="1:12" ht="12.75" customHeight="1" thickBot="1" x14ac:dyDescent="0.25">
      <c r="A12" s="1678" t="s">
        <v>29</v>
      </c>
      <c r="B12" s="1679"/>
      <c r="C12" s="1680">
        <f t="shared" ref="C12:K12" si="0">SUM(C5:C11)</f>
        <v>13994507</v>
      </c>
      <c r="D12" s="1680">
        <f t="shared" si="0"/>
        <v>1984451</v>
      </c>
      <c r="E12" s="1680">
        <f t="shared" si="0"/>
        <v>5055250</v>
      </c>
      <c r="F12" s="1680">
        <f t="shared" si="0"/>
        <v>895344</v>
      </c>
      <c r="G12" s="1680">
        <f t="shared" si="0"/>
        <v>719738</v>
      </c>
      <c r="H12" s="1680">
        <f t="shared" si="0"/>
        <v>0</v>
      </c>
      <c r="I12" s="1680">
        <f t="shared" si="0"/>
        <v>5052</v>
      </c>
      <c r="J12" s="1680">
        <f t="shared" si="0"/>
        <v>191964</v>
      </c>
      <c r="K12" s="1661">
        <f t="shared" si="0"/>
        <v>76</v>
      </c>
    </row>
    <row r="13" spans="1:12" ht="15.75" customHeight="1" thickTop="1" x14ac:dyDescent="0.2">
      <c r="A13" s="1565" t="s">
        <v>451</v>
      </c>
      <c r="B13" s="1566">
        <v>1200</v>
      </c>
      <c r="C13" s="541"/>
      <c r="D13" s="541"/>
      <c r="E13" s="541"/>
      <c r="F13" s="541"/>
      <c r="G13" s="541"/>
      <c r="H13" s="541"/>
      <c r="I13" s="541"/>
      <c r="J13" s="541"/>
      <c r="K13" s="467"/>
    </row>
    <row r="14" spans="1:12" x14ac:dyDescent="0.2">
      <c r="A14" s="463" t="s">
        <v>3</v>
      </c>
      <c r="B14" s="469">
        <v>1210</v>
      </c>
      <c r="C14" s="1941">
        <v>0</v>
      </c>
      <c r="D14" s="1936">
        <v>0</v>
      </c>
      <c r="E14" s="1936">
        <v>0</v>
      </c>
      <c r="F14" s="1936">
        <v>0</v>
      </c>
      <c r="G14" s="1936">
        <v>0</v>
      </c>
      <c r="H14" s="1936">
        <v>0</v>
      </c>
      <c r="I14" s="1936">
        <v>0</v>
      </c>
      <c r="J14" s="1937">
        <v>0</v>
      </c>
      <c r="K14" s="1936">
        <v>0</v>
      </c>
    </row>
    <row r="15" spans="1:12" ht="12.75" customHeight="1" x14ac:dyDescent="0.2">
      <c r="A15" s="463" t="s">
        <v>95</v>
      </c>
      <c r="B15" s="469">
        <v>1220</v>
      </c>
      <c r="C15" s="1941">
        <v>0</v>
      </c>
      <c r="D15" s="1936">
        <v>0</v>
      </c>
      <c r="E15" s="1936">
        <v>0</v>
      </c>
      <c r="F15" s="1936">
        <v>0</v>
      </c>
      <c r="G15" s="1936">
        <v>0</v>
      </c>
      <c r="H15" s="1936">
        <v>0</v>
      </c>
      <c r="I15" s="1936">
        <v>0</v>
      </c>
      <c r="J15" s="1937">
        <v>0</v>
      </c>
      <c r="K15" s="1936">
        <v>0</v>
      </c>
    </row>
    <row r="16" spans="1:12" ht="15" customHeight="1" x14ac:dyDescent="0.2">
      <c r="A16" s="463" t="s">
        <v>1663</v>
      </c>
      <c r="B16" s="538">
        <v>1230</v>
      </c>
      <c r="C16" s="1941">
        <v>59085</v>
      </c>
      <c r="D16" s="1936">
        <v>0</v>
      </c>
      <c r="E16" s="1936">
        <v>0</v>
      </c>
      <c r="F16" s="1936">
        <v>0</v>
      </c>
      <c r="G16" s="1936">
        <v>21000</v>
      </c>
      <c r="H16" s="1936">
        <v>0</v>
      </c>
      <c r="I16" s="1936">
        <v>0</v>
      </c>
      <c r="J16" s="1937">
        <v>0</v>
      </c>
      <c r="K16" s="1936">
        <v>0</v>
      </c>
    </row>
    <row r="17" spans="1:11" ht="12.75" customHeight="1" x14ac:dyDescent="0.2">
      <c r="A17" s="463" t="s">
        <v>807</v>
      </c>
      <c r="B17" s="469">
        <v>1290</v>
      </c>
      <c r="C17" s="1941">
        <v>0</v>
      </c>
      <c r="D17" s="1936">
        <v>0</v>
      </c>
      <c r="E17" s="1936">
        <v>0</v>
      </c>
      <c r="F17" s="1936">
        <v>0</v>
      </c>
      <c r="G17" s="1936">
        <v>0</v>
      </c>
      <c r="H17" s="1936">
        <v>0</v>
      </c>
      <c r="I17" s="1936">
        <v>0</v>
      </c>
      <c r="J17" s="1937">
        <v>0</v>
      </c>
      <c r="K17" s="1936">
        <v>0</v>
      </c>
    </row>
    <row r="18" spans="1:11" ht="12.75" customHeight="1" thickBot="1" x14ac:dyDescent="0.25">
      <c r="A18" s="1681" t="s">
        <v>537</v>
      </c>
      <c r="B18" s="1682"/>
      <c r="C18" s="1683">
        <f>SUM(C14:C17)</f>
        <v>59085</v>
      </c>
      <c r="D18" s="1683">
        <f t="shared" ref="D18:K18" si="1">SUM(D14:D17)</f>
        <v>0</v>
      </c>
      <c r="E18" s="1683">
        <f t="shared" si="1"/>
        <v>0</v>
      </c>
      <c r="F18" s="1683">
        <f t="shared" si="1"/>
        <v>0</v>
      </c>
      <c r="G18" s="1683">
        <f t="shared" si="1"/>
        <v>21000</v>
      </c>
      <c r="H18" s="1683">
        <f t="shared" si="1"/>
        <v>0</v>
      </c>
      <c r="I18" s="1683">
        <f t="shared" si="1"/>
        <v>0</v>
      </c>
      <c r="J18" s="1683">
        <f t="shared" si="1"/>
        <v>0</v>
      </c>
      <c r="K18" s="1684">
        <f t="shared" si="1"/>
        <v>0</v>
      </c>
    </row>
    <row r="19" spans="1:11" ht="15.75" customHeight="1" thickTop="1" x14ac:dyDescent="0.2">
      <c r="A19" s="1565" t="s">
        <v>452</v>
      </c>
      <c r="B19" s="1566">
        <v>1300</v>
      </c>
      <c r="C19" s="542"/>
      <c r="D19" s="542"/>
      <c r="E19" s="542"/>
      <c r="F19" s="542"/>
      <c r="G19" s="541"/>
      <c r="H19" s="542"/>
      <c r="I19" s="542"/>
      <c r="J19" s="542"/>
      <c r="K19" s="543"/>
    </row>
    <row r="20" spans="1:11" x14ac:dyDescent="0.2">
      <c r="A20" s="463" t="s">
        <v>1073</v>
      </c>
      <c r="B20" s="469">
        <v>1311</v>
      </c>
      <c r="C20" s="1936">
        <v>0</v>
      </c>
      <c r="D20" s="467"/>
      <c r="E20" s="467"/>
      <c r="F20" s="467"/>
      <c r="G20" s="467"/>
      <c r="H20" s="467"/>
      <c r="I20" s="467"/>
      <c r="J20" s="467"/>
      <c r="K20" s="467"/>
    </row>
    <row r="21" spans="1:11" ht="12.75" customHeight="1" x14ac:dyDescent="0.2">
      <c r="A21" s="463" t="s">
        <v>832</v>
      </c>
      <c r="B21" s="469">
        <v>1312</v>
      </c>
      <c r="C21" s="1941">
        <v>0</v>
      </c>
      <c r="D21" s="467"/>
      <c r="E21" s="467"/>
      <c r="F21" s="467"/>
      <c r="G21" s="467"/>
      <c r="H21" s="467"/>
      <c r="I21" s="467"/>
      <c r="J21" s="467"/>
      <c r="K21" s="467"/>
    </row>
    <row r="22" spans="1:11" ht="12.75" customHeight="1" x14ac:dyDescent="0.2">
      <c r="A22" s="463" t="s">
        <v>1074</v>
      </c>
      <c r="B22" s="469">
        <v>1313</v>
      </c>
      <c r="C22" s="1941">
        <v>0</v>
      </c>
      <c r="D22" s="467"/>
      <c r="E22" s="467"/>
      <c r="F22" s="467"/>
      <c r="G22" s="467"/>
      <c r="H22" s="467"/>
      <c r="I22" s="467"/>
      <c r="J22" s="467"/>
      <c r="K22" s="467"/>
    </row>
    <row r="23" spans="1:11" ht="12.75" customHeight="1" x14ac:dyDescent="0.2">
      <c r="A23" s="463" t="s">
        <v>1075</v>
      </c>
      <c r="B23" s="469">
        <v>1314</v>
      </c>
      <c r="C23" s="1940">
        <v>0</v>
      </c>
      <c r="D23" s="467"/>
      <c r="E23" s="467"/>
      <c r="F23" s="467"/>
      <c r="G23" s="467"/>
      <c r="H23" s="467"/>
      <c r="I23" s="467"/>
      <c r="J23" s="467"/>
      <c r="K23" s="467"/>
    </row>
    <row r="24" spans="1:11" ht="12.75" customHeight="1" x14ac:dyDescent="0.2">
      <c r="A24" s="463" t="s">
        <v>1027</v>
      </c>
      <c r="B24" s="469">
        <v>1321</v>
      </c>
      <c r="C24" s="1941">
        <v>0</v>
      </c>
      <c r="D24" s="467"/>
      <c r="E24" s="467"/>
      <c r="F24" s="467"/>
      <c r="G24" s="467"/>
      <c r="H24" s="467"/>
      <c r="I24" s="467"/>
      <c r="J24" s="467"/>
      <c r="K24" s="467"/>
    </row>
    <row r="25" spans="1:11" ht="12.75" customHeight="1" x14ac:dyDescent="0.2">
      <c r="A25" s="463" t="s">
        <v>833</v>
      </c>
      <c r="B25" s="469">
        <v>1322</v>
      </c>
      <c r="C25" s="1941">
        <v>0</v>
      </c>
      <c r="D25" s="467"/>
      <c r="E25" s="467"/>
      <c r="F25" s="467"/>
      <c r="G25" s="467"/>
      <c r="H25" s="467"/>
      <c r="I25" s="467"/>
      <c r="J25" s="467"/>
      <c r="K25" s="467"/>
    </row>
    <row r="26" spans="1:11" ht="12.75" customHeight="1" x14ac:dyDescent="0.2">
      <c r="A26" s="463" t="s">
        <v>1101</v>
      </c>
      <c r="B26" s="469">
        <v>1323</v>
      </c>
      <c r="C26" s="1941">
        <v>0</v>
      </c>
      <c r="D26" s="467"/>
      <c r="E26" s="467"/>
      <c r="F26" s="467"/>
      <c r="G26" s="467"/>
      <c r="H26" s="467"/>
      <c r="I26" s="467"/>
      <c r="J26" s="467"/>
      <c r="K26" s="467"/>
    </row>
    <row r="27" spans="1:11" ht="12.75" customHeight="1" x14ac:dyDescent="0.2">
      <c r="A27" s="463" t="s">
        <v>1023</v>
      </c>
      <c r="B27" s="469">
        <v>1324</v>
      </c>
      <c r="C27" s="1940">
        <v>0</v>
      </c>
      <c r="D27" s="467"/>
      <c r="E27" s="467"/>
      <c r="F27" s="467"/>
      <c r="G27" s="467"/>
      <c r="H27" s="467"/>
      <c r="I27" s="467"/>
      <c r="J27" s="467"/>
      <c r="K27" s="467"/>
    </row>
    <row r="28" spans="1:11" ht="12.75" customHeight="1" x14ac:dyDescent="0.2">
      <c r="A28" s="463" t="s">
        <v>1024</v>
      </c>
      <c r="B28" s="469">
        <v>1331</v>
      </c>
      <c r="C28" s="1941">
        <v>0</v>
      </c>
      <c r="D28" s="467"/>
      <c r="E28" s="467"/>
      <c r="F28" s="467"/>
      <c r="G28" s="467"/>
      <c r="H28" s="467"/>
      <c r="I28" s="467"/>
      <c r="J28" s="467"/>
      <c r="K28" s="467"/>
    </row>
    <row r="29" spans="1:11" ht="12.75" customHeight="1" x14ac:dyDescent="0.2">
      <c r="A29" s="463" t="s">
        <v>834</v>
      </c>
      <c r="B29" s="469">
        <v>1332</v>
      </c>
      <c r="C29" s="1941">
        <v>0</v>
      </c>
      <c r="D29" s="467"/>
      <c r="E29" s="467"/>
      <c r="F29" s="467"/>
      <c r="G29" s="467"/>
      <c r="H29" s="467"/>
      <c r="I29" s="467"/>
      <c r="J29" s="467"/>
      <c r="K29" s="467"/>
    </row>
    <row r="30" spans="1:11" ht="12.75" customHeight="1" x14ac:dyDescent="0.2">
      <c r="A30" s="463" t="s">
        <v>1026</v>
      </c>
      <c r="B30" s="469">
        <v>1333</v>
      </c>
      <c r="C30" s="1941">
        <v>0</v>
      </c>
      <c r="D30" s="467"/>
      <c r="E30" s="467"/>
      <c r="F30" s="467"/>
      <c r="G30" s="467"/>
      <c r="H30" s="467"/>
      <c r="I30" s="467"/>
      <c r="J30" s="467"/>
      <c r="K30" s="467"/>
    </row>
    <row r="31" spans="1:11" ht="12.75" customHeight="1" x14ac:dyDescent="0.2">
      <c r="A31" s="463" t="s">
        <v>1025</v>
      </c>
      <c r="B31" s="469">
        <v>1334</v>
      </c>
      <c r="C31" s="1940">
        <v>0</v>
      </c>
      <c r="D31" s="467"/>
      <c r="E31" s="467"/>
      <c r="F31" s="467"/>
      <c r="G31" s="467"/>
      <c r="H31" s="467"/>
      <c r="I31" s="467"/>
      <c r="J31" s="467"/>
      <c r="K31" s="467"/>
    </row>
    <row r="32" spans="1:11" ht="12.75" customHeight="1" x14ac:dyDescent="0.2">
      <c r="A32" s="463" t="s">
        <v>494</v>
      </c>
      <c r="B32" s="469">
        <v>1341</v>
      </c>
      <c r="C32" s="1941">
        <v>0</v>
      </c>
      <c r="D32" s="467"/>
      <c r="E32" s="467"/>
      <c r="F32" s="467"/>
      <c r="G32" s="467"/>
      <c r="H32" s="467"/>
      <c r="I32" s="467"/>
      <c r="J32" s="467"/>
      <c r="K32" s="467"/>
    </row>
    <row r="33" spans="1:11" ht="12.75" customHeight="1" x14ac:dyDescent="0.2">
      <c r="A33" s="463" t="s">
        <v>835</v>
      </c>
      <c r="B33" s="469">
        <v>1342</v>
      </c>
      <c r="C33" s="1941">
        <v>0</v>
      </c>
      <c r="D33" s="467"/>
      <c r="E33" s="467"/>
      <c r="F33" s="467"/>
      <c r="G33" s="467"/>
      <c r="H33" s="467"/>
      <c r="I33" s="467"/>
      <c r="J33" s="467"/>
      <c r="K33" s="467"/>
    </row>
    <row r="34" spans="1:11" ht="12.75" customHeight="1" x14ac:dyDescent="0.2">
      <c r="A34" s="463" t="s">
        <v>495</v>
      </c>
      <c r="B34" s="469">
        <v>1343</v>
      </c>
      <c r="C34" s="1941">
        <v>0</v>
      </c>
      <c r="D34" s="467"/>
      <c r="E34" s="467"/>
      <c r="F34" s="467"/>
      <c r="G34" s="467"/>
      <c r="H34" s="467"/>
      <c r="I34" s="467"/>
      <c r="J34" s="467"/>
      <c r="K34" s="467"/>
    </row>
    <row r="35" spans="1:11" ht="12.75" customHeight="1" x14ac:dyDescent="0.2">
      <c r="A35" s="463" t="s">
        <v>493</v>
      </c>
      <c r="B35" s="469">
        <v>1344</v>
      </c>
      <c r="C35" s="1940">
        <v>0</v>
      </c>
      <c r="D35" s="467"/>
      <c r="E35" s="467"/>
      <c r="F35" s="467"/>
      <c r="G35" s="467"/>
      <c r="H35" s="467"/>
      <c r="I35" s="467"/>
      <c r="J35" s="467"/>
      <c r="K35" s="467"/>
    </row>
    <row r="36" spans="1:11" ht="12.75" customHeight="1" x14ac:dyDescent="0.2">
      <c r="A36" s="463" t="s">
        <v>831</v>
      </c>
      <c r="B36" s="469">
        <v>1351</v>
      </c>
      <c r="C36" s="1941">
        <v>0</v>
      </c>
      <c r="D36" s="467"/>
      <c r="E36" s="467"/>
      <c r="F36" s="467"/>
      <c r="G36" s="467"/>
      <c r="H36" s="467"/>
      <c r="I36" s="467"/>
      <c r="J36" s="467"/>
      <c r="K36" s="467"/>
    </row>
    <row r="37" spans="1:11" ht="12.75" customHeight="1" x14ac:dyDescent="0.2">
      <c r="A37" s="463" t="s">
        <v>836</v>
      </c>
      <c r="B37" s="469">
        <v>1352</v>
      </c>
      <c r="C37" s="1941">
        <v>0</v>
      </c>
      <c r="D37" s="467"/>
      <c r="E37" s="467"/>
      <c r="F37" s="467"/>
      <c r="G37" s="467"/>
      <c r="H37" s="467"/>
      <c r="I37" s="467"/>
      <c r="J37" s="467"/>
      <c r="K37" s="467"/>
    </row>
    <row r="38" spans="1:11" ht="12.75" customHeight="1" x14ac:dyDescent="0.2">
      <c r="A38" s="463" t="s">
        <v>593</v>
      </c>
      <c r="B38" s="469">
        <v>1353</v>
      </c>
      <c r="C38" s="1941">
        <v>0</v>
      </c>
      <c r="D38" s="467"/>
      <c r="E38" s="467"/>
      <c r="F38" s="467"/>
      <c r="G38" s="467"/>
      <c r="H38" s="467"/>
      <c r="I38" s="467"/>
      <c r="J38" s="467"/>
      <c r="K38" s="467"/>
    </row>
    <row r="39" spans="1:11" ht="12.75" customHeight="1" x14ac:dyDescent="0.2">
      <c r="A39" s="1468" t="s">
        <v>594</v>
      </c>
      <c r="B39" s="544">
        <v>1354</v>
      </c>
      <c r="C39" s="1940">
        <v>0</v>
      </c>
      <c r="D39" s="467"/>
      <c r="E39" s="467"/>
      <c r="F39" s="467"/>
      <c r="G39" s="467"/>
      <c r="H39" s="467"/>
      <c r="I39" s="467"/>
      <c r="J39" s="467"/>
      <c r="K39" s="467"/>
    </row>
    <row r="40" spans="1:11" ht="12.75" customHeight="1" thickBot="1" x14ac:dyDescent="0.25">
      <c r="A40" s="1681" t="s">
        <v>538</v>
      </c>
      <c r="B40" s="1682"/>
      <c r="C40" s="1661">
        <f>SUM(C20:C39)</f>
        <v>0</v>
      </c>
      <c r="D40" s="467"/>
      <c r="E40" s="467"/>
      <c r="F40" s="467"/>
      <c r="G40" s="467"/>
      <c r="H40" s="467"/>
      <c r="I40" s="467"/>
      <c r="J40" s="467"/>
      <c r="K40" s="467"/>
    </row>
    <row r="41" spans="1:11" ht="15.75" customHeight="1" thickTop="1" x14ac:dyDescent="0.2">
      <c r="A41" s="1565" t="s">
        <v>274</v>
      </c>
      <c r="B41" s="1566">
        <v>1400</v>
      </c>
      <c r="C41" s="467"/>
      <c r="D41" s="467"/>
      <c r="E41" s="467"/>
      <c r="F41" s="514"/>
      <c r="G41" s="467"/>
      <c r="H41" s="467"/>
      <c r="I41" s="467"/>
      <c r="J41" s="467"/>
      <c r="K41" s="467"/>
    </row>
    <row r="42" spans="1:11" ht="12.75" customHeight="1" x14ac:dyDescent="0.2">
      <c r="A42" s="463" t="s">
        <v>1076</v>
      </c>
      <c r="B42" s="469">
        <v>1411</v>
      </c>
      <c r="C42" s="467"/>
      <c r="D42" s="467"/>
      <c r="E42" s="467"/>
      <c r="F42" s="477">
        <v>0</v>
      </c>
      <c r="G42" s="467"/>
      <c r="H42" s="467"/>
      <c r="I42" s="467"/>
      <c r="J42" s="467"/>
      <c r="K42" s="467"/>
    </row>
    <row r="43" spans="1:11" ht="12.75" customHeight="1" x14ac:dyDescent="0.2">
      <c r="A43" s="463" t="s">
        <v>837</v>
      </c>
      <c r="B43" s="469">
        <v>1412</v>
      </c>
      <c r="C43" s="467"/>
      <c r="D43" s="467"/>
      <c r="E43" s="467"/>
      <c r="F43" s="1936">
        <v>0</v>
      </c>
      <c r="G43" s="467"/>
      <c r="H43" s="467"/>
      <c r="I43" s="467"/>
      <c r="J43" s="467"/>
      <c r="K43" s="467"/>
    </row>
    <row r="44" spans="1:11" ht="12.75" customHeight="1" x14ac:dyDescent="0.2">
      <c r="A44" s="463" t="s">
        <v>384</v>
      </c>
      <c r="B44" s="469">
        <v>1413</v>
      </c>
      <c r="C44" s="467"/>
      <c r="D44" s="467"/>
      <c r="E44" s="467"/>
      <c r="F44" s="1936">
        <v>0</v>
      </c>
      <c r="G44" s="467"/>
      <c r="H44" s="467"/>
      <c r="I44" s="467"/>
      <c r="J44" s="467"/>
      <c r="K44" s="467"/>
    </row>
    <row r="45" spans="1:11" ht="12.75" customHeight="1" x14ac:dyDescent="0.2">
      <c r="A45" s="463" t="s">
        <v>240</v>
      </c>
      <c r="B45" s="469">
        <v>1415</v>
      </c>
      <c r="C45" s="467"/>
      <c r="D45" s="467"/>
      <c r="E45" s="467"/>
      <c r="F45" s="1936">
        <v>0</v>
      </c>
      <c r="G45" s="467"/>
      <c r="H45" s="467"/>
      <c r="I45" s="467"/>
      <c r="J45" s="467"/>
      <c r="K45" s="467"/>
    </row>
    <row r="46" spans="1:11" ht="12.75" customHeight="1" x14ac:dyDescent="0.2">
      <c r="A46" s="463" t="s">
        <v>1174</v>
      </c>
      <c r="B46" s="469">
        <v>1416</v>
      </c>
      <c r="C46" s="467"/>
      <c r="D46" s="467"/>
      <c r="E46" s="467"/>
      <c r="F46" s="1937">
        <v>0</v>
      </c>
      <c r="G46" s="467"/>
      <c r="H46" s="467"/>
      <c r="I46" s="467"/>
      <c r="J46" s="467"/>
      <c r="K46" s="467"/>
    </row>
    <row r="47" spans="1:11" ht="12.75" customHeight="1" x14ac:dyDescent="0.2">
      <c r="A47" s="463" t="s">
        <v>57</v>
      </c>
      <c r="B47" s="469">
        <v>1421</v>
      </c>
      <c r="C47" s="467"/>
      <c r="D47" s="467"/>
      <c r="E47" s="467"/>
      <c r="F47" s="1936">
        <v>0</v>
      </c>
      <c r="G47" s="467"/>
      <c r="H47" s="467"/>
      <c r="I47" s="467"/>
      <c r="J47" s="467"/>
      <c r="K47" s="467"/>
    </row>
    <row r="48" spans="1:11" ht="12.75" customHeight="1" x14ac:dyDescent="0.2">
      <c r="A48" s="463" t="s">
        <v>838</v>
      </c>
      <c r="B48" s="469">
        <v>1422</v>
      </c>
      <c r="C48" s="467"/>
      <c r="D48" s="467"/>
      <c r="E48" s="467"/>
      <c r="F48" s="1936">
        <v>0</v>
      </c>
      <c r="G48" s="467"/>
      <c r="H48" s="467"/>
      <c r="I48" s="467"/>
      <c r="J48" s="467"/>
      <c r="K48" s="467"/>
    </row>
    <row r="49" spans="1:11" ht="12.75" customHeight="1" x14ac:dyDescent="0.2">
      <c r="A49" s="463" t="s">
        <v>58</v>
      </c>
      <c r="B49" s="469">
        <v>1423</v>
      </c>
      <c r="C49" s="467"/>
      <c r="D49" s="467"/>
      <c r="E49" s="467"/>
      <c r="F49" s="1936">
        <v>0</v>
      </c>
      <c r="G49" s="467"/>
      <c r="H49" s="467"/>
      <c r="I49" s="467"/>
      <c r="J49" s="467"/>
      <c r="K49" s="467"/>
    </row>
    <row r="50" spans="1:11" ht="12.75" customHeight="1" x14ac:dyDescent="0.2">
      <c r="A50" s="463" t="s">
        <v>59</v>
      </c>
      <c r="B50" s="469">
        <v>1424</v>
      </c>
      <c r="C50" s="467"/>
      <c r="D50" s="467"/>
      <c r="E50" s="467"/>
      <c r="F50" s="1937">
        <v>0</v>
      </c>
      <c r="G50" s="467"/>
      <c r="H50" s="467"/>
      <c r="I50" s="467"/>
      <c r="J50" s="467"/>
      <c r="K50" s="467"/>
    </row>
    <row r="51" spans="1:11" ht="12.75" customHeight="1" x14ac:dyDescent="0.2">
      <c r="A51" s="1469" t="s">
        <v>60</v>
      </c>
      <c r="B51" s="545">
        <v>1431</v>
      </c>
      <c r="C51" s="467"/>
      <c r="D51" s="467"/>
      <c r="E51" s="467"/>
      <c r="F51" s="1936">
        <v>0</v>
      </c>
      <c r="G51" s="467"/>
      <c r="H51" s="467"/>
      <c r="I51" s="467"/>
      <c r="J51" s="467"/>
      <c r="K51" s="467"/>
    </row>
    <row r="52" spans="1:11" ht="12.75" customHeight="1" x14ac:dyDescent="0.2">
      <c r="A52" s="1469" t="s">
        <v>1106</v>
      </c>
      <c r="B52" s="545">
        <v>1432</v>
      </c>
      <c r="C52" s="467"/>
      <c r="D52" s="467"/>
      <c r="E52" s="467"/>
      <c r="F52" s="1936">
        <v>0</v>
      </c>
      <c r="G52" s="467"/>
      <c r="H52" s="467"/>
      <c r="I52" s="467"/>
      <c r="J52" s="467"/>
      <c r="K52" s="467"/>
    </row>
    <row r="53" spans="1:11" ht="12.75" customHeight="1" x14ac:dyDescent="0.2">
      <c r="A53" s="1469" t="s">
        <v>61</v>
      </c>
      <c r="B53" s="545">
        <v>1433</v>
      </c>
      <c r="C53" s="467"/>
      <c r="D53" s="467"/>
      <c r="E53" s="467"/>
      <c r="F53" s="1936">
        <v>0</v>
      </c>
      <c r="G53" s="467"/>
      <c r="H53" s="467"/>
      <c r="I53" s="467"/>
      <c r="J53" s="467"/>
      <c r="K53" s="467"/>
    </row>
    <row r="54" spans="1:11" ht="12.75" customHeight="1" x14ac:dyDescent="0.2">
      <c r="A54" s="1469" t="s">
        <v>62</v>
      </c>
      <c r="B54" s="545">
        <v>1434</v>
      </c>
      <c r="C54" s="467"/>
      <c r="D54" s="467"/>
      <c r="E54" s="467"/>
      <c r="F54" s="1937">
        <v>0</v>
      </c>
      <c r="G54" s="467"/>
      <c r="H54" s="467"/>
      <c r="I54" s="467"/>
      <c r="J54" s="467"/>
      <c r="K54" s="467"/>
    </row>
    <row r="55" spans="1:11" ht="12.75" customHeight="1" x14ac:dyDescent="0.2">
      <c r="A55" s="1469" t="s">
        <v>63</v>
      </c>
      <c r="B55" s="545">
        <v>1441</v>
      </c>
      <c r="C55" s="467"/>
      <c r="D55" s="467"/>
      <c r="E55" s="467"/>
      <c r="F55" s="1936">
        <v>0</v>
      </c>
      <c r="G55" s="467"/>
      <c r="H55" s="467"/>
      <c r="I55" s="467"/>
      <c r="J55" s="467"/>
      <c r="K55" s="467"/>
    </row>
    <row r="56" spans="1:11" ht="12.75" customHeight="1" x14ac:dyDescent="0.2">
      <c r="A56" s="1469" t="s">
        <v>1107</v>
      </c>
      <c r="B56" s="545">
        <v>1442</v>
      </c>
      <c r="C56" s="467"/>
      <c r="D56" s="467"/>
      <c r="E56" s="467"/>
      <c r="F56" s="1936">
        <v>0</v>
      </c>
      <c r="G56" s="467"/>
      <c r="H56" s="467"/>
      <c r="I56" s="467"/>
      <c r="J56" s="467"/>
      <c r="K56" s="467"/>
    </row>
    <row r="57" spans="1:11" ht="12.75" customHeight="1" x14ac:dyDescent="0.2">
      <c r="A57" s="1469" t="s">
        <v>489</v>
      </c>
      <c r="B57" s="545">
        <v>1443</v>
      </c>
      <c r="C57" s="467"/>
      <c r="D57" s="467"/>
      <c r="E57" s="467"/>
      <c r="F57" s="1936">
        <v>0</v>
      </c>
      <c r="G57" s="467"/>
      <c r="H57" s="467"/>
      <c r="I57" s="467"/>
      <c r="J57" s="467"/>
      <c r="K57" s="467"/>
    </row>
    <row r="58" spans="1:11" ht="12.75" customHeight="1" x14ac:dyDescent="0.2">
      <c r="A58" s="1469" t="s">
        <v>65</v>
      </c>
      <c r="B58" s="545">
        <v>1444</v>
      </c>
      <c r="C58" s="467"/>
      <c r="D58" s="467"/>
      <c r="E58" s="467"/>
      <c r="F58" s="1936">
        <v>0</v>
      </c>
      <c r="G58" s="467"/>
      <c r="H58" s="467"/>
      <c r="I58" s="467"/>
      <c r="J58" s="467"/>
      <c r="K58" s="467"/>
    </row>
    <row r="59" spans="1:11" ht="12.75" customHeight="1" x14ac:dyDescent="0.2">
      <c r="A59" s="1469" t="s">
        <v>878</v>
      </c>
      <c r="B59" s="545">
        <v>1451</v>
      </c>
      <c r="C59" s="467"/>
      <c r="D59" s="467"/>
      <c r="E59" s="467"/>
      <c r="F59" s="1936">
        <v>0</v>
      </c>
      <c r="G59" s="467"/>
      <c r="H59" s="467"/>
      <c r="I59" s="467"/>
      <c r="J59" s="467"/>
      <c r="K59" s="467"/>
    </row>
    <row r="60" spans="1:11" ht="12.75" customHeight="1" x14ac:dyDescent="0.2">
      <c r="A60" s="1469" t="s">
        <v>1108</v>
      </c>
      <c r="B60" s="545">
        <v>1452</v>
      </c>
      <c r="C60" s="467"/>
      <c r="D60" s="467"/>
      <c r="E60" s="467"/>
      <c r="F60" s="1936">
        <v>0</v>
      </c>
      <c r="G60" s="467"/>
      <c r="H60" s="467"/>
      <c r="I60" s="467"/>
      <c r="J60" s="467"/>
      <c r="K60" s="467"/>
    </row>
    <row r="61" spans="1:11" ht="12.75" customHeight="1" x14ac:dyDescent="0.2">
      <c r="A61" s="551" t="s">
        <v>879</v>
      </c>
      <c r="B61" s="545">
        <v>1453</v>
      </c>
      <c r="C61" s="467"/>
      <c r="D61" s="467"/>
      <c r="E61" s="467"/>
      <c r="F61" s="1936">
        <v>0</v>
      </c>
      <c r="G61" s="467"/>
      <c r="H61" s="467"/>
      <c r="I61" s="467"/>
      <c r="J61" s="467"/>
      <c r="K61" s="467"/>
    </row>
    <row r="62" spans="1:11" ht="12.75" customHeight="1" x14ac:dyDescent="0.2">
      <c r="A62" s="1470" t="s">
        <v>880</v>
      </c>
      <c r="B62" s="546">
        <v>1454</v>
      </c>
      <c r="C62" s="467"/>
      <c r="D62" s="467"/>
      <c r="E62" s="467"/>
      <c r="F62" s="1937">
        <v>0</v>
      </c>
      <c r="G62" s="467"/>
      <c r="H62" s="467"/>
      <c r="I62" s="467"/>
      <c r="J62" s="467"/>
      <c r="K62" s="467"/>
    </row>
    <row r="63" spans="1:11" ht="12.75" customHeight="1" thickBot="1" x14ac:dyDescent="0.25">
      <c r="A63" s="1681" t="s">
        <v>485</v>
      </c>
      <c r="B63" s="1682"/>
      <c r="C63" s="467"/>
      <c r="D63" s="467"/>
      <c r="E63" s="467"/>
      <c r="F63" s="1661">
        <f>SUM(F42:F62)</f>
        <v>0</v>
      </c>
      <c r="G63" s="467"/>
      <c r="H63" s="467"/>
      <c r="I63" s="467"/>
      <c r="J63" s="467"/>
      <c r="K63" s="467"/>
    </row>
    <row r="64" spans="1:11" ht="15.75" customHeight="1" thickTop="1" x14ac:dyDescent="0.2">
      <c r="A64" s="1565" t="s">
        <v>454</v>
      </c>
      <c r="B64" s="1566">
        <v>1500</v>
      </c>
      <c r="C64" s="467"/>
      <c r="D64" s="467"/>
      <c r="E64" s="467"/>
      <c r="F64" s="467"/>
      <c r="G64" s="467"/>
      <c r="H64" s="467"/>
      <c r="I64" s="467"/>
      <c r="J64" s="467"/>
      <c r="K64" s="467"/>
    </row>
    <row r="65" spans="1:11" ht="12.75" customHeight="1" x14ac:dyDescent="0.2">
      <c r="A65" s="463" t="s">
        <v>547</v>
      </c>
      <c r="B65" s="469">
        <v>1510</v>
      </c>
      <c r="C65" s="1936">
        <v>247988</v>
      </c>
      <c r="D65" s="1936">
        <v>30964</v>
      </c>
      <c r="E65" s="1936">
        <v>16854</v>
      </c>
      <c r="F65" s="1937">
        <v>7595</v>
      </c>
      <c r="G65" s="1936">
        <v>2448</v>
      </c>
      <c r="H65" s="1936">
        <v>1312</v>
      </c>
      <c r="I65" s="1936">
        <v>44059</v>
      </c>
      <c r="J65" s="1937">
        <v>1902</v>
      </c>
      <c r="K65" s="1936">
        <v>19067</v>
      </c>
    </row>
    <row r="66" spans="1:11" ht="12.75" customHeight="1" x14ac:dyDescent="0.2">
      <c r="A66" s="463" t="s">
        <v>679</v>
      </c>
      <c r="B66" s="469">
        <v>1520</v>
      </c>
      <c r="C66" s="1936">
        <v>0</v>
      </c>
      <c r="D66" s="1936">
        <v>0</v>
      </c>
      <c r="E66" s="1936">
        <v>0</v>
      </c>
      <c r="F66" s="1936">
        <v>0</v>
      </c>
      <c r="G66" s="1936">
        <v>0</v>
      </c>
      <c r="H66" s="1936">
        <v>0</v>
      </c>
      <c r="I66" s="1936">
        <v>0</v>
      </c>
      <c r="J66" s="1937">
        <v>0</v>
      </c>
      <c r="K66" s="1936">
        <v>0</v>
      </c>
    </row>
    <row r="67" spans="1:11" ht="12.75" customHeight="1" thickBot="1" x14ac:dyDescent="0.25">
      <c r="A67" s="1681" t="s">
        <v>486</v>
      </c>
      <c r="B67" s="1682"/>
      <c r="C67" s="1661">
        <f>SUM(C65:C66)</f>
        <v>247988</v>
      </c>
      <c r="D67" s="1661">
        <f t="shared" ref="D67:K67" si="2">SUM(D65:D66)</f>
        <v>30964</v>
      </c>
      <c r="E67" s="1661">
        <f t="shared" si="2"/>
        <v>16854</v>
      </c>
      <c r="F67" s="1661">
        <f t="shared" si="2"/>
        <v>7595</v>
      </c>
      <c r="G67" s="1661">
        <f t="shared" si="2"/>
        <v>2448</v>
      </c>
      <c r="H67" s="1661">
        <f t="shared" si="2"/>
        <v>1312</v>
      </c>
      <c r="I67" s="1661">
        <f t="shared" si="2"/>
        <v>44059</v>
      </c>
      <c r="J67" s="1661">
        <f t="shared" si="2"/>
        <v>1902</v>
      </c>
      <c r="K67" s="1661">
        <f t="shared" si="2"/>
        <v>19067</v>
      </c>
    </row>
    <row r="68" spans="1:11" ht="15.75" customHeight="1" thickTop="1" x14ac:dyDescent="0.2">
      <c r="A68" s="1565" t="s">
        <v>455</v>
      </c>
      <c r="B68" s="1567">
        <v>1600</v>
      </c>
      <c r="C68" s="541"/>
      <c r="D68" s="467"/>
      <c r="E68" s="467"/>
      <c r="F68" s="467"/>
      <c r="G68" s="467"/>
      <c r="H68" s="467"/>
      <c r="I68" s="467"/>
      <c r="J68" s="467"/>
      <c r="K68" s="467"/>
    </row>
    <row r="69" spans="1:11" ht="12.75" customHeight="1" x14ac:dyDescent="0.2">
      <c r="A69" s="463" t="s">
        <v>666</v>
      </c>
      <c r="B69" s="469">
        <v>1611</v>
      </c>
      <c r="C69" s="1936">
        <v>340063</v>
      </c>
      <c r="D69" s="467"/>
      <c r="E69" s="467"/>
      <c r="F69" s="467"/>
      <c r="G69" s="467"/>
      <c r="H69" s="467"/>
      <c r="I69" s="467"/>
      <c r="J69" s="467"/>
      <c r="K69" s="467"/>
    </row>
    <row r="70" spans="1:11" ht="12.75" customHeight="1" x14ac:dyDescent="0.2">
      <c r="A70" s="463" t="s">
        <v>997</v>
      </c>
      <c r="B70" s="469">
        <v>1612</v>
      </c>
      <c r="C70" s="1941">
        <v>0</v>
      </c>
      <c r="D70" s="467"/>
      <c r="E70" s="467"/>
      <c r="F70" s="467"/>
      <c r="G70" s="467"/>
      <c r="H70" s="467"/>
      <c r="I70" s="467"/>
      <c r="J70" s="467"/>
      <c r="K70" s="467"/>
    </row>
    <row r="71" spans="1:11" ht="12.75" customHeight="1" x14ac:dyDescent="0.2">
      <c r="A71" s="463" t="s">
        <v>273</v>
      </c>
      <c r="B71" s="469">
        <v>1613</v>
      </c>
      <c r="C71" s="1941">
        <v>4819</v>
      </c>
      <c r="D71" s="467"/>
      <c r="E71" s="467"/>
      <c r="F71" s="467"/>
      <c r="G71" s="467"/>
      <c r="H71" s="467"/>
      <c r="I71" s="467"/>
      <c r="J71" s="467"/>
      <c r="K71" s="467"/>
    </row>
    <row r="72" spans="1:11" ht="12.75" customHeight="1" x14ac:dyDescent="0.2">
      <c r="A72" s="463" t="s">
        <v>24</v>
      </c>
      <c r="B72" s="469">
        <v>1614</v>
      </c>
      <c r="C72" s="1941">
        <v>0</v>
      </c>
      <c r="D72" s="467"/>
      <c r="E72" s="467"/>
      <c r="F72" s="467"/>
      <c r="G72" s="467"/>
      <c r="H72" s="467"/>
      <c r="I72" s="467"/>
      <c r="J72" s="467"/>
      <c r="K72" s="467"/>
    </row>
    <row r="73" spans="1:11" ht="12.75" customHeight="1" x14ac:dyDescent="0.2">
      <c r="A73" s="463" t="s">
        <v>998</v>
      </c>
      <c r="B73" s="469">
        <v>1620</v>
      </c>
      <c r="C73" s="1941">
        <v>1888</v>
      </c>
      <c r="D73" s="467"/>
      <c r="E73" s="467"/>
      <c r="F73" s="467"/>
      <c r="G73" s="467"/>
      <c r="H73" s="467"/>
      <c r="I73" s="467"/>
      <c r="J73" s="467"/>
      <c r="K73" s="467"/>
    </row>
    <row r="74" spans="1:11" ht="12.75" customHeight="1" x14ac:dyDescent="0.2">
      <c r="A74" s="463" t="s">
        <v>25</v>
      </c>
      <c r="B74" s="469">
        <v>1690</v>
      </c>
      <c r="C74" s="1941">
        <v>0</v>
      </c>
      <c r="D74" s="467"/>
      <c r="E74" s="467"/>
      <c r="F74" s="467"/>
      <c r="G74" s="467"/>
      <c r="H74" s="467"/>
      <c r="I74" s="467"/>
      <c r="J74" s="467"/>
      <c r="K74" s="467"/>
    </row>
    <row r="75" spans="1:11" ht="12.75" customHeight="1" thickBot="1" x14ac:dyDescent="0.25">
      <c r="A75" s="1681" t="s">
        <v>548</v>
      </c>
      <c r="B75" s="1682"/>
      <c r="C75" s="1661">
        <f>SUM(C69:C74)</f>
        <v>346770</v>
      </c>
      <c r="D75" s="467"/>
      <c r="E75" s="467"/>
      <c r="F75" s="467"/>
      <c r="G75" s="467"/>
      <c r="H75" s="467"/>
      <c r="I75" s="467"/>
      <c r="J75" s="467"/>
      <c r="K75" s="467"/>
    </row>
    <row r="76" spans="1:11" ht="15.75" customHeight="1" thickTop="1" x14ac:dyDescent="0.2">
      <c r="A76" s="1565" t="s">
        <v>881</v>
      </c>
      <c r="B76" s="1567">
        <v>1700</v>
      </c>
      <c r="C76" s="541"/>
      <c r="D76" s="467"/>
      <c r="E76" s="467"/>
      <c r="F76" s="467"/>
      <c r="G76" s="467"/>
      <c r="H76" s="467"/>
      <c r="I76" s="467"/>
      <c r="J76" s="467"/>
      <c r="K76" s="467"/>
    </row>
    <row r="77" spans="1:11" ht="12.75" customHeight="1" x14ac:dyDescent="0.2">
      <c r="A77" s="463" t="s">
        <v>549</v>
      </c>
      <c r="B77" s="469">
        <v>1711</v>
      </c>
      <c r="C77" s="509">
        <v>2030</v>
      </c>
      <c r="D77" s="1936">
        <v>0</v>
      </c>
      <c r="E77" s="467"/>
      <c r="F77" s="467"/>
      <c r="G77" s="467"/>
      <c r="H77" s="467"/>
      <c r="I77" s="467"/>
      <c r="J77" s="467"/>
      <c r="K77" s="467"/>
    </row>
    <row r="78" spans="1:11" ht="12.75" customHeight="1" x14ac:dyDescent="0.2">
      <c r="A78" s="463" t="s">
        <v>76</v>
      </c>
      <c r="B78" s="469">
        <v>1719</v>
      </c>
      <c r="C78" s="1941">
        <v>0</v>
      </c>
      <c r="D78" s="1936">
        <v>0</v>
      </c>
      <c r="E78" s="467"/>
      <c r="F78" s="467"/>
      <c r="G78" s="467"/>
      <c r="H78" s="467"/>
      <c r="I78" s="467"/>
      <c r="J78" s="467"/>
      <c r="K78" s="467"/>
    </row>
    <row r="79" spans="1:11" ht="12.75" customHeight="1" x14ac:dyDescent="0.2">
      <c r="A79" s="463" t="s">
        <v>550</v>
      </c>
      <c r="B79" s="469">
        <v>1720</v>
      </c>
      <c r="C79" s="1941">
        <v>116070</v>
      </c>
      <c r="D79" s="1936">
        <v>0</v>
      </c>
      <c r="E79" s="467"/>
      <c r="F79" s="467"/>
      <c r="G79" s="467"/>
      <c r="H79" s="467"/>
      <c r="I79" s="467"/>
      <c r="J79" s="467"/>
      <c r="K79" s="467"/>
    </row>
    <row r="80" spans="1:11" ht="12.75" customHeight="1" x14ac:dyDescent="0.2">
      <c r="A80" s="463" t="s">
        <v>551</v>
      </c>
      <c r="B80" s="469">
        <v>1730</v>
      </c>
      <c r="C80" s="1941">
        <v>0</v>
      </c>
      <c r="D80" s="1936">
        <v>0</v>
      </c>
      <c r="E80" s="467"/>
      <c r="F80" s="467"/>
      <c r="G80" s="467"/>
      <c r="H80" s="467"/>
      <c r="I80" s="467"/>
      <c r="J80" s="467"/>
      <c r="K80" s="467"/>
    </row>
    <row r="81" spans="1:11" ht="12.75" customHeight="1" x14ac:dyDescent="0.2">
      <c r="A81" s="463" t="s">
        <v>26</v>
      </c>
      <c r="B81" s="469">
        <v>1790</v>
      </c>
      <c r="C81" s="1941">
        <v>161116</v>
      </c>
      <c r="D81" s="1936">
        <v>0</v>
      </c>
      <c r="E81" s="467"/>
      <c r="F81" s="467"/>
      <c r="G81" s="467"/>
      <c r="H81" s="467"/>
      <c r="I81" s="467"/>
      <c r="J81" s="467"/>
      <c r="K81" s="467"/>
    </row>
    <row r="82" spans="1:11" ht="12.75" customHeight="1" thickBot="1" x14ac:dyDescent="0.25">
      <c r="A82" s="1681" t="s">
        <v>241</v>
      </c>
      <c r="B82" s="1682"/>
      <c r="C82" s="1680">
        <f>SUM(C77:C81)</f>
        <v>279216</v>
      </c>
      <c r="D82" s="1661">
        <f>SUM(D77:D81)</f>
        <v>0</v>
      </c>
      <c r="E82" s="467"/>
      <c r="F82" s="467"/>
      <c r="G82" s="467"/>
      <c r="H82" s="467"/>
      <c r="I82" s="467"/>
      <c r="J82" s="467"/>
      <c r="K82" s="467"/>
    </row>
    <row r="83" spans="1:11" ht="15.75" customHeight="1" thickTop="1" x14ac:dyDescent="0.2">
      <c r="A83" s="1565" t="s">
        <v>242</v>
      </c>
      <c r="B83" s="1567">
        <v>1800</v>
      </c>
      <c r="C83" s="541"/>
      <c r="D83" s="467"/>
      <c r="E83" s="467"/>
      <c r="F83" s="467"/>
      <c r="G83" s="467"/>
      <c r="H83" s="467"/>
      <c r="I83" s="467"/>
      <c r="J83" s="467"/>
      <c r="K83" s="467"/>
    </row>
    <row r="84" spans="1:11" ht="12.75" customHeight="1" x14ac:dyDescent="0.2">
      <c r="A84" s="463" t="s">
        <v>552</v>
      </c>
      <c r="B84" s="469">
        <v>1811</v>
      </c>
      <c r="C84" s="1936">
        <v>222706</v>
      </c>
      <c r="D84" s="467"/>
      <c r="E84" s="467"/>
      <c r="F84" s="467"/>
      <c r="G84" s="467"/>
      <c r="H84" s="467"/>
      <c r="I84" s="467"/>
      <c r="J84" s="467"/>
      <c r="K84" s="467"/>
    </row>
    <row r="85" spans="1:11" ht="12.75" customHeight="1" x14ac:dyDescent="0.2">
      <c r="A85" s="463" t="s">
        <v>553</v>
      </c>
      <c r="B85" s="469">
        <v>1812</v>
      </c>
      <c r="C85" s="1941">
        <v>0</v>
      </c>
      <c r="D85" s="467"/>
      <c r="E85" s="467"/>
      <c r="F85" s="467"/>
      <c r="G85" s="467"/>
      <c r="H85" s="467"/>
      <c r="I85" s="467"/>
      <c r="J85" s="467"/>
      <c r="K85" s="467"/>
    </row>
    <row r="86" spans="1:11" ht="12.75" customHeight="1" x14ac:dyDescent="0.2">
      <c r="A86" s="463" t="s">
        <v>999</v>
      </c>
      <c r="B86" s="469">
        <v>1813</v>
      </c>
      <c r="C86" s="1941">
        <v>0</v>
      </c>
      <c r="D86" s="467"/>
      <c r="E86" s="467"/>
      <c r="F86" s="467"/>
      <c r="G86" s="467"/>
      <c r="H86" s="467"/>
      <c r="I86" s="467"/>
      <c r="J86" s="467"/>
      <c r="K86" s="467"/>
    </row>
    <row r="87" spans="1:11" ht="12.75" customHeight="1" x14ac:dyDescent="0.2">
      <c r="A87" s="463" t="s">
        <v>77</v>
      </c>
      <c r="B87" s="469">
        <v>1819</v>
      </c>
      <c r="C87" s="1941">
        <v>0</v>
      </c>
      <c r="D87" s="467"/>
      <c r="E87" s="467"/>
      <c r="F87" s="467"/>
      <c r="G87" s="467"/>
      <c r="H87" s="467"/>
      <c r="I87" s="467"/>
      <c r="J87" s="467"/>
      <c r="K87" s="467"/>
    </row>
    <row r="88" spans="1:11" ht="12.75" customHeight="1" x14ac:dyDescent="0.2">
      <c r="A88" s="463" t="s">
        <v>554</v>
      </c>
      <c r="B88" s="469">
        <v>1821</v>
      </c>
      <c r="C88" s="1941">
        <v>7715</v>
      </c>
      <c r="D88" s="467"/>
      <c r="E88" s="467"/>
      <c r="F88" s="467"/>
      <c r="G88" s="467"/>
      <c r="H88" s="467"/>
      <c r="I88" s="467"/>
      <c r="J88" s="467"/>
      <c r="K88" s="467"/>
    </row>
    <row r="89" spans="1:11" ht="12.75" customHeight="1" x14ac:dyDescent="0.2">
      <c r="A89" s="463" t="s">
        <v>714</v>
      </c>
      <c r="B89" s="469">
        <v>1822</v>
      </c>
      <c r="C89" s="1941">
        <v>0</v>
      </c>
      <c r="D89" s="467"/>
      <c r="E89" s="467"/>
      <c r="F89" s="467"/>
      <c r="G89" s="467"/>
      <c r="H89" s="467"/>
      <c r="I89" s="467"/>
      <c r="J89" s="467"/>
      <c r="K89" s="467"/>
    </row>
    <row r="90" spans="1:11" ht="12.75" customHeight="1" x14ac:dyDescent="0.2">
      <c r="A90" s="463" t="s">
        <v>139</v>
      </c>
      <c r="B90" s="469">
        <v>1823</v>
      </c>
      <c r="C90" s="1941">
        <v>0</v>
      </c>
      <c r="D90" s="467"/>
      <c r="E90" s="467"/>
      <c r="F90" s="467"/>
      <c r="G90" s="467"/>
      <c r="H90" s="467"/>
      <c r="I90" s="467"/>
      <c r="J90" s="467"/>
      <c r="K90" s="467"/>
    </row>
    <row r="91" spans="1:11" ht="12.75" customHeight="1" x14ac:dyDescent="0.2">
      <c r="A91" s="463" t="s">
        <v>27</v>
      </c>
      <c r="B91" s="469">
        <v>1829</v>
      </c>
      <c r="C91" s="1941">
        <v>0</v>
      </c>
      <c r="D91" s="467"/>
      <c r="E91" s="467"/>
      <c r="F91" s="467"/>
      <c r="G91" s="467"/>
      <c r="H91" s="467"/>
      <c r="I91" s="467"/>
      <c r="J91" s="467"/>
      <c r="K91" s="467"/>
    </row>
    <row r="92" spans="1:11" ht="12.75" customHeight="1" x14ac:dyDescent="0.2">
      <c r="A92" s="463" t="s">
        <v>762</v>
      </c>
      <c r="B92" s="469">
        <v>1890</v>
      </c>
      <c r="C92" s="1941">
        <v>0</v>
      </c>
      <c r="D92" s="467"/>
      <c r="E92" s="467"/>
      <c r="F92" s="467"/>
      <c r="G92" s="467"/>
      <c r="H92" s="467"/>
      <c r="I92" s="467"/>
      <c r="J92" s="467"/>
      <c r="K92" s="467"/>
    </row>
    <row r="93" spans="1:11" ht="12.75" customHeight="1" thickBot="1" x14ac:dyDescent="0.25">
      <c r="A93" s="1681" t="s">
        <v>243</v>
      </c>
      <c r="B93" s="1682"/>
      <c r="C93" s="1661">
        <f>SUM(C84:C92)</f>
        <v>230421</v>
      </c>
      <c r="D93" s="467"/>
      <c r="E93" s="467"/>
      <c r="F93" s="467"/>
      <c r="G93" s="467"/>
      <c r="H93" s="467"/>
      <c r="I93" s="467"/>
      <c r="J93" s="467"/>
      <c r="K93" s="467"/>
    </row>
    <row r="94" spans="1:11" ht="15.75" customHeight="1" thickTop="1" x14ac:dyDescent="0.2">
      <c r="A94" s="1565" t="s">
        <v>1137</v>
      </c>
      <c r="B94" s="1567">
        <v>1900</v>
      </c>
      <c r="C94" s="541"/>
      <c r="D94" s="514"/>
      <c r="E94" s="467"/>
      <c r="F94" s="467"/>
      <c r="G94" s="467"/>
      <c r="H94" s="467"/>
      <c r="I94" s="467"/>
      <c r="J94" s="467"/>
      <c r="K94" s="467"/>
    </row>
    <row r="95" spans="1:11" ht="12.75" customHeight="1" x14ac:dyDescent="0.2">
      <c r="A95" s="463" t="s">
        <v>1064</v>
      </c>
      <c r="B95" s="469">
        <v>1910</v>
      </c>
      <c r="C95" s="1936">
        <v>0</v>
      </c>
      <c r="D95" s="1941">
        <v>219791</v>
      </c>
      <c r="E95" s="514"/>
      <c r="F95" s="514"/>
      <c r="G95" s="514"/>
      <c r="H95" s="514"/>
      <c r="I95" s="514"/>
      <c r="J95" s="514"/>
      <c r="K95" s="514"/>
    </row>
    <row r="96" spans="1:11" ht="12.75" customHeight="1" x14ac:dyDescent="0.2">
      <c r="A96" s="463" t="s">
        <v>391</v>
      </c>
      <c r="B96" s="469">
        <v>1920</v>
      </c>
      <c r="C96" s="1941">
        <v>2432</v>
      </c>
      <c r="D96" s="1941">
        <v>10263</v>
      </c>
      <c r="E96" s="1939">
        <v>0</v>
      </c>
      <c r="F96" s="474">
        <v>0</v>
      </c>
      <c r="G96" s="474">
        <v>0</v>
      </c>
      <c r="H96" s="474">
        <v>0</v>
      </c>
      <c r="I96" s="474">
        <v>0</v>
      </c>
      <c r="J96" s="474">
        <v>0</v>
      </c>
      <c r="K96" s="474">
        <v>0</v>
      </c>
    </row>
    <row r="97" spans="1:12" ht="12.75" customHeight="1" x14ac:dyDescent="0.2">
      <c r="A97" s="1468" t="s">
        <v>244</v>
      </c>
      <c r="B97" s="547">
        <v>1930</v>
      </c>
      <c r="C97" s="1940">
        <v>0</v>
      </c>
      <c r="D97" s="1937">
        <v>0</v>
      </c>
      <c r="E97" s="1938">
        <v>0</v>
      </c>
      <c r="F97" s="1937">
        <v>0</v>
      </c>
      <c r="G97" s="1943">
        <v>0</v>
      </c>
      <c r="H97" s="1943">
        <v>0</v>
      </c>
      <c r="I97" s="1943">
        <v>0</v>
      </c>
      <c r="J97" s="1943">
        <v>0</v>
      </c>
      <c r="K97" s="1943">
        <v>0</v>
      </c>
    </row>
    <row r="98" spans="1:12" ht="12.75" customHeight="1" x14ac:dyDescent="0.2">
      <c r="A98" s="463" t="s">
        <v>189</v>
      </c>
      <c r="B98" s="469">
        <v>1940</v>
      </c>
      <c r="C98" s="1940">
        <v>0</v>
      </c>
      <c r="D98" s="1936">
        <v>0</v>
      </c>
      <c r="E98" s="505"/>
      <c r="F98" s="1936">
        <v>0</v>
      </c>
      <c r="G98" s="505"/>
      <c r="H98" s="505"/>
      <c r="I98" s="503"/>
      <c r="J98" s="505"/>
      <c r="K98" s="505"/>
    </row>
    <row r="99" spans="1:12" ht="12.75" customHeight="1" x14ac:dyDescent="0.2">
      <c r="A99" s="463" t="s">
        <v>821</v>
      </c>
      <c r="B99" s="469">
        <v>1950</v>
      </c>
      <c r="C99" s="1940">
        <v>253677</v>
      </c>
      <c r="D99" s="1936">
        <v>98498</v>
      </c>
      <c r="E99" s="1936">
        <v>167</v>
      </c>
      <c r="F99" s="1936">
        <v>0</v>
      </c>
      <c r="G99" s="1942">
        <v>0</v>
      </c>
      <c r="H99" s="1942">
        <v>0</v>
      </c>
      <c r="I99" s="467"/>
      <c r="J99" s="1943">
        <v>0</v>
      </c>
      <c r="K99" s="1942">
        <v>0</v>
      </c>
    </row>
    <row r="100" spans="1:12" ht="12.75" customHeight="1" x14ac:dyDescent="0.2">
      <c r="A100" s="463" t="s">
        <v>245</v>
      </c>
      <c r="B100" s="469">
        <v>1960</v>
      </c>
      <c r="C100" s="1940">
        <v>0</v>
      </c>
      <c r="D100" s="1940">
        <v>0</v>
      </c>
      <c r="E100" s="1940">
        <v>0</v>
      </c>
      <c r="F100" s="1940">
        <v>0</v>
      </c>
      <c r="G100" s="1944">
        <v>0</v>
      </c>
      <c r="H100" s="1944">
        <v>0</v>
      </c>
      <c r="I100" s="1943">
        <v>0</v>
      </c>
      <c r="J100" s="1944">
        <v>0</v>
      </c>
      <c r="K100" s="1943">
        <v>0</v>
      </c>
    </row>
    <row r="101" spans="1:12" ht="12.75" customHeight="1" x14ac:dyDescent="0.2">
      <c r="A101" s="463" t="s">
        <v>246</v>
      </c>
      <c r="B101" s="469">
        <v>1970</v>
      </c>
      <c r="C101" s="1940">
        <v>0</v>
      </c>
      <c r="D101" s="519"/>
      <c r="E101" s="476"/>
      <c r="F101" s="519"/>
      <c r="G101" s="472"/>
      <c r="H101" s="519"/>
      <c r="I101" s="467"/>
      <c r="J101" s="472"/>
      <c r="K101" s="472"/>
    </row>
    <row r="102" spans="1:12" ht="12.75" customHeight="1" x14ac:dyDescent="0.2">
      <c r="A102" s="463" t="s">
        <v>247</v>
      </c>
      <c r="B102" s="469">
        <v>1980</v>
      </c>
      <c r="C102" s="1940">
        <v>10834</v>
      </c>
      <c r="D102" s="1940">
        <v>0</v>
      </c>
      <c r="E102" s="1940">
        <v>0</v>
      </c>
      <c r="F102" s="1944">
        <v>0</v>
      </c>
      <c r="G102" s="1944">
        <v>0</v>
      </c>
      <c r="H102" s="1944">
        <v>0</v>
      </c>
      <c r="I102" s="1943">
        <v>0</v>
      </c>
      <c r="J102" s="1944">
        <v>0</v>
      </c>
      <c r="K102" s="1943">
        <v>0</v>
      </c>
    </row>
    <row r="103" spans="1:12" ht="12.75" customHeight="1" x14ac:dyDescent="0.2">
      <c r="A103" s="463" t="s">
        <v>345</v>
      </c>
      <c r="B103" s="469">
        <v>1983</v>
      </c>
      <c r="C103" s="467"/>
      <c r="D103" s="467"/>
      <c r="E103" s="548">
        <v>0</v>
      </c>
      <c r="F103" s="467"/>
      <c r="G103" s="467"/>
      <c r="H103" s="1944">
        <v>0</v>
      </c>
      <c r="I103" s="467"/>
      <c r="J103" s="503"/>
      <c r="K103" s="503"/>
    </row>
    <row r="104" spans="1:12" ht="12.75" customHeight="1" x14ac:dyDescent="0.2">
      <c r="A104" s="463" t="s">
        <v>830</v>
      </c>
      <c r="B104" s="469">
        <v>1991</v>
      </c>
      <c r="C104" s="1940">
        <v>1954</v>
      </c>
      <c r="D104" s="1936">
        <v>0</v>
      </c>
      <c r="E104" s="477">
        <v>0</v>
      </c>
      <c r="F104" s="1943">
        <v>0</v>
      </c>
      <c r="G104" s="1943">
        <v>0</v>
      </c>
      <c r="H104" s="1942">
        <v>0</v>
      </c>
      <c r="I104" s="467"/>
      <c r="J104" s="467"/>
      <c r="K104" s="467"/>
    </row>
    <row r="105" spans="1:12" ht="12.75" customHeight="1" x14ac:dyDescent="0.2">
      <c r="A105" s="463" t="s">
        <v>822</v>
      </c>
      <c r="B105" s="469">
        <v>1992</v>
      </c>
      <c r="C105" s="1936">
        <v>0</v>
      </c>
      <c r="D105" s="549"/>
      <c r="E105" s="467"/>
      <c r="F105" s="467"/>
      <c r="G105" s="467"/>
      <c r="H105" s="503"/>
      <c r="I105" s="467"/>
      <c r="J105" s="467"/>
      <c r="K105" s="467"/>
    </row>
    <row r="106" spans="1:12" ht="12.75" customHeight="1" x14ac:dyDescent="0.2">
      <c r="A106" s="463" t="s">
        <v>1430</v>
      </c>
      <c r="B106" s="469">
        <v>1993</v>
      </c>
      <c r="C106" s="1936">
        <v>0</v>
      </c>
      <c r="D106" s="1940">
        <v>0</v>
      </c>
      <c r="E106" s="1937">
        <v>0</v>
      </c>
      <c r="F106" s="1943">
        <v>0</v>
      </c>
      <c r="G106" s="1943">
        <v>0</v>
      </c>
      <c r="H106" s="1943">
        <v>0</v>
      </c>
      <c r="I106" s="514"/>
      <c r="J106" s="1943">
        <v>0</v>
      </c>
      <c r="K106" s="1943">
        <v>0</v>
      </c>
    </row>
    <row r="107" spans="1:12" ht="12.75" customHeight="1" x14ac:dyDescent="0.2">
      <c r="A107" s="463" t="s">
        <v>78</v>
      </c>
      <c r="B107" s="469">
        <v>1999</v>
      </c>
      <c r="C107" s="1941">
        <v>26603</v>
      </c>
      <c r="D107" s="1936">
        <v>0</v>
      </c>
      <c r="E107" s="1936">
        <v>0</v>
      </c>
      <c r="F107" s="1942">
        <v>14447</v>
      </c>
      <c r="G107" s="1942">
        <v>0</v>
      </c>
      <c r="H107" s="1942">
        <v>0</v>
      </c>
      <c r="I107" s="1942">
        <v>0</v>
      </c>
      <c r="J107" s="1943">
        <v>0</v>
      </c>
      <c r="K107" s="1942">
        <v>0</v>
      </c>
    </row>
    <row r="108" spans="1:12" ht="12.75" customHeight="1" thickBot="1" x14ac:dyDescent="0.25">
      <c r="A108" s="1681" t="s">
        <v>487</v>
      </c>
      <c r="B108" s="1685"/>
      <c r="C108" s="1680">
        <f>SUM(C95:C107)</f>
        <v>295500</v>
      </c>
      <c r="D108" s="1680">
        <f t="shared" ref="D108:K108" si="3">SUM(D95:D107)</f>
        <v>328552</v>
      </c>
      <c r="E108" s="1680">
        <f t="shared" si="3"/>
        <v>167</v>
      </c>
      <c r="F108" s="1680">
        <f t="shared" si="3"/>
        <v>14447</v>
      </c>
      <c r="G108" s="1680">
        <f t="shared" si="3"/>
        <v>0</v>
      </c>
      <c r="H108" s="1680">
        <f t="shared" si="3"/>
        <v>0</v>
      </c>
      <c r="I108" s="1680">
        <f t="shared" si="3"/>
        <v>0</v>
      </c>
      <c r="J108" s="1680">
        <f t="shared" si="3"/>
        <v>0</v>
      </c>
      <c r="K108" s="1661">
        <f t="shared" si="3"/>
        <v>0</v>
      </c>
    </row>
    <row r="109" spans="1:12" ht="14.25" thickTop="1" thickBot="1" x14ac:dyDescent="0.25">
      <c r="A109" s="1686" t="s">
        <v>248</v>
      </c>
      <c r="B109" s="1687" t="s">
        <v>570</v>
      </c>
      <c r="C109" s="1688">
        <f t="shared" ref="C109:K109" si="4">SUM(C12,C18,C40,C63,C67,C75,C82,C93,C108,)</f>
        <v>15453487</v>
      </c>
      <c r="D109" s="1688">
        <f t="shared" si="4"/>
        <v>2343967</v>
      </c>
      <c r="E109" s="1688">
        <f t="shared" si="4"/>
        <v>5072271</v>
      </c>
      <c r="F109" s="1688">
        <f t="shared" si="4"/>
        <v>917386</v>
      </c>
      <c r="G109" s="1688">
        <f t="shared" si="4"/>
        <v>743186</v>
      </c>
      <c r="H109" s="1688">
        <f t="shared" si="4"/>
        <v>1312</v>
      </c>
      <c r="I109" s="1688">
        <f t="shared" si="4"/>
        <v>49111</v>
      </c>
      <c r="J109" s="1688">
        <f t="shared" si="4"/>
        <v>193866</v>
      </c>
      <c r="K109" s="1675">
        <f t="shared" si="4"/>
        <v>19143</v>
      </c>
    </row>
    <row r="110" spans="1:12" ht="30" customHeight="1" thickTop="1" x14ac:dyDescent="0.2">
      <c r="A110" s="1558" t="s">
        <v>346</v>
      </c>
      <c r="B110" s="1559"/>
      <c r="C110" s="1544"/>
      <c r="D110" s="1544"/>
      <c r="E110" s="1544"/>
      <c r="F110" s="1544"/>
      <c r="G110" s="1544"/>
      <c r="H110" s="1544"/>
      <c r="I110" s="1544"/>
      <c r="J110" s="1544"/>
      <c r="K110" s="1545"/>
    </row>
    <row r="111" spans="1:12" ht="12.75" customHeight="1" x14ac:dyDescent="0.2">
      <c r="A111" s="486" t="s">
        <v>823</v>
      </c>
      <c r="B111" s="485">
        <v>2100</v>
      </c>
      <c r="C111" s="509">
        <v>809700</v>
      </c>
      <c r="D111" s="477">
        <v>0</v>
      </c>
      <c r="E111" s="549"/>
      <c r="F111" s="477">
        <v>0</v>
      </c>
      <c r="G111" s="477">
        <v>0</v>
      </c>
      <c r="H111" s="549"/>
      <c r="I111" s="467"/>
      <c r="J111" s="467"/>
      <c r="K111" s="467"/>
    </row>
    <row r="112" spans="1:12" ht="12.75" customHeight="1" x14ac:dyDescent="0.2">
      <c r="A112" s="463" t="s">
        <v>824</v>
      </c>
      <c r="B112" s="469">
        <v>2200</v>
      </c>
      <c r="C112" s="1945">
        <v>0</v>
      </c>
      <c r="D112" s="1942">
        <v>0</v>
      </c>
      <c r="E112" s="549"/>
      <c r="F112" s="1942">
        <v>0</v>
      </c>
      <c r="G112" s="1942">
        <v>0</v>
      </c>
      <c r="H112" s="549"/>
      <c r="I112" s="467"/>
      <c r="J112" s="467"/>
      <c r="K112" s="467"/>
      <c r="L112" s="540"/>
    </row>
    <row r="113" spans="1:11" ht="12.75" customHeight="1" x14ac:dyDescent="0.2">
      <c r="A113" s="463" t="s">
        <v>28</v>
      </c>
      <c r="B113" s="469">
        <v>2300</v>
      </c>
      <c r="C113" s="1945">
        <v>0</v>
      </c>
      <c r="D113" s="1942">
        <v>0</v>
      </c>
      <c r="E113" s="549"/>
      <c r="F113" s="1942">
        <v>0</v>
      </c>
      <c r="G113" s="1942">
        <v>0</v>
      </c>
      <c r="H113" s="549"/>
      <c r="I113" s="467"/>
      <c r="J113" s="467"/>
      <c r="K113" s="467"/>
    </row>
    <row r="114" spans="1:11" ht="13.5" thickBot="1" x14ac:dyDescent="0.25">
      <c r="A114" s="1689" t="s">
        <v>806</v>
      </c>
      <c r="B114" s="1690" t="s">
        <v>569</v>
      </c>
      <c r="C114" s="1691">
        <f>SUM(C111:C113)</f>
        <v>809700</v>
      </c>
      <c r="D114" s="1691">
        <f>SUM(D111:D113)</f>
        <v>0</v>
      </c>
      <c r="E114" s="549" t="s">
        <v>1169</v>
      </c>
      <c r="F114" s="1691">
        <f>SUM(F111:F113)</f>
        <v>0</v>
      </c>
      <c r="G114" s="1691">
        <f>SUM(G111:G113)</f>
        <v>0</v>
      </c>
      <c r="H114" s="549"/>
      <c r="I114" s="467"/>
      <c r="J114" s="467"/>
      <c r="K114" s="467"/>
    </row>
    <row r="115" spans="1:11" ht="16.7" customHeight="1" thickTop="1" x14ac:dyDescent="0.2">
      <c r="A115" s="1560" t="s">
        <v>803</v>
      </c>
      <c r="B115" s="1561"/>
      <c r="C115" s="1543"/>
      <c r="D115" s="1544"/>
      <c r="E115" s="1544"/>
      <c r="F115" s="1544"/>
      <c r="G115" s="1544"/>
      <c r="H115" s="1544"/>
      <c r="I115" s="1544"/>
      <c r="J115" s="1544"/>
      <c r="K115" s="1545"/>
    </row>
    <row r="116" spans="1:11" ht="18" customHeight="1" x14ac:dyDescent="0.2">
      <c r="A116" s="1568" t="s">
        <v>1491</v>
      </c>
      <c r="B116" s="1569"/>
      <c r="C116" s="515"/>
      <c r="D116" s="514"/>
      <c r="E116" s="549"/>
      <c r="F116" s="514"/>
      <c r="G116" s="514"/>
      <c r="H116" s="549"/>
      <c r="I116" s="467"/>
      <c r="J116" s="514"/>
      <c r="K116" s="514"/>
    </row>
    <row r="117" spans="1:11" ht="12.75" customHeight="1" x14ac:dyDescent="0.2">
      <c r="A117" s="463" t="s">
        <v>1667</v>
      </c>
      <c r="B117" s="550">
        <v>3001</v>
      </c>
      <c r="C117" s="509">
        <v>7193623</v>
      </c>
      <c r="D117" s="477">
        <v>0</v>
      </c>
      <c r="E117" s="1942">
        <v>0</v>
      </c>
      <c r="F117" s="477">
        <v>0</v>
      </c>
      <c r="G117" s="477">
        <v>0</v>
      </c>
      <c r="H117" s="1942">
        <v>0</v>
      </c>
      <c r="I117" s="467"/>
      <c r="J117" s="1943">
        <v>0</v>
      </c>
      <c r="K117" s="1942">
        <v>0</v>
      </c>
    </row>
    <row r="118" spans="1:11" ht="12.75" customHeight="1" x14ac:dyDescent="0.2">
      <c r="A118" s="463" t="s">
        <v>1796</v>
      </c>
      <c r="B118" s="550">
        <v>3002</v>
      </c>
      <c r="C118" s="1945">
        <v>0</v>
      </c>
      <c r="D118" s="1942">
        <v>0</v>
      </c>
      <c r="E118" s="1942">
        <v>0</v>
      </c>
      <c r="F118" s="1942">
        <v>0</v>
      </c>
      <c r="G118" s="1942">
        <v>0</v>
      </c>
      <c r="H118" s="1942">
        <v>0</v>
      </c>
      <c r="I118" s="467"/>
      <c r="J118" s="1943">
        <v>0</v>
      </c>
      <c r="K118" s="1942">
        <v>0</v>
      </c>
    </row>
    <row r="119" spans="1:11" ht="12.75" customHeight="1" x14ac:dyDescent="0.2">
      <c r="A119" s="463" t="s">
        <v>1797</v>
      </c>
      <c r="B119" s="550">
        <v>3005</v>
      </c>
      <c r="C119" s="1945">
        <v>0</v>
      </c>
      <c r="D119" s="1942">
        <v>0</v>
      </c>
      <c r="E119" s="1942">
        <v>0</v>
      </c>
      <c r="F119" s="1942">
        <v>0</v>
      </c>
      <c r="G119" s="1942">
        <v>0</v>
      </c>
      <c r="H119" s="1942">
        <v>0</v>
      </c>
      <c r="I119" s="467"/>
      <c r="J119" s="1943">
        <v>0</v>
      </c>
      <c r="K119" s="1942">
        <v>0</v>
      </c>
    </row>
    <row r="120" spans="1:11" ht="12.75" customHeight="1" x14ac:dyDescent="0.2">
      <c r="A120" s="1904" t="s">
        <v>1933</v>
      </c>
      <c r="B120" s="550">
        <v>3030</v>
      </c>
      <c r="C120" s="1945">
        <v>0</v>
      </c>
      <c r="D120" s="1942">
        <v>0</v>
      </c>
      <c r="E120" s="1942">
        <v>0</v>
      </c>
      <c r="F120" s="1942">
        <v>0</v>
      </c>
      <c r="G120" s="1942">
        <v>0</v>
      </c>
      <c r="H120" s="1942">
        <v>0</v>
      </c>
      <c r="I120" s="467"/>
      <c r="J120" s="466">
        <v>0</v>
      </c>
      <c r="K120" s="465">
        <v>0</v>
      </c>
    </row>
    <row r="121" spans="1:11" x14ac:dyDescent="0.2">
      <c r="A121" s="1469" t="s">
        <v>1798</v>
      </c>
      <c r="B121" s="552">
        <v>3099</v>
      </c>
      <c r="C121" s="1945">
        <v>0</v>
      </c>
      <c r="D121" s="1942">
        <v>0</v>
      </c>
      <c r="E121" s="1942">
        <v>0</v>
      </c>
      <c r="F121" s="1942">
        <v>0</v>
      </c>
      <c r="G121" s="1942">
        <v>0</v>
      </c>
      <c r="H121" s="1942">
        <v>0</v>
      </c>
      <c r="I121" s="467"/>
      <c r="J121" s="1943">
        <v>0</v>
      </c>
      <c r="K121" s="1942">
        <v>0</v>
      </c>
    </row>
    <row r="122" spans="1:11" ht="12.6" customHeight="1" thickBot="1" x14ac:dyDescent="0.25">
      <c r="A122" s="1681" t="s">
        <v>488</v>
      </c>
      <c r="B122" s="1692"/>
      <c r="C122" s="1680">
        <f t="shared" ref="C122:H122" si="5">SUM(C117:C121)</f>
        <v>7193623</v>
      </c>
      <c r="D122" s="1680">
        <f t="shared" si="5"/>
        <v>0</v>
      </c>
      <c r="E122" s="1680">
        <f t="shared" si="5"/>
        <v>0</v>
      </c>
      <c r="F122" s="1680">
        <f t="shared" si="5"/>
        <v>0</v>
      </c>
      <c r="G122" s="1680">
        <f t="shared" si="5"/>
        <v>0</v>
      </c>
      <c r="H122" s="1680">
        <f t="shared" si="5"/>
        <v>0</v>
      </c>
      <c r="I122" s="467"/>
      <c r="J122" s="1680">
        <f>SUM(J117:J121)</f>
        <v>0</v>
      </c>
      <c r="K122" s="1661">
        <f>SUM(K117:K121)</f>
        <v>0</v>
      </c>
    </row>
    <row r="123" spans="1:11" ht="15.75" customHeight="1" thickTop="1" x14ac:dyDescent="0.2">
      <c r="A123" s="1565" t="s">
        <v>1490</v>
      </c>
      <c r="B123" s="1570"/>
      <c r="C123" s="553"/>
      <c r="D123" s="502"/>
      <c r="E123" s="467"/>
      <c r="F123" s="554"/>
      <c r="G123" s="467"/>
      <c r="H123" s="467"/>
      <c r="I123" s="467"/>
      <c r="J123" s="467"/>
      <c r="K123" s="467"/>
    </row>
    <row r="124" spans="1:11" ht="15" customHeight="1" x14ac:dyDescent="0.2">
      <c r="A124" s="1571" t="s">
        <v>667</v>
      </c>
      <c r="B124" s="1572"/>
      <c r="C124" s="514"/>
      <c r="D124" s="502"/>
      <c r="E124" s="467"/>
      <c r="F124" s="514"/>
      <c r="G124" s="467"/>
      <c r="H124" s="467"/>
      <c r="I124" s="467"/>
      <c r="J124" s="467"/>
      <c r="K124" s="467"/>
    </row>
    <row r="125" spans="1:11" ht="12.75" customHeight="1" x14ac:dyDescent="0.2">
      <c r="A125" s="463" t="s">
        <v>866</v>
      </c>
      <c r="B125" s="555">
        <v>3100</v>
      </c>
      <c r="C125" s="477">
        <v>253716</v>
      </c>
      <c r="D125" s="549"/>
      <c r="E125" s="467"/>
      <c r="F125" s="1954">
        <v>0</v>
      </c>
      <c r="G125" s="467"/>
      <c r="H125" s="467"/>
      <c r="I125" s="467"/>
      <c r="J125" s="467"/>
      <c r="K125" s="467"/>
    </row>
    <row r="126" spans="1:11" ht="12.75" customHeight="1" x14ac:dyDescent="0.2">
      <c r="A126" s="463" t="s">
        <v>1446</v>
      </c>
      <c r="B126" s="550">
        <v>3105</v>
      </c>
      <c r="C126" s="1942">
        <v>0</v>
      </c>
      <c r="D126" s="549"/>
      <c r="E126" s="467"/>
      <c r="F126" s="1946">
        <v>0</v>
      </c>
      <c r="G126" s="467"/>
      <c r="H126" s="467"/>
      <c r="I126" s="467"/>
      <c r="J126" s="467"/>
      <c r="K126" s="467"/>
    </row>
    <row r="127" spans="1:11" ht="12.75" customHeight="1" x14ac:dyDescent="0.2">
      <c r="A127" s="463" t="s">
        <v>867</v>
      </c>
      <c r="B127" s="550">
        <v>3110</v>
      </c>
      <c r="C127" s="1945">
        <v>0</v>
      </c>
      <c r="D127" s="1946">
        <v>0</v>
      </c>
      <c r="E127" s="467"/>
      <c r="F127" s="1946">
        <v>0</v>
      </c>
      <c r="G127" s="467"/>
      <c r="H127" s="467"/>
      <c r="I127" s="467"/>
      <c r="J127" s="467"/>
      <c r="K127" s="467"/>
    </row>
    <row r="128" spans="1:11" ht="12.75" customHeight="1" x14ac:dyDescent="0.2">
      <c r="A128" s="463" t="s">
        <v>105</v>
      </c>
      <c r="B128" s="550">
        <v>3120</v>
      </c>
      <c r="C128" s="1942">
        <v>0</v>
      </c>
      <c r="D128" s="549"/>
      <c r="E128" s="467"/>
      <c r="F128" s="1946">
        <v>0</v>
      </c>
      <c r="G128" s="467"/>
      <c r="H128" s="467"/>
      <c r="I128" s="467"/>
      <c r="J128" s="467"/>
      <c r="K128" s="467"/>
    </row>
    <row r="129" spans="1:11" ht="12.75" customHeight="1" x14ac:dyDescent="0.2">
      <c r="A129" s="463" t="s">
        <v>1447</v>
      </c>
      <c r="B129" s="550">
        <v>3130</v>
      </c>
      <c r="C129" s="1942">
        <v>139502</v>
      </c>
      <c r="D129" s="549"/>
      <c r="E129" s="467"/>
      <c r="F129" s="1946">
        <v>0</v>
      </c>
      <c r="G129" s="467"/>
      <c r="H129" s="467"/>
      <c r="I129" s="467"/>
      <c r="J129" s="467"/>
      <c r="K129" s="467"/>
    </row>
    <row r="130" spans="1:11" ht="12.75" customHeight="1" x14ac:dyDescent="0.2">
      <c r="A130" s="463" t="s">
        <v>137</v>
      </c>
      <c r="B130" s="550">
        <v>3145</v>
      </c>
      <c r="C130" s="1942">
        <v>0</v>
      </c>
      <c r="D130" s="549"/>
      <c r="E130" s="467"/>
      <c r="F130" s="1946">
        <v>0</v>
      </c>
      <c r="G130" s="467"/>
      <c r="H130" s="467"/>
      <c r="I130" s="467"/>
      <c r="J130" s="467"/>
      <c r="K130" s="467"/>
    </row>
    <row r="131" spans="1:11" ht="12.75" customHeight="1" x14ac:dyDescent="0.2">
      <c r="A131" s="463" t="s">
        <v>66</v>
      </c>
      <c r="B131" s="550">
        <v>3199</v>
      </c>
      <c r="C131" s="1945">
        <v>0</v>
      </c>
      <c r="D131" s="1947">
        <v>0</v>
      </c>
      <c r="E131" s="467"/>
      <c r="F131" s="1946">
        <v>0</v>
      </c>
      <c r="G131" s="467"/>
      <c r="H131" s="467"/>
      <c r="I131" s="467"/>
      <c r="J131" s="467"/>
      <c r="K131" s="467"/>
    </row>
    <row r="132" spans="1:11" ht="12.75" customHeight="1" thickBot="1" x14ac:dyDescent="0.25">
      <c r="A132" s="1681" t="s">
        <v>1032</v>
      </c>
      <c r="B132" s="1693"/>
      <c r="C132" s="1680">
        <f>SUM(C125:C131)</f>
        <v>393218</v>
      </c>
      <c r="D132" s="1680">
        <f>SUM(D125:D131)</f>
        <v>0</v>
      </c>
      <c r="E132" s="468" t="s">
        <v>1169</v>
      </c>
      <c r="F132" s="1680">
        <f>SUM(F125:F131)</f>
        <v>0</v>
      </c>
      <c r="G132" s="467" t="s">
        <v>1169</v>
      </c>
      <c r="H132" s="467" t="s">
        <v>1169</v>
      </c>
      <c r="I132" s="467" t="s">
        <v>1169</v>
      </c>
      <c r="J132" s="467" t="s">
        <v>1169</v>
      </c>
      <c r="K132" s="467" t="s">
        <v>1169</v>
      </c>
    </row>
    <row r="133" spans="1:11" ht="15.75" customHeight="1" thickTop="1" x14ac:dyDescent="0.2">
      <c r="A133" s="1573" t="s">
        <v>250</v>
      </c>
      <c r="B133" s="1574"/>
      <c r="C133" s="541"/>
      <c r="D133" s="541"/>
      <c r="E133" s="502"/>
      <c r="F133" s="541"/>
      <c r="G133" s="467"/>
      <c r="H133" s="467"/>
      <c r="I133" s="467"/>
      <c r="J133" s="467"/>
      <c r="K133" s="467"/>
    </row>
    <row r="134" spans="1:11" x14ac:dyDescent="0.2">
      <c r="A134" s="463" t="s">
        <v>599</v>
      </c>
      <c r="B134" s="550">
        <v>3200</v>
      </c>
      <c r="C134" s="1955">
        <v>0</v>
      </c>
      <c r="D134" s="1946">
        <v>0</v>
      </c>
      <c r="E134" s="549"/>
      <c r="F134" s="467"/>
      <c r="G134" s="1946">
        <v>0</v>
      </c>
      <c r="H134" s="467"/>
      <c r="I134" s="467"/>
      <c r="J134" s="467"/>
      <c r="K134" s="467"/>
    </row>
    <row r="135" spans="1:11" ht="12.75" customHeight="1" x14ac:dyDescent="0.2">
      <c r="A135" s="463" t="s">
        <v>669</v>
      </c>
      <c r="B135" s="550">
        <v>3220</v>
      </c>
      <c r="C135" s="1955">
        <v>0</v>
      </c>
      <c r="D135" s="1946">
        <v>0</v>
      </c>
      <c r="E135" s="549"/>
      <c r="F135" s="467"/>
      <c r="G135" s="1947">
        <v>0</v>
      </c>
      <c r="H135" s="467"/>
      <c r="I135" s="467"/>
      <c r="J135" s="467"/>
      <c r="K135" s="467"/>
    </row>
    <row r="136" spans="1:11" ht="12.75" customHeight="1" x14ac:dyDescent="0.2">
      <c r="A136" s="463" t="s">
        <v>249</v>
      </c>
      <c r="B136" s="550">
        <v>3225</v>
      </c>
      <c r="C136" s="1955">
        <v>0</v>
      </c>
      <c r="D136" s="1946">
        <v>0</v>
      </c>
      <c r="E136" s="549"/>
      <c r="F136" s="467"/>
      <c r="G136" s="1947">
        <v>0</v>
      </c>
      <c r="H136" s="467"/>
      <c r="I136" s="467"/>
      <c r="J136" s="467"/>
      <c r="K136" s="467"/>
    </row>
    <row r="137" spans="1:11" ht="12.75" customHeight="1" x14ac:dyDescent="0.2">
      <c r="A137" s="463" t="s">
        <v>600</v>
      </c>
      <c r="B137" s="550">
        <v>3235</v>
      </c>
      <c r="C137" s="1950">
        <v>0</v>
      </c>
      <c r="D137" s="1947">
        <v>0</v>
      </c>
      <c r="E137" s="549"/>
      <c r="F137" s="467"/>
      <c r="G137" s="1947">
        <v>0</v>
      </c>
      <c r="H137" s="467"/>
      <c r="I137" s="467"/>
      <c r="J137" s="467"/>
      <c r="K137" s="467"/>
    </row>
    <row r="138" spans="1:11" ht="12.75" customHeight="1" x14ac:dyDescent="0.2">
      <c r="A138" s="463" t="s">
        <v>601</v>
      </c>
      <c r="B138" s="550">
        <v>3240</v>
      </c>
      <c r="C138" s="1950">
        <v>0</v>
      </c>
      <c r="D138" s="1947">
        <v>0</v>
      </c>
      <c r="E138" s="549"/>
      <c r="F138" s="467"/>
      <c r="G138" s="1947">
        <v>0</v>
      </c>
      <c r="H138" s="467"/>
      <c r="I138" s="467"/>
      <c r="J138" s="467"/>
      <c r="K138" s="467"/>
    </row>
    <row r="139" spans="1:11" ht="12.75" customHeight="1" x14ac:dyDescent="0.2">
      <c r="A139" s="463" t="s">
        <v>602</v>
      </c>
      <c r="B139" s="550">
        <v>3270</v>
      </c>
      <c r="C139" s="1950">
        <v>0</v>
      </c>
      <c r="D139" s="1947">
        <v>0</v>
      </c>
      <c r="E139" s="549"/>
      <c r="F139" s="467"/>
      <c r="G139" s="1947">
        <v>0</v>
      </c>
      <c r="H139" s="467"/>
      <c r="I139" s="467"/>
      <c r="J139" s="467"/>
      <c r="K139" s="467"/>
    </row>
    <row r="140" spans="1:11" ht="12.75" customHeight="1" x14ac:dyDescent="0.2">
      <c r="A140" s="463" t="s">
        <v>67</v>
      </c>
      <c r="B140" s="550">
        <v>3299</v>
      </c>
      <c r="C140" s="1955">
        <v>0</v>
      </c>
      <c r="D140" s="1946">
        <v>0</v>
      </c>
      <c r="E140" s="549"/>
      <c r="F140" s="473"/>
      <c r="G140" s="1947">
        <v>0</v>
      </c>
      <c r="H140" s="467"/>
      <c r="I140" s="467"/>
      <c r="J140" s="467"/>
      <c r="K140" s="467"/>
    </row>
    <row r="141" spans="1:11" ht="12.75" customHeight="1" thickBot="1" x14ac:dyDescent="0.25">
      <c r="A141" s="1681" t="s">
        <v>603</v>
      </c>
      <c r="B141" s="1693"/>
      <c r="C141" s="1680">
        <f>SUM(C134:C140)</f>
        <v>0</v>
      </c>
      <c r="D141" s="1680">
        <f>SUM(D134:D140)</f>
        <v>0</v>
      </c>
      <c r="E141" s="549" t="s">
        <v>1169</v>
      </c>
      <c r="F141" s="473"/>
      <c r="G141" s="1680">
        <f>SUM(G134:G140)</f>
        <v>0</v>
      </c>
      <c r="H141" s="467" t="s">
        <v>1169</v>
      </c>
      <c r="I141" s="467" t="s">
        <v>1169</v>
      </c>
      <c r="J141" s="467" t="s">
        <v>1169</v>
      </c>
      <c r="K141" s="467" t="s">
        <v>1169</v>
      </c>
    </row>
    <row r="142" spans="1:11" ht="15.75" customHeight="1" thickTop="1" x14ac:dyDescent="0.2">
      <c r="A142" s="1573" t="s">
        <v>670</v>
      </c>
      <c r="B142" s="1574"/>
      <c r="C142" s="541"/>
      <c r="D142" s="554"/>
      <c r="E142" s="549"/>
      <c r="F142" s="541"/>
      <c r="G142" s="541"/>
      <c r="H142" s="467"/>
      <c r="I142" s="467"/>
      <c r="J142" s="467"/>
      <c r="K142" s="467"/>
    </row>
    <row r="143" spans="1:11" ht="12.75" customHeight="1" x14ac:dyDescent="0.2">
      <c r="A143" s="463" t="s">
        <v>604</v>
      </c>
      <c r="B143" s="550">
        <v>3305</v>
      </c>
      <c r="C143" s="1946">
        <v>0</v>
      </c>
      <c r="D143" s="467"/>
      <c r="E143" s="549"/>
      <c r="F143" s="467"/>
      <c r="G143" s="1946">
        <v>0</v>
      </c>
      <c r="H143" s="467"/>
      <c r="I143" s="467"/>
      <c r="J143" s="467"/>
      <c r="K143" s="467"/>
    </row>
    <row r="144" spans="1:11" ht="12.75" customHeight="1" x14ac:dyDescent="0.2">
      <c r="A144" s="463" t="s">
        <v>347</v>
      </c>
      <c r="B144" s="550">
        <v>3310</v>
      </c>
      <c r="C144" s="1955">
        <v>0</v>
      </c>
      <c r="D144" s="467"/>
      <c r="E144" s="549"/>
      <c r="F144" s="467"/>
      <c r="G144" s="1946">
        <v>0</v>
      </c>
      <c r="H144" s="467"/>
      <c r="I144" s="467"/>
      <c r="J144" s="467"/>
      <c r="K144" s="467"/>
    </row>
    <row r="145" spans="1:11" s="202" customFormat="1" ht="13.5" thickBot="1" x14ac:dyDescent="0.25">
      <c r="A145" s="1681" t="s">
        <v>396</v>
      </c>
      <c r="B145" s="1693"/>
      <c r="C145" s="1661">
        <f>SUM(C143:C144)</f>
        <v>0</v>
      </c>
      <c r="D145" s="467"/>
      <c r="E145" s="502"/>
      <c r="F145" s="467"/>
      <c r="G145" s="1694">
        <f>SUM(G143:G144)</f>
        <v>0</v>
      </c>
      <c r="H145" s="467"/>
      <c r="I145" s="467"/>
      <c r="J145" s="467"/>
      <c r="K145" s="467"/>
    </row>
    <row r="146" spans="1:11" s="202" customFormat="1" ht="12.75" customHeight="1" thickTop="1" x14ac:dyDescent="0.2">
      <c r="A146" s="1471" t="s">
        <v>1056</v>
      </c>
      <c r="B146" s="556">
        <v>3360</v>
      </c>
      <c r="C146" s="1949">
        <v>4525</v>
      </c>
      <c r="D146" s="557"/>
      <c r="E146" s="502"/>
      <c r="F146" s="467"/>
      <c r="G146" s="558"/>
      <c r="H146" s="467"/>
      <c r="I146" s="467"/>
      <c r="J146" s="467"/>
      <c r="K146" s="467"/>
    </row>
    <row r="147" spans="1:11" ht="12.75" customHeight="1" thickBot="1" x14ac:dyDescent="0.25">
      <c r="A147" s="1472" t="s">
        <v>922</v>
      </c>
      <c r="B147" s="559">
        <v>3365</v>
      </c>
      <c r="C147" s="1956">
        <v>0</v>
      </c>
      <c r="D147" s="1953">
        <v>0</v>
      </c>
      <c r="E147" s="549"/>
      <c r="F147" s="467"/>
      <c r="G147" s="1953">
        <v>0</v>
      </c>
      <c r="H147" s="467"/>
      <c r="I147" s="467"/>
      <c r="J147" s="467"/>
      <c r="K147" s="467"/>
    </row>
    <row r="148" spans="1:11" ht="12.75" customHeight="1" thickTop="1" thickBot="1" x14ac:dyDescent="0.25">
      <c r="A148" s="1473" t="s">
        <v>138</v>
      </c>
      <c r="B148" s="560">
        <v>3370</v>
      </c>
      <c r="C148" s="1956">
        <v>0</v>
      </c>
      <c r="D148" s="1956">
        <v>0</v>
      </c>
      <c r="E148" s="502"/>
      <c r="F148" s="467"/>
      <c r="G148" s="467"/>
      <c r="H148" s="467"/>
      <c r="I148" s="467"/>
      <c r="J148" s="467"/>
      <c r="K148" s="467"/>
    </row>
    <row r="149" spans="1:11" ht="12.75" customHeight="1" thickTop="1" thickBot="1" x14ac:dyDescent="0.25">
      <c r="A149" s="1473" t="s">
        <v>767</v>
      </c>
      <c r="B149" s="560">
        <v>3410</v>
      </c>
      <c r="C149" s="1957">
        <v>0</v>
      </c>
      <c r="D149" s="1958">
        <v>0</v>
      </c>
      <c r="E149" s="1959">
        <v>0</v>
      </c>
      <c r="F149" s="1951">
        <v>0</v>
      </c>
      <c r="G149" s="1951">
        <v>0</v>
      </c>
      <c r="H149" s="1951">
        <v>0</v>
      </c>
      <c r="I149" s="1951">
        <v>0</v>
      </c>
      <c r="J149" s="1951">
        <v>0</v>
      </c>
      <c r="K149" s="1951">
        <v>0</v>
      </c>
    </row>
    <row r="150" spans="1:11" ht="12.75" customHeight="1" thickTop="1" thickBot="1" x14ac:dyDescent="0.25">
      <c r="A150" s="1473" t="s">
        <v>68</v>
      </c>
      <c r="B150" s="560">
        <v>3499</v>
      </c>
      <c r="C150" s="1957">
        <v>0</v>
      </c>
      <c r="D150" s="1958">
        <v>0</v>
      </c>
      <c r="E150" s="1953">
        <v>0</v>
      </c>
      <c r="F150" s="1953">
        <v>0</v>
      </c>
      <c r="G150" s="1953">
        <v>0</v>
      </c>
      <c r="H150" s="1953">
        <v>0</v>
      </c>
      <c r="I150" s="1953">
        <v>0</v>
      </c>
      <c r="J150" s="1953">
        <v>0</v>
      </c>
      <c r="K150" s="1953">
        <v>0</v>
      </c>
    </row>
    <row r="151" spans="1:11" ht="15.75" customHeight="1" thickTop="1" x14ac:dyDescent="0.2">
      <c r="A151" s="1573" t="s">
        <v>453</v>
      </c>
      <c r="B151" s="1575"/>
      <c r="C151" s="541"/>
      <c r="D151" s="467"/>
      <c r="E151" s="549"/>
      <c r="F151" s="467"/>
      <c r="G151" s="467"/>
      <c r="H151" s="467"/>
      <c r="I151" s="467"/>
      <c r="J151" s="467"/>
      <c r="K151" s="467"/>
    </row>
    <row r="152" spans="1:11" ht="12.75" customHeight="1" x14ac:dyDescent="0.2">
      <c r="A152" s="463" t="s">
        <v>1448</v>
      </c>
      <c r="B152" s="550">
        <v>3500</v>
      </c>
      <c r="C152" s="1955">
        <v>0</v>
      </c>
      <c r="D152" s="1946">
        <v>0</v>
      </c>
      <c r="E152" s="549"/>
      <c r="F152" s="1946">
        <v>279622</v>
      </c>
      <c r="G152" s="1947">
        <v>0</v>
      </c>
      <c r="H152" s="467"/>
      <c r="I152" s="467"/>
      <c r="J152" s="467"/>
      <c r="K152" s="467"/>
    </row>
    <row r="153" spans="1:11" ht="12.75" customHeight="1" x14ac:dyDescent="0.2">
      <c r="A153" s="463" t="s">
        <v>1057</v>
      </c>
      <c r="B153" s="550">
        <v>3510</v>
      </c>
      <c r="C153" s="1955">
        <v>0</v>
      </c>
      <c r="D153" s="1946">
        <v>0</v>
      </c>
      <c r="E153" s="549"/>
      <c r="F153" s="1946">
        <v>1132461</v>
      </c>
      <c r="G153" s="1947">
        <v>0</v>
      </c>
      <c r="H153" s="467"/>
      <c r="I153" s="467"/>
      <c r="J153" s="467"/>
      <c r="K153" s="467"/>
    </row>
    <row r="154" spans="1:11" ht="12.75" customHeight="1" x14ac:dyDescent="0.2">
      <c r="A154" s="463" t="s">
        <v>69</v>
      </c>
      <c r="B154" s="550">
        <v>3599</v>
      </c>
      <c r="C154" s="1955">
        <v>0</v>
      </c>
      <c r="D154" s="1946">
        <v>0</v>
      </c>
      <c r="E154" s="549"/>
      <c r="F154" s="1946">
        <v>0</v>
      </c>
      <c r="G154" s="1947">
        <v>0</v>
      </c>
      <c r="H154" s="467"/>
      <c r="I154" s="467"/>
      <c r="J154" s="467"/>
      <c r="K154" s="467"/>
    </row>
    <row r="155" spans="1:11" ht="12.75" customHeight="1" thickBot="1" x14ac:dyDescent="0.25">
      <c r="A155" s="1681" t="s">
        <v>94</v>
      </c>
      <c r="B155" s="1693"/>
      <c r="C155" s="1680">
        <f>SUM(C152:C154)</f>
        <v>0</v>
      </c>
      <c r="D155" s="1680">
        <f>SUM(D152:D154)</f>
        <v>0</v>
      </c>
      <c r="E155" s="549"/>
      <c r="F155" s="1680">
        <f>SUM(F152:F154)</f>
        <v>1412083</v>
      </c>
      <c r="G155" s="1680">
        <f>SUM(G152:G154)</f>
        <v>0</v>
      </c>
      <c r="H155" s="467"/>
      <c r="I155" s="467"/>
      <c r="J155" s="467"/>
      <c r="K155" s="467"/>
    </row>
    <row r="156" spans="1:11" ht="12.75" customHeight="1" thickTop="1" thickBot="1" x14ac:dyDescent="0.25">
      <c r="A156" s="1473" t="s">
        <v>380</v>
      </c>
      <c r="B156" s="560">
        <v>3610</v>
      </c>
      <c r="C156" s="1958">
        <v>0</v>
      </c>
      <c r="D156" s="467"/>
      <c r="E156" s="502"/>
      <c r="F156" s="467"/>
      <c r="G156" s="467"/>
      <c r="H156" s="467"/>
      <c r="I156" s="467"/>
      <c r="J156" s="467"/>
      <c r="K156" s="467"/>
    </row>
    <row r="157" spans="1:11" ht="12.75" customHeight="1" thickTop="1" thickBot="1" x14ac:dyDescent="0.25">
      <c r="A157" s="1473" t="s">
        <v>50</v>
      </c>
      <c r="B157" s="560">
        <v>3660</v>
      </c>
      <c r="C157" s="1956">
        <v>0</v>
      </c>
      <c r="D157" s="1960">
        <v>0</v>
      </c>
      <c r="E157" s="549"/>
      <c r="F157" s="1960">
        <v>0</v>
      </c>
      <c r="G157" s="1960">
        <v>0</v>
      </c>
      <c r="H157" s="467"/>
      <c r="I157" s="467"/>
      <c r="J157" s="467"/>
      <c r="K157" s="467"/>
    </row>
    <row r="158" spans="1:11" ht="12.75" customHeight="1" thickTop="1" thickBot="1" x14ac:dyDescent="0.25">
      <c r="A158" s="1473" t="s">
        <v>1000</v>
      </c>
      <c r="B158" s="560">
        <v>3695</v>
      </c>
      <c r="C158" s="1958">
        <v>0</v>
      </c>
      <c r="D158" s="467"/>
      <c r="E158" s="549"/>
      <c r="F158" s="1958">
        <v>0</v>
      </c>
      <c r="G158" s="1958">
        <v>0</v>
      </c>
      <c r="H158" s="467"/>
      <c r="I158" s="467"/>
      <c r="J158" s="467"/>
      <c r="K158" s="467"/>
    </row>
    <row r="159" spans="1:11" ht="12.75" customHeight="1" thickTop="1" thickBot="1" x14ac:dyDescent="0.25">
      <c r="A159" s="1473" t="s">
        <v>1051</v>
      </c>
      <c r="B159" s="560">
        <v>3705</v>
      </c>
      <c r="C159" s="1958">
        <v>0</v>
      </c>
      <c r="D159" s="1960">
        <v>0</v>
      </c>
      <c r="E159" s="549"/>
      <c r="F159" s="1958">
        <v>0</v>
      </c>
      <c r="G159" s="1958">
        <v>0</v>
      </c>
      <c r="H159" s="467"/>
      <c r="I159" s="467"/>
      <c r="J159" s="467"/>
      <c r="K159" s="467"/>
    </row>
    <row r="160" spans="1:11" ht="12.75" customHeight="1" thickTop="1" thickBot="1" x14ac:dyDescent="0.25">
      <c r="A160" s="1473" t="s">
        <v>39</v>
      </c>
      <c r="B160" s="560">
        <v>3766</v>
      </c>
      <c r="C160" s="1958">
        <v>0</v>
      </c>
      <c r="D160" s="1960">
        <v>0</v>
      </c>
      <c r="E160" s="549"/>
      <c r="F160" s="1958">
        <v>0</v>
      </c>
      <c r="G160" s="1952">
        <v>0</v>
      </c>
      <c r="H160" s="467"/>
      <c r="I160" s="467"/>
      <c r="J160" s="467"/>
      <c r="K160" s="467"/>
    </row>
    <row r="161" spans="1:11" ht="12.75" customHeight="1" thickTop="1" thickBot="1" x14ac:dyDescent="0.25">
      <c r="A161" s="1473" t="s">
        <v>985</v>
      </c>
      <c r="B161" s="560">
        <v>3767</v>
      </c>
      <c r="C161" s="1958">
        <v>0</v>
      </c>
      <c r="D161" s="1952">
        <v>0</v>
      </c>
      <c r="E161" s="549"/>
      <c r="F161" s="1952">
        <v>0</v>
      </c>
      <c r="G161" s="1952">
        <v>0</v>
      </c>
      <c r="H161" s="467"/>
      <c r="I161" s="467"/>
      <c r="J161" s="467"/>
      <c r="K161" s="467"/>
    </row>
    <row r="162" spans="1:11" ht="12.75" customHeight="1" thickTop="1" thickBot="1" x14ac:dyDescent="0.25">
      <c r="A162" s="1473" t="s">
        <v>986</v>
      </c>
      <c r="B162" s="560">
        <v>3775</v>
      </c>
      <c r="C162" s="1958">
        <v>0</v>
      </c>
      <c r="D162" s="1956">
        <v>0</v>
      </c>
      <c r="E162" s="1951">
        <v>0</v>
      </c>
      <c r="F162" s="1956">
        <v>0</v>
      </c>
      <c r="G162" s="1953">
        <v>0</v>
      </c>
      <c r="H162" s="1951">
        <v>0</v>
      </c>
      <c r="I162" s="467"/>
      <c r="J162" s="467"/>
      <c r="K162" s="1951">
        <v>0</v>
      </c>
    </row>
    <row r="163" spans="1:11" ht="12.75" customHeight="1" thickTop="1" thickBot="1" x14ac:dyDescent="0.25">
      <c r="A163" s="1473" t="s">
        <v>1449</v>
      </c>
      <c r="B163" s="560">
        <v>3780</v>
      </c>
      <c r="C163" s="1952">
        <v>0</v>
      </c>
      <c r="D163" s="1951">
        <v>0</v>
      </c>
      <c r="E163" s="1952">
        <v>0</v>
      </c>
      <c r="F163" s="1952">
        <v>0</v>
      </c>
      <c r="G163" s="1952">
        <v>0</v>
      </c>
      <c r="H163" s="1952">
        <v>0</v>
      </c>
      <c r="I163" s="467"/>
      <c r="J163" s="467"/>
      <c r="K163" s="1952">
        <v>0</v>
      </c>
    </row>
    <row r="164" spans="1:11" ht="12.75" customHeight="1" thickTop="1" thickBot="1" x14ac:dyDescent="0.25">
      <c r="A164" s="1473" t="s">
        <v>858</v>
      </c>
      <c r="B164" s="560">
        <v>3815</v>
      </c>
      <c r="C164" s="1958">
        <v>0</v>
      </c>
      <c r="D164" s="467"/>
      <c r="E164" s="549"/>
      <c r="F164" s="1958">
        <v>0</v>
      </c>
      <c r="G164" s="467"/>
      <c r="H164" s="467"/>
      <c r="I164" s="467"/>
      <c r="J164" s="467"/>
      <c r="K164" s="467"/>
    </row>
    <row r="165" spans="1:11" ht="12.75" customHeight="1" thickTop="1" thickBot="1" x14ac:dyDescent="0.25">
      <c r="A165" s="1473" t="s">
        <v>397</v>
      </c>
      <c r="B165" s="560">
        <v>3825</v>
      </c>
      <c r="C165" s="1958">
        <v>0</v>
      </c>
      <c r="D165" s="467"/>
      <c r="E165" s="549"/>
      <c r="F165" s="1958">
        <v>0</v>
      </c>
      <c r="G165" s="467"/>
      <c r="H165" s="467"/>
      <c r="I165" s="467"/>
      <c r="J165" s="467"/>
      <c r="K165" s="467"/>
    </row>
    <row r="166" spans="1:11" ht="12.75" customHeight="1" thickTop="1" thickBot="1" x14ac:dyDescent="0.25">
      <c r="A166" s="1473" t="s">
        <v>348</v>
      </c>
      <c r="B166" s="560">
        <v>3920</v>
      </c>
      <c r="C166" s="554"/>
      <c r="D166" s="1960">
        <v>0</v>
      </c>
      <c r="E166" s="467"/>
      <c r="F166" s="554"/>
      <c r="G166" s="467"/>
      <c r="H166" s="1951">
        <v>0</v>
      </c>
      <c r="I166" s="467"/>
      <c r="J166" s="467"/>
      <c r="K166" s="467"/>
    </row>
    <row r="167" spans="1:11" ht="12.75" customHeight="1" thickTop="1" thickBot="1" x14ac:dyDescent="0.25">
      <c r="A167" s="1473" t="s">
        <v>349</v>
      </c>
      <c r="B167" s="560">
        <v>3925</v>
      </c>
      <c r="C167" s="514"/>
      <c r="D167" s="1958">
        <v>0</v>
      </c>
      <c r="E167" s="514"/>
      <c r="F167" s="514"/>
      <c r="G167" s="467"/>
      <c r="H167" s="1952">
        <v>0</v>
      </c>
      <c r="I167" s="467"/>
      <c r="J167" s="467"/>
      <c r="K167" s="1951">
        <v>0</v>
      </c>
    </row>
    <row r="168" spans="1:11" ht="14.25" thickTop="1" thickBot="1" x14ac:dyDescent="0.25">
      <c r="A168" s="1473" t="s">
        <v>70</v>
      </c>
      <c r="B168" s="560">
        <v>3999</v>
      </c>
      <c r="C168" s="1961">
        <v>1890</v>
      </c>
      <c r="D168" s="1962">
        <v>0</v>
      </c>
      <c r="E168" s="1962">
        <v>0</v>
      </c>
      <c r="F168" s="1962">
        <v>0</v>
      </c>
      <c r="G168" s="1963">
        <v>0</v>
      </c>
      <c r="H168" s="1964">
        <v>0</v>
      </c>
      <c r="I168" s="1963">
        <v>0</v>
      </c>
      <c r="J168" s="1963">
        <v>0</v>
      </c>
      <c r="K168" s="1964">
        <v>0</v>
      </c>
    </row>
    <row r="169" spans="1:11" ht="12.75" customHeight="1" thickTop="1" thickBot="1" x14ac:dyDescent="0.25">
      <c r="A169" s="2221" t="s">
        <v>398</v>
      </c>
      <c r="B169" s="2222"/>
      <c r="C169" s="1695">
        <f t="shared" ref="C169:K169" si="6">SUM(C132,C141,C145,C146:C150,C155,C156:C167,C168)</f>
        <v>399633</v>
      </c>
      <c r="D169" s="1695">
        <f t="shared" si="6"/>
        <v>0</v>
      </c>
      <c r="E169" s="1695">
        <f t="shared" si="6"/>
        <v>0</v>
      </c>
      <c r="F169" s="1695">
        <f t="shared" si="6"/>
        <v>1412083</v>
      </c>
      <c r="G169" s="1695">
        <f t="shared" si="6"/>
        <v>0</v>
      </c>
      <c r="H169" s="1695">
        <f t="shared" si="6"/>
        <v>0</v>
      </c>
      <c r="I169" s="1695">
        <f t="shared" si="6"/>
        <v>0</v>
      </c>
      <c r="J169" s="1695">
        <f t="shared" si="6"/>
        <v>0</v>
      </c>
      <c r="K169" s="1676">
        <f t="shared" si="6"/>
        <v>0</v>
      </c>
    </row>
    <row r="170" spans="1:11" ht="12.75" customHeight="1" thickTop="1" thickBot="1" x14ac:dyDescent="0.25">
      <c r="A170" s="1681" t="s">
        <v>399</v>
      </c>
      <c r="B170" s="1687" t="s">
        <v>575</v>
      </c>
      <c r="C170" s="1688">
        <f t="shared" ref="C170:K170" si="7">SUM(C122,C169)</f>
        <v>7593256</v>
      </c>
      <c r="D170" s="1688">
        <f t="shared" si="7"/>
        <v>0</v>
      </c>
      <c r="E170" s="1688">
        <f t="shared" si="7"/>
        <v>0</v>
      </c>
      <c r="F170" s="1688">
        <f t="shared" si="7"/>
        <v>1412083</v>
      </c>
      <c r="G170" s="1688">
        <f t="shared" si="7"/>
        <v>0</v>
      </c>
      <c r="H170" s="1688">
        <f t="shared" si="7"/>
        <v>0</v>
      </c>
      <c r="I170" s="1688">
        <f t="shared" si="7"/>
        <v>0</v>
      </c>
      <c r="J170" s="1688">
        <f t="shared" si="7"/>
        <v>0</v>
      </c>
      <c r="K170" s="1675">
        <f t="shared" si="7"/>
        <v>0</v>
      </c>
    </row>
    <row r="171" spans="1:11" ht="16.7" customHeight="1" thickTop="1" x14ac:dyDescent="0.2">
      <c r="A171" s="1562" t="s">
        <v>804</v>
      </c>
      <c r="B171" s="1540"/>
      <c r="C171" s="1543"/>
      <c r="D171" s="1544"/>
      <c r="E171" s="1544"/>
      <c r="F171" s="1544"/>
      <c r="G171" s="1544"/>
      <c r="H171" s="1544"/>
      <c r="I171" s="1544"/>
      <c r="J171" s="1544"/>
      <c r="K171" s="1545"/>
    </row>
    <row r="172" spans="1:11" ht="15.75" customHeight="1" x14ac:dyDescent="0.2">
      <c r="A172" s="2223" t="s">
        <v>1492</v>
      </c>
      <c r="B172" s="2224"/>
      <c r="C172" s="513"/>
      <c r="D172" s="513"/>
      <c r="E172" s="502"/>
      <c r="F172" s="467"/>
      <c r="G172" s="467"/>
      <c r="H172" s="467"/>
      <c r="I172" s="467"/>
      <c r="J172" s="467"/>
      <c r="K172" s="467"/>
    </row>
    <row r="173" spans="1:11" ht="12.6" customHeight="1" x14ac:dyDescent="0.2">
      <c r="A173" s="486" t="s">
        <v>1044</v>
      </c>
      <c r="B173" s="485">
        <v>4001</v>
      </c>
      <c r="C173" s="509">
        <v>0</v>
      </c>
      <c r="D173" s="477">
        <v>0</v>
      </c>
      <c r="E173" s="1947">
        <v>0</v>
      </c>
      <c r="F173" s="1946">
        <v>0</v>
      </c>
      <c r="G173" s="1946">
        <v>0</v>
      </c>
      <c r="H173" s="1947">
        <v>0</v>
      </c>
      <c r="I173" s="1947">
        <v>0</v>
      </c>
      <c r="J173" s="1947">
        <v>0</v>
      </c>
      <c r="K173" s="1947">
        <v>0</v>
      </c>
    </row>
    <row r="174" spans="1:11" ht="22.5" x14ac:dyDescent="0.2">
      <c r="A174" s="551" t="s">
        <v>805</v>
      </c>
      <c r="B174" s="563">
        <v>4009</v>
      </c>
      <c r="C174" s="1955">
        <v>0</v>
      </c>
      <c r="D174" s="1946">
        <v>0</v>
      </c>
      <c r="E174" s="1947">
        <v>0</v>
      </c>
      <c r="F174" s="1946">
        <v>0</v>
      </c>
      <c r="G174" s="1946">
        <v>0</v>
      </c>
      <c r="H174" s="1947">
        <v>0</v>
      </c>
      <c r="I174" s="1947">
        <v>0</v>
      </c>
      <c r="J174" s="1947">
        <v>0</v>
      </c>
      <c r="K174" s="1947">
        <v>0</v>
      </c>
    </row>
    <row r="175" spans="1:11" ht="13.5" thickBot="1" x14ac:dyDescent="0.25">
      <c r="A175" s="2227" t="s">
        <v>1665</v>
      </c>
      <c r="B175" s="2228"/>
      <c r="C175" s="1680">
        <f>SUM(C173:C174)</f>
        <v>0</v>
      </c>
      <c r="D175" s="1680">
        <f t="shared" ref="D175:K175" si="8">SUM(D173:D174)</f>
        <v>0</v>
      </c>
      <c r="E175" s="1680">
        <f t="shared" si="8"/>
        <v>0</v>
      </c>
      <c r="F175" s="1680">
        <f t="shared" si="8"/>
        <v>0</v>
      </c>
      <c r="G175" s="1680">
        <f t="shared" si="8"/>
        <v>0</v>
      </c>
      <c r="H175" s="1680">
        <f t="shared" si="8"/>
        <v>0</v>
      </c>
      <c r="I175" s="1680">
        <f t="shared" si="8"/>
        <v>0</v>
      </c>
      <c r="J175" s="1680">
        <f t="shared" si="8"/>
        <v>0</v>
      </c>
      <c r="K175" s="1661">
        <f t="shared" si="8"/>
        <v>0</v>
      </c>
    </row>
    <row r="176" spans="1:11" s="457" customFormat="1" ht="15.75" customHeight="1" thickTop="1" x14ac:dyDescent="0.2">
      <c r="A176" s="2231" t="s">
        <v>1664</v>
      </c>
      <c r="B176" s="2232"/>
      <c r="C176" s="575"/>
      <c r="D176" s="576"/>
      <c r="E176" s="577"/>
      <c r="F176" s="578"/>
      <c r="G176" s="578"/>
      <c r="H176" s="578"/>
      <c r="I176" s="578"/>
      <c r="J176" s="578"/>
      <c r="K176" s="578"/>
    </row>
    <row r="177" spans="1:11" ht="12.75" customHeight="1" x14ac:dyDescent="0.2">
      <c r="A177" s="463" t="s">
        <v>1045</v>
      </c>
      <c r="B177" s="469">
        <v>4045</v>
      </c>
      <c r="C177" s="1955">
        <v>0</v>
      </c>
      <c r="D177" s="467"/>
      <c r="E177" s="549"/>
      <c r="F177" s="467"/>
      <c r="G177" s="467"/>
      <c r="H177" s="467"/>
      <c r="I177" s="467"/>
      <c r="J177" s="467"/>
      <c r="K177" s="467"/>
    </row>
    <row r="178" spans="1:11" ht="12.75" customHeight="1" x14ac:dyDescent="0.2">
      <c r="A178" s="463" t="s">
        <v>1046</v>
      </c>
      <c r="B178" s="469">
        <v>4050</v>
      </c>
      <c r="C178" s="1955">
        <v>0</v>
      </c>
      <c r="D178" s="1947">
        <v>0</v>
      </c>
      <c r="E178" s="549"/>
      <c r="F178" s="467"/>
      <c r="G178" s="467"/>
      <c r="H178" s="1947">
        <v>0</v>
      </c>
      <c r="I178" s="467"/>
      <c r="J178" s="467"/>
      <c r="K178" s="467"/>
    </row>
    <row r="179" spans="1:11" ht="12.75" customHeight="1" x14ac:dyDescent="0.2">
      <c r="A179" s="463" t="s">
        <v>260</v>
      </c>
      <c r="B179" s="469">
        <v>4060</v>
      </c>
      <c r="C179" s="509">
        <v>0</v>
      </c>
      <c r="D179" s="1946">
        <v>0</v>
      </c>
      <c r="E179" s="467"/>
      <c r="F179" s="1946">
        <v>0</v>
      </c>
      <c r="G179" s="1946">
        <v>0</v>
      </c>
      <c r="H179" s="1946">
        <v>0</v>
      </c>
      <c r="I179" s="467"/>
      <c r="J179" s="467"/>
      <c r="K179" s="514"/>
    </row>
    <row r="180" spans="1:11" ht="22.5" x14ac:dyDescent="0.2">
      <c r="A180" s="551" t="s">
        <v>786</v>
      </c>
      <c r="B180" s="563">
        <v>4090</v>
      </c>
      <c r="C180" s="1955">
        <v>0</v>
      </c>
      <c r="D180" s="1946">
        <v>0</v>
      </c>
      <c r="E180" s="467"/>
      <c r="F180" s="1946">
        <v>0</v>
      </c>
      <c r="G180" s="1946">
        <v>0</v>
      </c>
      <c r="H180" s="1946">
        <v>0</v>
      </c>
      <c r="I180" s="467"/>
      <c r="J180" s="467"/>
      <c r="K180" s="1946">
        <v>0</v>
      </c>
    </row>
    <row r="181" spans="1:11" ht="13.5" thickBot="1" x14ac:dyDescent="0.25">
      <c r="A181" s="2229" t="s">
        <v>785</v>
      </c>
      <c r="B181" s="2230"/>
      <c r="C181" s="1680">
        <f>SUM(C177:C180)</f>
        <v>0</v>
      </c>
      <c r="D181" s="1680">
        <f>SUM(D177:D180)</f>
        <v>0</v>
      </c>
      <c r="E181" s="467"/>
      <c r="F181" s="1680">
        <f>SUM(F177:F180)</f>
        <v>0</v>
      </c>
      <c r="G181" s="1680">
        <f>SUM(G177:G180)</f>
        <v>0</v>
      </c>
      <c r="H181" s="1680">
        <f>SUM(H177:H180)</f>
        <v>0</v>
      </c>
      <c r="I181" s="467"/>
      <c r="J181" s="467"/>
      <c r="K181" s="1661">
        <f>SUM(K177:K180)</f>
        <v>0</v>
      </c>
    </row>
    <row r="182" spans="1:11" ht="22.5" customHeight="1" thickTop="1" x14ac:dyDescent="0.2">
      <c r="A182" s="2225" t="s">
        <v>1800</v>
      </c>
      <c r="B182" s="2226"/>
      <c r="C182" s="564"/>
      <c r="D182" s="554"/>
      <c r="E182" s="502"/>
      <c r="F182" s="554"/>
      <c r="G182" s="554"/>
      <c r="H182" s="467"/>
      <c r="I182" s="467"/>
      <c r="J182" s="467"/>
      <c r="K182" s="467"/>
    </row>
    <row r="183" spans="1:11" ht="15.75" customHeight="1" x14ac:dyDescent="0.2">
      <c r="A183" s="1576" t="s">
        <v>1602</v>
      </c>
      <c r="B183" s="1577"/>
      <c r="C183" s="515"/>
      <c r="D183" s="514"/>
      <c r="E183" s="502"/>
      <c r="F183" s="514"/>
      <c r="G183" s="514"/>
      <c r="H183" s="467"/>
      <c r="I183" s="467"/>
      <c r="J183" s="467"/>
      <c r="K183" s="467"/>
    </row>
    <row r="184" spans="1:11" ht="12.75" customHeight="1" x14ac:dyDescent="0.2">
      <c r="A184" s="463" t="s">
        <v>1603</v>
      </c>
      <c r="B184" s="469">
        <v>4100</v>
      </c>
      <c r="C184" s="509">
        <v>0</v>
      </c>
      <c r="D184" s="477">
        <v>0</v>
      </c>
      <c r="E184" s="549"/>
      <c r="F184" s="477">
        <v>0</v>
      </c>
      <c r="G184" s="477">
        <v>0</v>
      </c>
      <c r="H184" s="467"/>
      <c r="I184" s="467"/>
      <c r="J184" s="467"/>
      <c r="K184" s="467"/>
    </row>
    <row r="185" spans="1:11" ht="12.75" customHeight="1" x14ac:dyDescent="0.2">
      <c r="A185" s="463" t="s">
        <v>1604</v>
      </c>
      <c r="B185" s="469">
        <v>4105</v>
      </c>
      <c r="C185" s="1955">
        <v>0</v>
      </c>
      <c r="D185" s="1946">
        <v>0</v>
      </c>
      <c r="E185" s="549"/>
      <c r="F185" s="1946">
        <v>0</v>
      </c>
      <c r="G185" s="1946">
        <v>0</v>
      </c>
      <c r="H185" s="467"/>
      <c r="I185" s="467"/>
      <c r="J185" s="467"/>
      <c r="K185" s="467"/>
    </row>
    <row r="186" spans="1:11" ht="12.75" customHeight="1" x14ac:dyDescent="0.2">
      <c r="A186" s="463" t="s">
        <v>1606</v>
      </c>
      <c r="B186" s="469">
        <v>4107</v>
      </c>
      <c r="C186" s="1955">
        <v>0</v>
      </c>
      <c r="D186" s="1946">
        <v>0</v>
      </c>
      <c r="E186" s="549"/>
      <c r="F186" s="1946">
        <v>0</v>
      </c>
      <c r="G186" s="1946">
        <v>0</v>
      </c>
      <c r="H186" s="467"/>
      <c r="I186" s="467"/>
      <c r="J186" s="467"/>
      <c r="K186" s="467"/>
    </row>
    <row r="187" spans="1:11" ht="12.75" customHeight="1" x14ac:dyDescent="0.2">
      <c r="A187" s="463" t="s">
        <v>1605</v>
      </c>
      <c r="B187" s="469">
        <v>4199</v>
      </c>
      <c r="C187" s="1955">
        <v>0</v>
      </c>
      <c r="D187" s="1946">
        <v>0</v>
      </c>
      <c r="E187" s="549"/>
      <c r="F187" s="1946">
        <v>0</v>
      </c>
      <c r="G187" s="1946">
        <v>0</v>
      </c>
      <c r="H187" s="467"/>
      <c r="I187" s="467"/>
      <c r="J187" s="467"/>
      <c r="K187" s="467"/>
    </row>
    <row r="188" spans="1:11" ht="12.75" customHeight="1" thickBot="1" x14ac:dyDescent="0.25">
      <c r="A188" s="1681" t="s">
        <v>1607</v>
      </c>
      <c r="B188" s="1682"/>
      <c r="C188" s="1680">
        <f>SUM(C184:C187)</f>
        <v>0</v>
      </c>
      <c r="D188" s="1680">
        <f>SUM(D184:D187)</f>
        <v>0</v>
      </c>
      <c r="E188" s="549"/>
      <c r="F188" s="1680">
        <f>SUM(F184:F187)</f>
        <v>0</v>
      </c>
      <c r="G188" s="1680">
        <f>SUM(G184:G187)</f>
        <v>0</v>
      </c>
      <c r="H188" s="467"/>
      <c r="I188" s="467"/>
      <c r="J188" s="467"/>
      <c r="K188" s="467"/>
    </row>
    <row r="189" spans="1:11" ht="15.75" customHeight="1" thickTop="1" x14ac:dyDescent="0.2">
      <c r="A189" s="1573" t="s">
        <v>455</v>
      </c>
      <c r="B189" s="1578"/>
      <c r="C189" s="541"/>
      <c r="D189" s="554"/>
      <c r="E189" s="549"/>
      <c r="F189" s="541"/>
      <c r="G189" s="541"/>
      <c r="H189" s="467"/>
      <c r="I189" s="467"/>
      <c r="J189" s="467"/>
      <c r="K189" s="467"/>
    </row>
    <row r="190" spans="1:11" x14ac:dyDescent="0.2">
      <c r="A190" s="463" t="s">
        <v>1450</v>
      </c>
      <c r="B190" s="469">
        <v>4200</v>
      </c>
      <c r="C190" s="1947">
        <v>0</v>
      </c>
      <c r="D190" s="467"/>
      <c r="E190" s="549"/>
      <c r="F190" s="541"/>
      <c r="G190" s="1965">
        <v>0</v>
      </c>
      <c r="H190" s="467"/>
      <c r="I190" s="467"/>
      <c r="J190" s="467"/>
      <c r="K190" s="467"/>
    </row>
    <row r="191" spans="1:11" ht="12.75" customHeight="1" x14ac:dyDescent="0.2">
      <c r="A191" s="463" t="s">
        <v>1058</v>
      </c>
      <c r="B191" s="469">
        <v>4210</v>
      </c>
      <c r="C191" s="1946">
        <v>332811</v>
      </c>
      <c r="D191" s="467"/>
      <c r="E191" s="549"/>
      <c r="F191" s="467"/>
      <c r="G191" s="1965">
        <v>0</v>
      </c>
      <c r="H191" s="467"/>
      <c r="I191" s="467"/>
      <c r="J191" s="467"/>
      <c r="K191" s="467"/>
    </row>
    <row r="192" spans="1:11" ht="12.75" customHeight="1" x14ac:dyDescent="0.2">
      <c r="A192" s="463" t="s">
        <v>1047</v>
      </c>
      <c r="B192" s="469">
        <v>4215</v>
      </c>
      <c r="C192" s="1955">
        <v>0</v>
      </c>
      <c r="D192" s="467"/>
      <c r="E192" s="549"/>
      <c r="F192" s="467"/>
      <c r="G192" s="1965">
        <v>0</v>
      </c>
      <c r="H192" s="467"/>
      <c r="I192" s="467"/>
      <c r="J192" s="467"/>
      <c r="K192" s="467"/>
    </row>
    <row r="193" spans="1:11" ht="12.75" customHeight="1" x14ac:dyDescent="0.2">
      <c r="A193" s="463" t="s">
        <v>1059</v>
      </c>
      <c r="B193" s="469">
        <v>4220</v>
      </c>
      <c r="C193" s="1955">
        <v>0</v>
      </c>
      <c r="D193" s="467"/>
      <c r="E193" s="549"/>
      <c r="F193" s="467"/>
      <c r="G193" s="1965">
        <v>0</v>
      </c>
      <c r="H193" s="467"/>
      <c r="I193" s="467"/>
      <c r="J193" s="467"/>
      <c r="K193" s="467"/>
    </row>
    <row r="194" spans="1:11" ht="12.75" customHeight="1" x14ac:dyDescent="0.2">
      <c r="A194" s="463" t="s">
        <v>1451</v>
      </c>
      <c r="B194" s="469">
        <v>4225</v>
      </c>
      <c r="C194" s="1955">
        <v>0</v>
      </c>
      <c r="D194" s="467"/>
      <c r="E194" s="549"/>
      <c r="F194" s="467"/>
      <c r="G194" s="1965">
        <v>0</v>
      </c>
      <c r="H194" s="467"/>
      <c r="I194" s="467"/>
      <c r="J194" s="467"/>
      <c r="K194" s="467"/>
    </row>
    <row r="195" spans="1:11" ht="12.75" customHeight="1" x14ac:dyDescent="0.2">
      <c r="A195" s="463" t="s">
        <v>1452</v>
      </c>
      <c r="B195" s="469">
        <v>4226</v>
      </c>
      <c r="C195" s="1955">
        <v>0</v>
      </c>
      <c r="D195" s="467"/>
      <c r="E195" s="549"/>
      <c r="F195" s="467"/>
      <c r="G195" s="1965">
        <v>0</v>
      </c>
      <c r="H195" s="467"/>
      <c r="I195" s="467"/>
      <c r="J195" s="467"/>
      <c r="K195" s="467"/>
    </row>
    <row r="196" spans="1:11" ht="12.75" customHeight="1" x14ac:dyDescent="0.2">
      <c r="A196" s="463" t="s">
        <v>792</v>
      </c>
      <c r="B196" s="469">
        <v>4240</v>
      </c>
      <c r="C196" s="1950">
        <v>0</v>
      </c>
      <c r="D196" s="467"/>
      <c r="E196" s="549"/>
      <c r="F196" s="467"/>
      <c r="G196" s="566"/>
      <c r="H196" s="467"/>
      <c r="I196" s="467"/>
      <c r="J196" s="467"/>
      <c r="K196" s="467"/>
    </row>
    <row r="197" spans="1:11" ht="12.75" customHeight="1" x14ac:dyDescent="0.2">
      <c r="A197" s="463" t="s">
        <v>71</v>
      </c>
      <c r="B197" s="469">
        <v>4299</v>
      </c>
      <c r="C197" s="1955">
        <v>0</v>
      </c>
      <c r="D197" s="467"/>
      <c r="E197" s="549"/>
      <c r="F197" s="467"/>
      <c r="G197" s="1965">
        <v>0</v>
      </c>
      <c r="H197" s="467"/>
      <c r="I197" s="467"/>
      <c r="J197" s="467"/>
      <c r="K197" s="467"/>
    </row>
    <row r="198" spans="1:11" ht="12.75" customHeight="1" thickBot="1" x14ac:dyDescent="0.25">
      <c r="A198" s="1681" t="s">
        <v>548</v>
      </c>
      <c r="B198" s="1682"/>
      <c r="C198" s="1661">
        <f>SUM(C190:C197)</f>
        <v>332811</v>
      </c>
      <c r="D198" s="467"/>
      <c r="E198" s="467"/>
      <c r="F198" s="467"/>
      <c r="G198" s="1661">
        <f>SUM(G190:G197)</f>
        <v>0</v>
      </c>
      <c r="H198" s="467"/>
      <c r="I198" s="467"/>
      <c r="J198" s="467"/>
      <c r="K198" s="467"/>
    </row>
    <row r="199" spans="1:11" ht="15.75" customHeight="1" thickTop="1" x14ac:dyDescent="0.2">
      <c r="A199" s="1573" t="s">
        <v>1138</v>
      </c>
      <c r="B199" s="1578"/>
      <c r="C199" s="541"/>
      <c r="D199" s="467"/>
      <c r="E199" s="467"/>
      <c r="F199" s="467"/>
      <c r="G199" s="467"/>
      <c r="H199" s="467"/>
      <c r="I199" s="467"/>
      <c r="J199" s="467"/>
      <c r="K199" s="467"/>
    </row>
    <row r="200" spans="1:11" ht="12.75" customHeight="1" x14ac:dyDescent="0.2">
      <c r="A200" s="463" t="s">
        <v>918</v>
      </c>
      <c r="B200" s="469">
        <v>4300</v>
      </c>
      <c r="C200" s="1946">
        <v>150179</v>
      </c>
      <c r="D200" s="1946">
        <v>0</v>
      </c>
      <c r="E200" s="467"/>
      <c r="F200" s="1946">
        <v>10329</v>
      </c>
      <c r="G200" s="1946">
        <v>0</v>
      </c>
      <c r="H200" s="467"/>
      <c r="I200" s="467"/>
      <c r="J200" s="467"/>
      <c r="K200" s="467"/>
    </row>
    <row r="201" spans="1:11" ht="12.75" customHeight="1" x14ac:dyDescent="0.2">
      <c r="A201" s="463" t="s">
        <v>919</v>
      </c>
      <c r="B201" s="469">
        <v>4305</v>
      </c>
      <c r="C201" s="1955">
        <v>0</v>
      </c>
      <c r="D201" s="1946">
        <v>0</v>
      </c>
      <c r="E201" s="467"/>
      <c r="F201" s="1946">
        <v>0</v>
      </c>
      <c r="G201" s="1946">
        <v>0</v>
      </c>
      <c r="H201" s="467"/>
      <c r="I201" s="467"/>
      <c r="J201" s="467"/>
      <c r="K201" s="467"/>
    </row>
    <row r="202" spans="1:11" ht="12.75" customHeight="1" x14ac:dyDescent="0.2">
      <c r="A202" s="463" t="s">
        <v>1031</v>
      </c>
      <c r="B202" s="469">
        <v>4340</v>
      </c>
      <c r="C202" s="1955">
        <v>0</v>
      </c>
      <c r="D202" s="1946">
        <v>0</v>
      </c>
      <c r="E202" s="467"/>
      <c r="F202" s="1946">
        <v>0</v>
      </c>
      <c r="G202" s="1946">
        <v>0</v>
      </c>
      <c r="H202" s="467"/>
      <c r="I202" s="467"/>
      <c r="J202" s="467"/>
      <c r="K202" s="467"/>
    </row>
    <row r="203" spans="1:11" ht="12.75" customHeight="1" x14ac:dyDescent="0.2">
      <c r="A203" s="463" t="s">
        <v>72</v>
      </c>
      <c r="B203" s="469">
        <v>4399</v>
      </c>
      <c r="C203" s="1955">
        <v>0</v>
      </c>
      <c r="D203" s="1946">
        <v>0</v>
      </c>
      <c r="E203" s="467"/>
      <c r="F203" s="1946">
        <v>0</v>
      </c>
      <c r="G203" s="1946">
        <v>0</v>
      </c>
      <c r="H203" s="467"/>
      <c r="I203" s="467"/>
      <c r="J203" s="467"/>
      <c r="K203" s="467"/>
    </row>
    <row r="204" spans="1:11" ht="12.75" customHeight="1" thickBot="1" x14ac:dyDescent="0.25">
      <c r="A204" s="1681" t="s">
        <v>400</v>
      </c>
      <c r="B204" s="1682"/>
      <c r="C204" s="1680">
        <f>SUM(C200:C203)</f>
        <v>150179</v>
      </c>
      <c r="D204" s="1680">
        <f>SUM(D200:D203)</f>
        <v>0</v>
      </c>
      <c r="E204" s="467"/>
      <c r="F204" s="1680">
        <f>SUM(F200:F203)</f>
        <v>10329</v>
      </c>
      <c r="G204" s="1680">
        <f>SUM(G200:G203)</f>
        <v>0</v>
      </c>
      <c r="H204" s="467"/>
      <c r="I204" s="467"/>
      <c r="J204" s="467"/>
      <c r="K204" s="467"/>
    </row>
    <row r="205" spans="1:11" ht="15.75" customHeight="1" thickTop="1" x14ac:dyDescent="0.2">
      <c r="A205" s="1573" t="s">
        <v>1139</v>
      </c>
      <c r="B205" s="1578"/>
      <c r="C205" s="541"/>
      <c r="D205" s="541"/>
      <c r="E205" s="467"/>
      <c r="F205" s="541"/>
      <c r="G205" s="541"/>
      <c r="H205" s="467"/>
      <c r="I205" s="467"/>
      <c r="J205" s="467"/>
      <c r="K205" s="467"/>
    </row>
    <row r="206" spans="1:11" ht="12.75" customHeight="1" x14ac:dyDescent="0.2">
      <c r="A206" s="463" t="s">
        <v>759</v>
      </c>
      <c r="B206" s="469">
        <v>4400</v>
      </c>
      <c r="C206" s="1955">
        <v>21860</v>
      </c>
      <c r="D206" s="1946">
        <v>0</v>
      </c>
      <c r="E206" s="467"/>
      <c r="F206" s="1946">
        <v>0</v>
      </c>
      <c r="G206" s="1946">
        <v>0</v>
      </c>
      <c r="H206" s="467"/>
      <c r="I206" s="467"/>
      <c r="J206" s="467"/>
      <c r="K206" s="467"/>
    </row>
    <row r="207" spans="1:11" ht="12.75" customHeight="1" x14ac:dyDescent="0.2">
      <c r="A207" s="463" t="s">
        <v>1453</v>
      </c>
      <c r="B207" s="469">
        <v>4421</v>
      </c>
      <c r="C207" s="1955">
        <v>0</v>
      </c>
      <c r="D207" s="1946">
        <v>0</v>
      </c>
      <c r="E207" s="467"/>
      <c r="F207" s="1946">
        <v>0</v>
      </c>
      <c r="G207" s="1946">
        <v>0</v>
      </c>
      <c r="H207" s="467"/>
      <c r="I207" s="467"/>
      <c r="J207" s="467"/>
      <c r="K207" s="467"/>
    </row>
    <row r="208" spans="1:11" ht="12.75" customHeight="1" x14ac:dyDescent="0.2">
      <c r="A208" s="463" t="s">
        <v>73</v>
      </c>
      <c r="B208" s="469">
        <v>4499</v>
      </c>
      <c r="C208" s="1955">
        <v>0</v>
      </c>
      <c r="D208" s="1946">
        <v>0</v>
      </c>
      <c r="E208" s="467"/>
      <c r="F208" s="1946">
        <v>0</v>
      </c>
      <c r="G208" s="1946">
        <v>0</v>
      </c>
      <c r="H208" s="467"/>
      <c r="I208" s="467"/>
      <c r="J208" s="467"/>
      <c r="K208" s="467"/>
    </row>
    <row r="209" spans="1:11" ht="12.75" customHeight="1" thickBot="1" x14ac:dyDescent="0.25">
      <c r="A209" s="1681" t="s">
        <v>889</v>
      </c>
      <c r="B209" s="1682"/>
      <c r="C209" s="1680">
        <f>SUM(C206:C208)</f>
        <v>21860</v>
      </c>
      <c r="D209" s="1680">
        <f>SUM(D206:D208)</f>
        <v>0</v>
      </c>
      <c r="E209" s="467" t="s">
        <v>1169</v>
      </c>
      <c r="F209" s="1680">
        <f>SUM(F206:F208)</f>
        <v>0</v>
      </c>
      <c r="G209" s="1680">
        <f>SUM(G206:G208)</f>
        <v>0</v>
      </c>
      <c r="H209" s="467"/>
      <c r="I209" s="467"/>
      <c r="J209" s="467"/>
      <c r="K209" s="467"/>
    </row>
    <row r="210" spans="1:11" ht="15.75" customHeight="1" thickTop="1" x14ac:dyDescent="0.2">
      <c r="A210" s="1573" t="s">
        <v>1092</v>
      </c>
      <c r="B210" s="1578"/>
      <c r="C210" s="541"/>
      <c r="D210" s="541"/>
      <c r="E210" s="467"/>
      <c r="F210" s="541"/>
      <c r="G210" s="541"/>
      <c r="H210" s="467"/>
      <c r="I210" s="467"/>
      <c r="J210" s="467"/>
      <c r="K210" s="467"/>
    </row>
    <row r="211" spans="1:11" ht="12.75" customHeight="1" x14ac:dyDescent="0.2">
      <c r="A211" s="463" t="s">
        <v>1052</v>
      </c>
      <c r="B211" s="469">
        <v>4600</v>
      </c>
      <c r="C211" s="1955">
        <v>21806</v>
      </c>
      <c r="D211" s="1946">
        <v>0</v>
      </c>
      <c r="E211" s="467"/>
      <c r="F211" s="1946">
        <v>0</v>
      </c>
      <c r="G211" s="1946">
        <v>0</v>
      </c>
      <c r="H211" s="467"/>
      <c r="I211" s="467"/>
      <c r="J211" s="467"/>
      <c r="K211" s="467"/>
    </row>
    <row r="212" spans="1:11" ht="12.75" customHeight="1" x14ac:dyDescent="0.2">
      <c r="A212" s="463" t="s">
        <v>1053</v>
      </c>
      <c r="B212" s="469">
        <v>4605</v>
      </c>
      <c r="C212" s="1955">
        <v>0</v>
      </c>
      <c r="D212" s="1946">
        <v>0</v>
      </c>
      <c r="E212" s="467"/>
      <c r="F212" s="1946">
        <v>0</v>
      </c>
      <c r="G212" s="1946">
        <v>0</v>
      </c>
      <c r="H212" s="467"/>
      <c r="I212" s="467"/>
      <c r="J212" s="467"/>
      <c r="K212" s="467"/>
    </row>
    <row r="213" spans="1:11" ht="12.75" customHeight="1" x14ac:dyDescent="0.2">
      <c r="A213" s="463" t="s">
        <v>1454</v>
      </c>
      <c r="B213" s="545">
        <v>4620</v>
      </c>
      <c r="C213" s="1955">
        <v>376666</v>
      </c>
      <c r="D213" s="1946">
        <v>0</v>
      </c>
      <c r="E213" s="467"/>
      <c r="F213" s="1946">
        <v>0</v>
      </c>
      <c r="G213" s="1946">
        <v>0</v>
      </c>
      <c r="H213" s="467"/>
      <c r="I213" s="467"/>
      <c r="J213" s="467"/>
      <c r="K213" s="467"/>
    </row>
    <row r="214" spans="1:11" ht="12.75" customHeight="1" x14ac:dyDescent="0.2">
      <c r="A214" s="463" t="s">
        <v>1054</v>
      </c>
      <c r="B214" s="469">
        <v>4625</v>
      </c>
      <c r="C214" s="1955">
        <v>5543</v>
      </c>
      <c r="D214" s="1946">
        <v>0</v>
      </c>
      <c r="E214" s="467"/>
      <c r="F214" s="1946">
        <v>0</v>
      </c>
      <c r="G214" s="1946">
        <v>0</v>
      </c>
      <c r="H214" s="467"/>
      <c r="I214" s="467"/>
      <c r="J214" s="467"/>
      <c r="K214" s="467"/>
    </row>
    <row r="215" spans="1:11" ht="12.75" customHeight="1" x14ac:dyDescent="0.2">
      <c r="A215" s="463" t="s">
        <v>1055</v>
      </c>
      <c r="B215" s="469">
        <v>4630</v>
      </c>
      <c r="C215" s="1955">
        <v>0</v>
      </c>
      <c r="D215" s="1946">
        <v>0</v>
      </c>
      <c r="E215" s="467"/>
      <c r="F215" s="1946">
        <v>0</v>
      </c>
      <c r="G215" s="1946">
        <v>0</v>
      </c>
      <c r="H215" s="467"/>
      <c r="I215" s="467"/>
      <c r="J215" s="467"/>
      <c r="K215" s="467"/>
    </row>
    <row r="216" spans="1:11" ht="12.75" customHeight="1" x14ac:dyDescent="0.2">
      <c r="A216" s="1474" t="s">
        <v>74</v>
      </c>
      <c r="B216" s="545">
        <v>4699</v>
      </c>
      <c r="C216" s="1955">
        <v>0</v>
      </c>
      <c r="D216" s="1946">
        <v>0</v>
      </c>
      <c r="E216" s="467"/>
      <c r="F216" s="1946">
        <v>0</v>
      </c>
      <c r="G216" s="1946">
        <v>0</v>
      </c>
      <c r="H216" s="467"/>
      <c r="I216" s="467"/>
      <c r="J216" s="467"/>
      <c r="K216" s="467"/>
    </row>
    <row r="217" spans="1:11" ht="12.75" customHeight="1" thickBot="1" x14ac:dyDescent="0.25">
      <c r="A217" s="1681" t="s">
        <v>447</v>
      </c>
      <c r="B217" s="1682"/>
      <c r="C217" s="1680">
        <f>SUM(C211:C216)</f>
        <v>404015</v>
      </c>
      <c r="D217" s="1680">
        <f>SUM(D211:D216)</f>
        <v>0</v>
      </c>
      <c r="E217" s="467"/>
      <c r="F217" s="1680">
        <f>SUM(F211:F216)</f>
        <v>0</v>
      </c>
      <c r="G217" s="1680">
        <f>SUM(G211:G216)</f>
        <v>0</v>
      </c>
      <c r="H217" s="467"/>
      <c r="I217" s="467"/>
      <c r="J217" s="467"/>
      <c r="K217" s="467"/>
    </row>
    <row r="218" spans="1:11" ht="15.75" customHeight="1" thickTop="1" x14ac:dyDescent="0.2">
      <c r="A218" s="1573" t="s">
        <v>1093</v>
      </c>
      <c r="B218" s="1578"/>
      <c r="C218" s="541"/>
      <c r="D218" s="541"/>
      <c r="E218" s="467"/>
      <c r="F218" s="541"/>
      <c r="G218" s="541"/>
      <c r="H218" s="467"/>
      <c r="I218" s="467"/>
      <c r="J218" s="467"/>
      <c r="K218" s="467"/>
    </row>
    <row r="219" spans="1:11" ht="12.75" customHeight="1" x14ac:dyDescent="0.2">
      <c r="A219" s="463" t="s">
        <v>787</v>
      </c>
      <c r="B219" s="469">
        <v>4770</v>
      </c>
      <c r="C219" s="1955">
        <v>0</v>
      </c>
      <c r="D219" s="1946">
        <v>0</v>
      </c>
      <c r="E219" s="467"/>
      <c r="F219" s="467"/>
      <c r="G219" s="1946">
        <v>0</v>
      </c>
      <c r="H219" s="467"/>
      <c r="I219" s="467"/>
      <c r="J219" s="467"/>
      <c r="K219" s="467"/>
    </row>
    <row r="220" spans="1:11" ht="12.75" customHeight="1" x14ac:dyDescent="0.2">
      <c r="A220" s="463" t="s">
        <v>67</v>
      </c>
      <c r="B220" s="469">
        <v>4799</v>
      </c>
      <c r="C220" s="1955">
        <v>0</v>
      </c>
      <c r="D220" s="1946">
        <v>0</v>
      </c>
      <c r="E220" s="467"/>
      <c r="F220" s="467"/>
      <c r="G220" s="1946">
        <v>0</v>
      </c>
      <c r="H220" s="467"/>
      <c r="I220" s="467"/>
      <c r="J220" s="467"/>
      <c r="K220" s="467"/>
    </row>
    <row r="221" spans="1:11" ht="12.75" customHeight="1" thickBot="1" x14ac:dyDescent="0.25">
      <c r="A221" s="1696" t="s">
        <v>1085</v>
      </c>
      <c r="B221" s="1697"/>
      <c r="C221" s="1680">
        <f>SUM(C219:C220)</f>
        <v>0</v>
      </c>
      <c r="D221" s="1680">
        <f>SUM(D219:D220)</f>
        <v>0</v>
      </c>
      <c r="E221" s="467"/>
      <c r="F221" s="467"/>
      <c r="G221" s="1680">
        <f>SUM(G219:G220)</f>
        <v>0</v>
      </c>
      <c r="H221" s="467"/>
      <c r="I221" s="467"/>
      <c r="J221" s="467"/>
      <c r="K221" s="467"/>
    </row>
    <row r="222" spans="1:11" ht="12.75" customHeight="1" thickTop="1" thickBot="1" x14ac:dyDescent="0.25">
      <c r="A222" s="486" t="s">
        <v>757</v>
      </c>
      <c r="B222" s="485">
        <v>4810</v>
      </c>
      <c r="C222" s="1957">
        <v>0</v>
      </c>
      <c r="D222" s="1958">
        <v>0</v>
      </c>
      <c r="E222" s="467"/>
      <c r="F222" s="467"/>
      <c r="G222" s="561">
        <v>0</v>
      </c>
      <c r="H222" s="467"/>
      <c r="I222" s="467"/>
      <c r="J222" s="467"/>
      <c r="K222" s="467"/>
    </row>
    <row r="223" spans="1:11" ht="12.75" customHeight="1" thickTop="1" x14ac:dyDescent="0.2">
      <c r="A223" s="486" t="s">
        <v>350</v>
      </c>
      <c r="B223" s="485">
        <v>4850</v>
      </c>
      <c r="C223" s="1950">
        <v>0</v>
      </c>
      <c r="D223" s="1947">
        <v>0</v>
      </c>
      <c r="E223" s="1947">
        <v>0</v>
      </c>
      <c r="F223" s="1947">
        <v>0</v>
      </c>
      <c r="G223" s="1947">
        <v>0</v>
      </c>
      <c r="H223" s="1947">
        <v>0</v>
      </c>
      <c r="I223" s="467"/>
      <c r="J223" s="1947">
        <v>0</v>
      </c>
      <c r="K223" s="1947">
        <v>0</v>
      </c>
    </row>
    <row r="224" spans="1:11" ht="12.75" customHeight="1" x14ac:dyDescent="0.2">
      <c r="A224" s="486" t="s">
        <v>351</v>
      </c>
      <c r="B224" s="485">
        <v>4851</v>
      </c>
      <c r="C224" s="1950">
        <v>0</v>
      </c>
      <c r="D224" s="1947">
        <v>0</v>
      </c>
      <c r="E224" s="467"/>
      <c r="F224" s="1948">
        <v>0</v>
      </c>
      <c r="G224" s="1947">
        <v>0</v>
      </c>
      <c r="H224" s="467"/>
      <c r="I224" s="467"/>
      <c r="J224" s="467"/>
      <c r="K224" s="467"/>
    </row>
    <row r="225" spans="1:11" ht="12.75" customHeight="1" x14ac:dyDescent="0.2">
      <c r="A225" s="486" t="s">
        <v>352</v>
      </c>
      <c r="B225" s="485">
        <v>4852</v>
      </c>
      <c r="C225" s="1950">
        <v>0</v>
      </c>
      <c r="D225" s="1947">
        <v>0</v>
      </c>
      <c r="E225" s="1947">
        <v>0</v>
      </c>
      <c r="F225" s="1947">
        <v>0</v>
      </c>
      <c r="G225" s="1947">
        <v>0</v>
      </c>
      <c r="H225" s="1947">
        <v>0</v>
      </c>
      <c r="I225" s="467"/>
      <c r="J225" s="1947">
        <v>0</v>
      </c>
      <c r="K225" s="1947">
        <v>0</v>
      </c>
    </row>
    <row r="226" spans="1:11" ht="12.75" customHeight="1" x14ac:dyDescent="0.2">
      <c r="A226" s="486" t="s">
        <v>353</v>
      </c>
      <c r="B226" s="485">
        <v>4853</v>
      </c>
      <c r="C226" s="1950">
        <v>0</v>
      </c>
      <c r="D226" s="1947">
        <v>0</v>
      </c>
      <c r="E226" s="1947">
        <v>0</v>
      </c>
      <c r="F226" s="1947">
        <v>0</v>
      </c>
      <c r="G226" s="1947">
        <v>0</v>
      </c>
      <c r="H226" s="1947">
        <v>0</v>
      </c>
      <c r="I226" s="467"/>
      <c r="J226" s="1947">
        <v>0</v>
      </c>
      <c r="K226" s="1947">
        <v>0</v>
      </c>
    </row>
    <row r="227" spans="1:11" ht="12.75" customHeight="1" x14ac:dyDescent="0.2">
      <c r="A227" s="486" t="s">
        <v>354</v>
      </c>
      <c r="B227" s="485">
        <v>4854</v>
      </c>
      <c r="C227" s="1950">
        <v>0</v>
      </c>
      <c r="D227" s="1947">
        <v>0</v>
      </c>
      <c r="E227" s="1947">
        <v>0</v>
      </c>
      <c r="F227" s="1947">
        <v>0</v>
      </c>
      <c r="G227" s="1947">
        <v>0</v>
      </c>
      <c r="H227" s="1947">
        <v>0</v>
      </c>
      <c r="I227" s="467"/>
      <c r="J227" s="1947">
        <v>0</v>
      </c>
      <c r="K227" s="1947">
        <v>0</v>
      </c>
    </row>
    <row r="228" spans="1:11" ht="12.75" customHeight="1" x14ac:dyDescent="0.2">
      <c r="A228" s="486" t="s">
        <v>464</v>
      </c>
      <c r="B228" s="485">
        <v>4855</v>
      </c>
      <c r="C228" s="1950">
        <v>0</v>
      </c>
      <c r="D228" s="1947">
        <v>0</v>
      </c>
      <c r="E228" s="1947">
        <v>0</v>
      </c>
      <c r="F228" s="1947">
        <v>0</v>
      </c>
      <c r="G228" s="1947">
        <v>0</v>
      </c>
      <c r="H228" s="1947">
        <v>0</v>
      </c>
      <c r="I228" s="467"/>
      <c r="J228" s="1947">
        <v>0</v>
      </c>
      <c r="K228" s="1947">
        <v>0</v>
      </c>
    </row>
    <row r="229" spans="1:11" ht="12.75" customHeight="1" x14ac:dyDescent="0.2">
      <c r="A229" s="486" t="s">
        <v>355</v>
      </c>
      <c r="B229" s="485">
        <v>4856</v>
      </c>
      <c r="C229" s="1950">
        <v>0</v>
      </c>
      <c r="D229" s="1947">
        <v>0</v>
      </c>
      <c r="E229" s="1947">
        <v>0</v>
      </c>
      <c r="F229" s="1947">
        <v>0</v>
      </c>
      <c r="G229" s="1947">
        <v>0</v>
      </c>
      <c r="H229" s="1947">
        <v>0</v>
      </c>
      <c r="I229" s="467"/>
      <c r="J229" s="1947">
        <v>0</v>
      </c>
      <c r="K229" s="1947">
        <v>0</v>
      </c>
    </row>
    <row r="230" spans="1:11" ht="12.75" customHeight="1" x14ac:dyDescent="0.2">
      <c r="A230" s="486" t="s">
        <v>356</v>
      </c>
      <c r="B230" s="485">
        <v>4857</v>
      </c>
      <c r="C230" s="1950">
        <v>0</v>
      </c>
      <c r="D230" s="1947">
        <v>0</v>
      </c>
      <c r="E230" s="1947">
        <v>0</v>
      </c>
      <c r="F230" s="1947">
        <v>0</v>
      </c>
      <c r="G230" s="1947">
        <v>0</v>
      </c>
      <c r="H230" s="1947">
        <v>0</v>
      </c>
      <c r="I230" s="467"/>
      <c r="J230" s="1947">
        <v>0</v>
      </c>
      <c r="K230" s="1947">
        <v>0</v>
      </c>
    </row>
    <row r="231" spans="1:11" ht="12.75" customHeight="1" x14ac:dyDescent="0.2">
      <c r="A231" s="486" t="s">
        <v>357</v>
      </c>
      <c r="B231" s="485">
        <v>4860</v>
      </c>
      <c r="C231" s="1950">
        <v>0</v>
      </c>
      <c r="D231" s="1947">
        <v>0</v>
      </c>
      <c r="E231" s="1947">
        <v>0</v>
      </c>
      <c r="F231" s="1947">
        <v>0</v>
      </c>
      <c r="G231" s="1947">
        <v>0</v>
      </c>
      <c r="H231" s="1947">
        <v>0</v>
      </c>
      <c r="I231" s="467"/>
      <c r="J231" s="1947">
        <v>0</v>
      </c>
      <c r="K231" s="1947">
        <v>0</v>
      </c>
    </row>
    <row r="232" spans="1:11" ht="12.75" customHeight="1" x14ac:dyDescent="0.2">
      <c r="A232" s="486" t="s">
        <v>358</v>
      </c>
      <c r="B232" s="485">
        <v>4861</v>
      </c>
      <c r="C232" s="1950">
        <v>0</v>
      </c>
      <c r="D232" s="1947">
        <v>0</v>
      </c>
      <c r="E232" s="1947">
        <v>0</v>
      </c>
      <c r="F232" s="1947">
        <v>0</v>
      </c>
      <c r="G232" s="1947">
        <v>0</v>
      </c>
      <c r="H232" s="1947">
        <v>0</v>
      </c>
      <c r="I232" s="467"/>
      <c r="J232" s="1947">
        <v>0</v>
      </c>
      <c r="K232" s="1947">
        <v>0</v>
      </c>
    </row>
    <row r="233" spans="1:11" ht="12.75" customHeight="1" x14ac:dyDescent="0.2">
      <c r="A233" s="486" t="s">
        <v>359</v>
      </c>
      <c r="B233" s="485">
        <v>4862</v>
      </c>
      <c r="C233" s="1950">
        <v>0</v>
      </c>
      <c r="D233" s="1947">
        <v>0</v>
      </c>
      <c r="E233" s="472"/>
      <c r="F233" s="1947">
        <v>0</v>
      </c>
      <c r="G233" s="1947">
        <v>0</v>
      </c>
      <c r="H233" s="472"/>
      <c r="I233" s="467"/>
      <c r="J233" s="472"/>
      <c r="K233" s="472"/>
    </row>
    <row r="234" spans="1:11" ht="12.75" customHeight="1" x14ac:dyDescent="0.2">
      <c r="A234" s="486" t="s">
        <v>360</v>
      </c>
      <c r="B234" s="485">
        <v>4863</v>
      </c>
      <c r="C234" s="1950">
        <v>0</v>
      </c>
      <c r="D234" s="1947">
        <v>0</v>
      </c>
      <c r="E234" s="467"/>
      <c r="F234" s="472"/>
      <c r="G234" s="519"/>
      <c r="H234" s="467"/>
      <c r="I234" s="467"/>
      <c r="J234" s="467"/>
      <c r="K234" s="467"/>
    </row>
    <row r="235" spans="1:11" ht="12.75" customHeight="1" x14ac:dyDescent="0.2">
      <c r="A235" s="486" t="s">
        <v>469</v>
      </c>
      <c r="B235" s="485">
        <v>4864</v>
      </c>
      <c r="C235" s="1950">
        <v>0</v>
      </c>
      <c r="D235" s="1947">
        <v>0</v>
      </c>
      <c r="E235" s="1947">
        <v>0</v>
      </c>
      <c r="F235" s="1947">
        <v>0</v>
      </c>
      <c r="G235" s="1947">
        <v>0</v>
      </c>
      <c r="H235" s="1947">
        <v>0</v>
      </c>
      <c r="I235" s="467"/>
      <c r="J235" s="1947">
        <v>0</v>
      </c>
      <c r="K235" s="1947">
        <v>0</v>
      </c>
    </row>
    <row r="236" spans="1:11" ht="12.75" customHeight="1" x14ac:dyDescent="0.2">
      <c r="A236" s="486" t="s">
        <v>470</v>
      </c>
      <c r="B236" s="485">
        <v>4865</v>
      </c>
      <c r="C236" s="1950">
        <v>0</v>
      </c>
      <c r="D236" s="1947">
        <v>0</v>
      </c>
      <c r="E236" s="1947">
        <v>0</v>
      </c>
      <c r="F236" s="1947">
        <v>0</v>
      </c>
      <c r="G236" s="1947">
        <v>0</v>
      </c>
      <c r="H236" s="1947">
        <v>0</v>
      </c>
      <c r="I236" s="467"/>
      <c r="J236" s="1947">
        <v>0</v>
      </c>
      <c r="K236" s="1947">
        <v>0</v>
      </c>
    </row>
    <row r="237" spans="1:11" ht="12.75" customHeight="1" x14ac:dyDescent="0.2">
      <c r="A237" s="486" t="s">
        <v>468</v>
      </c>
      <c r="B237" s="485">
        <v>4866</v>
      </c>
      <c r="C237" s="1950">
        <v>0</v>
      </c>
      <c r="D237" s="1947">
        <v>0</v>
      </c>
      <c r="E237" s="1947">
        <v>0</v>
      </c>
      <c r="F237" s="1947">
        <v>0</v>
      </c>
      <c r="G237" s="1947">
        <v>0</v>
      </c>
      <c r="H237" s="1947">
        <v>0</v>
      </c>
      <c r="I237" s="467"/>
      <c r="J237" s="1947">
        <v>0</v>
      </c>
      <c r="K237" s="1947">
        <v>0</v>
      </c>
    </row>
    <row r="238" spans="1:11" ht="12.75" customHeight="1" x14ac:dyDescent="0.2">
      <c r="A238" s="486" t="s">
        <v>467</v>
      </c>
      <c r="B238" s="485">
        <v>4867</v>
      </c>
      <c r="C238" s="1950">
        <v>0</v>
      </c>
      <c r="D238" s="1947">
        <v>0</v>
      </c>
      <c r="E238" s="1947">
        <v>0</v>
      </c>
      <c r="F238" s="1947">
        <v>0</v>
      </c>
      <c r="G238" s="1947">
        <v>0</v>
      </c>
      <c r="H238" s="1947">
        <v>0</v>
      </c>
      <c r="I238" s="467"/>
      <c r="J238" s="1947">
        <v>0</v>
      </c>
      <c r="K238" s="1947">
        <v>0</v>
      </c>
    </row>
    <row r="239" spans="1:11" ht="12.75" customHeight="1" x14ac:dyDescent="0.2">
      <c r="A239" s="486" t="s">
        <v>466</v>
      </c>
      <c r="B239" s="485">
        <v>4868</v>
      </c>
      <c r="C239" s="1950">
        <v>0</v>
      </c>
      <c r="D239" s="1947">
        <v>0</v>
      </c>
      <c r="E239" s="1947">
        <v>0</v>
      </c>
      <c r="F239" s="1947">
        <v>0</v>
      </c>
      <c r="G239" s="1947">
        <v>0</v>
      </c>
      <c r="H239" s="1947">
        <v>0</v>
      </c>
      <c r="I239" s="467"/>
      <c r="J239" s="1947">
        <v>0</v>
      </c>
      <c r="K239" s="1947">
        <v>0</v>
      </c>
    </row>
    <row r="240" spans="1:11" ht="12.75" customHeight="1" x14ac:dyDescent="0.2">
      <c r="A240" s="486" t="s">
        <v>465</v>
      </c>
      <c r="B240" s="485">
        <v>4869</v>
      </c>
      <c r="C240" s="1950">
        <v>0</v>
      </c>
      <c r="D240" s="1947">
        <v>0</v>
      </c>
      <c r="E240" s="1947">
        <v>0</v>
      </c>
      <c r="F240" s="1947">
        <v>0</v>
      </c>
      <c r="G240" s="1947">
        <v>0</v>
      </c>
      <c r="H240" s="1947">
        <v>0</v>
      </c>
      <c r="I240" s="467"/>
      <c r="J240" s="1947">
        <v>0</v>
      </c>
      <c r="K240" s="1947">
        <v>0</v>
      </c>
    </row>
    <row r="241" spans="1:11" ht="12.75" customHeight="1" x14ac:dyDescent="0.2">
      <c r="A241" s="486" t="s">
        <v>1128</v>
      </c>
      <c r="B241" s="485">
        <v>4870</v>
      </c>
      <c r="C241" s="1950">
        <v>0</v>
      </c>
      <c r="D241" s="1947">
        <v>0</v>
      </c>
      <c r="E241" s="1947">
        <v>0</v>
      </c>
      <c r="F241" s="1947">
        <v>0</v>
      </c>
      <c r="G241" s="1947">
        <v>0</v>
      </c>
      <c r="H241" s="1947">
        <v>0</v>
      </c>
      <c r="I241" s="467"/>
      <c r="J241" s="1947">
        <v>0</v>
      </c>
      <c r="K241" s="1947">
        <v>0</v>
      </c>
    </row>
    <row r="242" spans="1:11" ht="12.75" customHeight="1" x14ac:dyDescent="0.2">
      <c r="A242" s="486" t="s">
        <v>788</v>
      </c>
      <c r="B242" s="485">
        <v>4871</v>
      </c>
      <c r="C242" s="1950">
        <v>0</v>
      </c>
      <c r="D242" s="1947">
        <v>0</v>
      </c>
      <c r="E242" s="1947">
        <v>0</v>
      </c>
      <c r="F242" s="1947">
        <v>0</v>
      </c>
      <c r="G242" s="1947">
        <v>0</v>
      </c>
      <c r="H242" s="1947">
        <v>0</v>
      </c>
      <c r="I242" s="467"/>
      <c r="J242" s="1947">
        <v>0</v>
      </c>
      <c r="K242" s="1947">
        <v>0</v>
      </c>
    </row>
    <row r="243" spans="1:11" ht="12.75" customHeight="1" x14ac:dyDescent="0.2">
      <c r="A243" s="486" t="s">
        <v>789</v>
      </c>
      <c r="B243" s="485">
        <v>4872</v>
      </c>
      <c r="C243" s="1950">
        <v>0</v>
      </c>
      <c r="D243" s="1947">
        <v>0</v>
      </c>
      <c r="E243" s="1947">
        <v>0</v>
      </c>
      <c r="F243" s="1947">
        <v>0</v>
      </c>
      <c r="G243" s="1947">
        <v>0</v>
      </c>
      <c r="H243" s="1947">
        <v>0</v>
      </c>
      <c r="I243" s="467"/>
      <c r="J243" s="1947">
        <v>0</v>
      </c>
      <c r="K243" s="1947">
        <v>0</v>
      </c>
    </row>
    <row r="244" spans="1:11" ht="12.75" customHeight="1" x14ac:dyDescent="0.2">
      <c r="A244" s="486" t="s">
        <v>790</v>
      </c>
      <c r="B244" s="485">
        <v>4873</v>
      </c>
      <c r="C244" s="1950">
        <v>0</v>
      </c>
      <c r="D244" s="1947">
        <v>0</v>
      </c>
      <c r="E244" s="1947">
        <v>0</v>
      </c>
      <c r="F244" s="1947">
        <v>0</v>
      </c>
      <c r="G244" s="1947">
        <v>0</v>
      </c>
      <c r="H244" s="1947">
        <v>0</v>
      </c>
      <c r="I244" s="467"/>
      <c r="J244" s="1947">
        <v>0</v>
      </c>
      <c r="K244" s="1947">
        <v>0</v>
      </c>
    </row>
    <row r="245" spans="1:11" ht="12.75" customHeight="1" x14ac:dyDescent="0.2">
      <c r="A245" s="486" t="s">
        <v>791</v>
      </c>
      <c r="B245" s="485">
        <v>4874</v>
      </c>
      <c r="C245" s="1950">
        <v>0</v>
      </c>
      <c r="D245" s="1947">
        <v>0</v>
      </c>
      <c r="E245" s="1947">
        <v>0</v>
      </c>
      <c r="F245" s="1947">
        <v>0</v>
      </c>
      <c r="G245" s="1947">
        <v>0</v>
      </c>
      <c r="H245" s="1947">
        <v>0</v>
      </c>
      <c r="I245" s="467"/>
      <c r="J245" s="1947">
        <v>0</v>
      </c>
      <c r="K245" s="1947">
        <v>0</v>
      </c>
    </row>
    <row r="246" spans="1:11" ht="12.75" customHeight="1" x14ac:dyDescent="0.2">
      <c r="A246" s="486" t="s">
        <v>471</v>
      </c>
      <c r="B246" s="485">
        <v>4875</v>
      </c>
      <c r="C246" s="1950">
        <v>0</v>
      </c>
      <c r="D246" s="1947">
        <v>0</v>
      </c>
      <c r="E246" s="1947">
        <v>0</v>
      </c>
      <c r="F246" s="1947">
        <v>0</v>
      </c>
      <c r="G246" s="1947">
        <v>0</v>
      </c>
      <c r="H246" s="1947">
        <v>0</v>
      </c>
      <c r="I246" s="467"/>
      <c r="J246" s="1947">
        <v>0</v>
      </c>
      <c r="K246" s="1947">
        <v>0</v>
      </c>
    </row>
    <row r="247" spans="1:11" ht="12.75" customHeight="1" x14ac:dyDescent="0.2">
      <c r="A247" s="486" t="s">
        <v>770</v>
      </c>
      <c r="B247" s="485">
        <v>4876</v>
      </c>
      <c r="C247" s="1950">
        <v>0</v>
      </c>
      <c r="D247" s="1947">
        <v>0</v>
      </c>
      <c r="E247" s="1947">
        <v>0</v>
      </c>
      <c r="F247" s="1947">
        <v>0</v>
      </c>
      <c r="G247" s="1947">
        <v>0</v>
      </c>
      <c r="H247" s="1947">
        <v>0</v>
      </c>
      <c r="I247" s="467"/>
      <c r="J247" s="1947">
        <v>0</v>
      </c>
      <c r="K247" s="1947">
        <v>0</v>
      </c>
    </row>
    <row r="248" spans="1:11" ht="12.75" customHeight="1" x14ac:dyDescent="0.2">
      <c r="A248" s="486" t="s">
        <v>771</v>
      </c>
      <c r="B248" s="485">
        <v>4877</v>
      </c>
      <c r="C248" s="1950">
        <v>0</v>
      </c>
      <c r="D248" s="1947">
        <v>0</v>
      </c>
      <c r="E248" s="1947">
        <v>0</v>
      </c>
      <c r="F248" s="1947">
        <v>0</v>
      </c>
      <c r="G248" s="1947">
        <v>0</v>
      </c>
      <c r="H248" s="1947">
        <v>0</v>
      </c>
      <c r="I248" s="467"/>
      <c r="J248" s="1947">
        <v>0</v>
      </c>
      <c r="K248" s="1947">
        <v>0</v>
      </c>
    </row>
    <row r="249" spans="1:11" ht="12.75" customHeight="1" x14ac:dyDescent="0.2">
      <c r="A249" s="486" t="s">
        <v>772</v>
      </c>
      <c r="B249" s="485">
        <v>4878</v>
      </c>
      <c r="C249" s="1950">
        <v>0</v>
      </c>
      <c r="D249" s="1947">
        <v>0</v>
      </c>
      <c r="E249" s="1947">
        <v>0</v>
      </c>
      <c r="F249" s="1947">
        <v>0</v>
      </c>
      <c r="G249" s="1947">
        <v>0</v>
      </c>
      <c r="H249" s="1947">
        <v>0</v>
      </c>
      <c r="I249" s="467"/>
      <c r="J249" s="1947">
        <v>0</v>
      </c>
      <c r="K249" s="1947">
        <v>0</v>
      </c>
    </row>
    <row r="250" spans="1:11" ht="12.75" customHeight="1" x14ac:dyDescent="0.2">
      <c r="A250" s="486" t="s">
        <v>773</v>
      </c>
      <c r="B250" s="485">
        <v>4879</v>
      </c>
      <c r="C250" s="1950">
        <v>0</v>
      </c>
      <c r="D250" s="1947">
        <v>0</v>
      </c>
      <c r="E250" s="1947">
        <v>0</v>
      </c>
      <c r="F250" s="1947">
        <v>0</v>
      </c>
      <c r="G250" s="1947">
        <v>0</v>
      </c>
      <c r="H250" s="1947">
        <v>0</v>
      </c>
      <c r="I250" s="467"/>
      <c r="J250" s="1947">
        <v>0</v>
      </c>
      <c r="K250" s="1947">
        <v>0</v>
      </c>
    </row>
    <row r="251" spans="1:11" ht="12.75" customHeight="1" x14ac:dyDescent="0.2">
      <c r="A251" s="225" t="s">
        <v>1455</v>
      </c>
      <c r="B251" s="567">
        <v>4880</v>
      </c>
      <c r="C251" s="1950">
        <v>0</v>
      </c>
      <c r="D251" s="1947">
        <v>0</v>
      </c>
      <c r="E251" s="1947">
        <v>0</v>
      </c>
      <c r="F251" s="1947">
        <v>0</v>
      </c>
      <c r="G251" s="1947">
        <v>0</v>
      </c>
      <c r="H251" s="1947">
        <v>0</v>
      </c>
      <c r="I251" s="467"/>
      <c r="J251" s="1947">
        <v>0</v>
      </c>
      <c r="K251" s="1947">
        <v>0</v>
      </c>
    </row>
    <row r="252" spans="1:11" ht="12.75" customHeight="1" thickBot="1" x14ac:dyDescent="0.25">
      <c r="A252" s="1698" t="s">
        <v>774</v>
      </c>
      <c r="B252" s="1699"/>
      <c r="C252" s="1691">
        <f t="shared" ref="C252:H252" si="9">SUM(C223:C251)</f>
        <v>0</v>
      </c>
      <c r="D252" s="1680">
        <f t="shared" si="9"/>
        <v>0</v>
      </c>
      <c r="E252" s="1680">
        <f t="shared" si="9"/>
        <v>0</v>
      </c>
      <c r="F252" s="1680">
        <f t="shared" si="9"/>
        <v>0</v>
      </c>
      <c r="G252" s="1680">
        <f t="shared" si="9"/>
        <v>0</v>
      </c>
      <c r="H252" s="1680">
        <f t="shared" si="9"/>
        <v>0</v>
      </c>
      <c r="I252" s="541"/>
      <c r="J252" s="1680">
        <f>SUM(J223:J251)</f>
        <v>0</v>
      </c>
      <c r="K252" s="1661">
        <f>SUM(K223:K251)</f>
        <v>0</v>
      </c>
    </row>
    <row r="253" spans="1:11" ht="12.75" customHeight="1" thickTop="1" thickBot="1" x14ac:dyDescent="0.25">
      <c r="A253" s="1475" t="s">
        <v>1421</v>
      </c>
      <c r="B253" s="568">
        <v>4901</v>
      </c>
      <c r="C253" s="1966">
        <v>0</v>
      </c>
      <c r="D253" s="468"/>
      <c r="E253" s="467"/>
      <c r="F253" s="467"/>
      <c r="G253" s="467"/>
      <c r="H253" s="467"/>
      <c r="I253" s="467"/>
      <c r="J253" s="467"/>
      <c r="K253" s="467"/>
    </row>
    <row r="254" spans="1:11" ht="12.75" customHeight="1" thickTop="1" thickBot="1" x14ac:dyDescent="0.25">
      <c r="A254" s="1476" t="s">
        <v>1463</v>
      </c>
      <c r="B254" s="569">
        <v>4902</v>
      </c>
      <c r="C254" s="1967">
        <v>0</v>
      </c>
      <c r="D254" s="1983">
        <v>0</v>
      </c>
      <c r="E254" s="468"/>
      <c r="F254" s="1983">
        <v>0</v>
      </c>
      <c r="G254" s="1983">
        <v>0</v>
      </c>
      <c r="H254" s="468"/>
      <c r="I254" s="467"/>
      <c r="J254" s="468"/>
      <c r="K254" s="468"/>
    </row>
    <row r="255" spans="1:11" ht="12.75" customHeight="1" thickTop="1" thickBot="1" x14ac:dyDescent="0.25">
      <c r="A255" s="463" t="s">
        <v>1456</v>
      </c>
      <c r="B255" s="469">
        <v>4905</v>
      </c>
      <c r="C255" s="1956">
        <v>0</v>
      </c>
      <c r="D255" s="467"/>
      <c r="E255" s="467"/>
      <c r="F255" s="1982">
        <v>0</v>
      </c>
      <c r="G255" s="1979">
        <v>0</v>
      </c>
      <c r="H255" s="467"/>
      <c r="I255" s="467"/>
      <c r="J255" s="467"/>
      <c r="K255" s="467"/>
    </row>
    <row r="256" spans="1:11" ht="12.75" customHeight="1" thickTop="1" thickBot="1" x14ac:dyDescent="0.25">
      <c r="A256" s="463" t="s">
        <v>1457</v>
      </c>
      <c r="B256" s="469">
        <v>4909</v>
      </c>
      <c r="C256" s="1958">
        <v>38661</v>
      </c>
      <c r="D256" s="467"/>
      <c r="E256" s="467"/>
      <c r="F256" s="1981">
        <v>0</v>
      </c>
      <c r="G256" s="1981">
        <v>0</v>
      </c>
      <c r="H256" s="467"/>
      <c r="I256" s="467"/>
      <c r="J256" s="467"/>
      <c r="K256" s="467"/>
    </row>
    <row r="257" spans="1:11" ht="12.75" customHeight="1" thickTop="1" thickBot="1" x14ac:dyDescent="0.25">
      <c r="A257" s="463" t="s">
        <v>193</v>
      </c>
      <c r="B257" s="469">
        <v>4920</v>
      </c>
      <c r="C257" s="1958">
        <v>0</v>
      </c>
      <c r="D257" s="1982">
        <v>0</v>
      </c>
      <c r="E257" s="467"/>
      <c r="F257" s="1979">
        <v>0</v>
      </c>
      <c r="G257" s="1979">
        <v>0</v>
      </c>
      <c r="H257" s="467"/>
      <c r="I257" s="467"/>
      <c r="J257" s="467"/>
      <c r="K257" s="467"/>
    </row>
    <row r="258" spans="1:11" ht="12.75" customHeight="1" thickTop="1" thickBot="1" x14ac:dyDescent="0.25">
      <c r="A258" s="463" t="s">
        <v>421</v>
      </c>
      <c r="B258" s="469">
        <v>4930</v>
      </c>
      <c r="C258" s="1958">
        <v>0</v>
      </c>
      <c r="D258" s="1981">
        <v>0</v>
      </c>
      <c r="E258" s="467"/>
      <c r="F258" s="1981">
        <v>0</v>
      </c>
      <c r="G258" s="1981">
        <v>0</v>
      </c>
      <c r="H258" s="467"/>
      <c r="I258" s="467"/>
      <c r="J258" s="467"/>
      <c r="K258" s="467"/>
    </row>
    <row r="259" spans="1:11" ht="12.75" customHeight="1" thickTop="1" thickBot="1" x14ac:dyDescent="0.25">
      <c r="A259" s="463" t="s">
        <v>758</v>
      </c>
      <c r="B259" s="469">
        <v>4932</v>
      </c>
      <c r="C259" s="1958">
        <v>79152</v>
      </c>
      <c r="D259" s="1981">
        <v>0</v>
      </c>
      <c r="E259" s="467"/>
      <c r="F259" s="1981">
        <v>0</v>
      </c>
      <c r="G259" s="1981">
        <v>0</v>
      </c>
      <c r="H259" s="467"/>
      <c r="I259" s="467"/>
      <c r="J259" s="467"/>
      <c r="K259" s="467"/>
    </row>
    <row r="260" spans="1:11" ht="12.75" customHeight="1" thickTop="1" thickBot="1" x14ac:dyDescent="0.25">
      <c r="A260" s="463" t="s">
        <v>890</v>
      </c>
      <c r="B260" s="469">
        <v>4960</v>
      </c>
      <c r="C260" s="1957">
        <v>0</v>
      </c>
      <c r="D260" s="1981">
        <v>0</v>
      </c>
      <c r="E260" s="467"/>
      <c r="F260" s="1981">
        <v>0</v>
      </c>
      <c r="G260" s="1981">
        <v>0</v>
      </c>
      <c r="H260" s="467"/>
      <c r="I260" s="467"/>
      <c r="J260" s="467"/>
      <c r="K260" s="467"/>
    </row>
    <row r="261" spans="1:11" ht="12.75" customHeight="1" thickTop="1" thickBot="1" x14ac:dyDescent="0.25">
      <c r="A261" s="1904" t="s">
        <v>1934</v>
      </c>
      <c r="B261" s="469">
        <v>4981</v>
      </c>
      <c r="C261" s="1987">
        <v>0</v>
      </c>
      <c r="D261" s="1988">
        <v>0</v>
      </c>
      <c r="E261" s="467"/>
      <c r="F261" s="1988">
        <v>0</v>
      </c>
      <c r="G261" s="1988">
        <v>0</v>
      </c>
      <c r="H261" s="467"/>
      <c r="I261" s="467"/>
      <c r="J261" s="467"/>
      <c r="K261" s="467"/>
    </row>
    <row r="262" spans="1:11" ht="12.75" customHeight="1" thickTop="1" thickBot="1" x14ac:dyDescent="0.25">
      <c r="A262" s="1905" t="s">
        <v>1935</v>
      </c>
      <c r="B262" s="469">
        <v>4982</v>
      </c>
      <c r="C262" s="1987">
        <v>0</v>
      </c>
      <c r="D262" s="1988">
        <v>0</v>
      </c>
      <c r="E262" s="467"/>
      <c r="F262" s="1988">
        <v>0</v>
      </c>
      <c r="G262" s="1988">
        <v>0</v>
      </c>
      <c r="H262" s="467"/>
      <c r="I262" s="467"/>
      <c r="J262" s="467"/>
      <c r="K262" s="467"/>
    </row>
    <row r="263" spans="1:11" ht="12.75" customHeight="1" thickTop="1" thickBot="1" x14ac:dyDescent="0.25">
      <c r="A263" s="463" t="s">
        <v>568</v>
      </c>
      <c r="B263" s="469">
        <v>4991</v>
      </c>
      <c r="C263" s="1980">
        <v>30587</v>
      </c>
      <c r="D263" s="1981">
        <v>0</v>
      </c>
      <c r="E263" s="467"/>
      <c r="F263" s="1981">
        <v>0</v>
      </c>
      <c r="G263" s="1981">
        <v>0</v>
      </c>
      <c r="H263" s="467"/>
      <c r="I263" s="467"/>
      <c r="J263" s="467"/>
      <c r="K263" s="467"/>
    </row>
    <row r="264" spans="1:11" ht="12.75" customHeight="1" thickTop="1" thickBot="1" x14ac:dyDescent="0.25">
      <c r="A264" s="463" t="s">
        <v>377</v>
      </c>
      <c r="B264" s="469">
        <v>4992</v>
      </c>
      <c r="C264" s="1980">
        <v>206245</v>
      </c>
      <c r="D264" s="1981">
        <v>0</v>
      </c>
      <c r="E264" s="467"/>
      <c r="F264" s="1981">
        <v>0</v>
      </c>
      <c r="G264" s="1981">
        <v>0</v>
      </c>
      <c r="H264" s="467"/>
      <c r="I264" s="467"/>
      <c r="J264" s="467"/>
      <c r="K264" s="467"/>
    </row>
    <row r="265" spans="1:11" s="570" customFormat="1" ht="12.75" customHeight="1" thickTop="1" thickBot="1" x14ac:dyDescent="0.25">
      <c r="A265" s="551" t="s">
        <v>75</v>
      </c>
      <c r="B265" s="545">
        <v>4999</v>
      </c>
      <c r="C265" s="1980">
        <v>0</v>
      </c>
      <c r="D265" s="1981">
        <v>0</v>
      </c>
      <c r="E265" s="467"/>
      <c r="F265" s="1981">
        <v>0</v>
      </c>
      <c r="G265" s="1981">
        <v>0</v>
      </c>
      <c r="H265" s="1975">
        <v>0</v>
      </c>
      <c r="I265" s="467"/>
      <c r="J265" s="467"/>
      <c r="K265" s="1975">
        <v>0</v>
      </c>
    </row>
    <row r="266" spans="1:11" ht="14.25" thickTop="1" thickBot="1" x14ac:dyDescent="0.25">
      <c r="A266" s="1681" t="s">
        <v>1666</v>
      </c>
      <c r="B266" s="1700"/>
      <c r="C266" s="1688">
        <f t="shared" ref="C266:H266" si="10">SUM(C188,C198,C204,C209,C217,C221,C222,C252:C265)</f>
        <v>1263510</v>
      </c>
      <c r="D266" s="1688">
        <f t="shared" si="10"/>
        <v>0</v>
      </c>
      <c r="E266" s="1688">
        <f t="shared" si="10"/>
        <v>0</v>
      </c>
      <c r="F266" s="1688">
        <f t="shared" si="10"/>
        <v>10329</v>
      </c>
      <c r="G266" s="1688">
        <f t="shared" si="10"/>
        <v>0</v>
      </c>
      <c r="H266" s="1688">
        <f t="shared" si="10"/>
        <v>0</v>
      </c>
      <c r="I266" s="467"/>
      <c r="J266" s="1688">
        <f>SUM(J188,J198,J204,J209,J217,J221,J222,J252:J265)</f>
        <v>0</v>
      </c>
      <c r="K266" s="1675">
        <f>SUM(K188,K198,K204,K209,K217,K221,K222,K252:K265)</f>
        <v>0</v>
      </c>
    </row>
    <row r="267" spans="1:11" ht="14.25" thickTop="1" thickBot="1" x14ac:dyDescent="0.25">
      <c r="A267" s="1701" t="s">
        <v>1086</v>
      </c>
      <c r="B267" s="1702" t="s">
        <v>860</v>
      </c>
      <c r="C267" s="1688">
        <f>SUM(C175,C181,C266)</f>
        <v>1263510</v>
      </c>
      <c r="D267" s="1688">
        <f>SUM(D175,D181,D266)</f>
        <v>0</v>
      </c>
      <c r="E267" s="1688">
        <f>SUM(E175,E266)</f>
        <v>0</v>
      </c>
      <c r="F267" s="1688">
        <f t="shared" ref="F267:K267" si="11">SUM(F175,F181,F266)</f>
        <v>10329</v>
      </c>
      <c r="G267" s="1688">
        <f t="shared" si="11"/>
        <v>0</v>
      </c>
      <c r="H267" s="1688">
        <f t="shared" si="11"/>
        <v>0</v>
      </c>
      <c r="I267" s="1688">
        <f t="shared" si="11"/>
        <v>0</v>
      </c>
      <c r="J267" s="1688">
        <f t="shared" si="11"/>
        <v>0</v>
      </c>
      <c r="K267" s="1675">
        <f t="shared" si="11"/>
        <v>0</v>
      </c>
    </row>
    <row r="268" spans="1:11" ht="14.25" thickTop="1" thickBot="1" x14ac:dyDescent="0.25">
      <c r="A268" s="1703" t="s">
        <v>251</v>
      </c>
      <c r="B268" s="1704"/>
      <c r="C268" s="1688">
        <f t="shared" ref="C268:K268" si="12">SUM(C109,C114,C170,C267)</f>
        <v>25119953</v>
      </c>
      <c r="D268" s="1688">
        <f t="shared" si="12"/>
        <v>2343967</v>
      </c>
      <c r="E268" s="1688">
        <f t="shared" si="12"/>
        <v>5072271</v>
      </c>
      <c r="F268" s="1688">
        <f t="shared" si="12"/>
        <v>2339798</v>
      </c>
      <c r="G268" s="1688">
        <f t="shared" si="12"/>
        <v>743186</v>
      </c>
      <c r="H268" s="1688">
        <f t="shared" si="12"/>
        <v>1312</v>
      </c>
      <c r="I268" s="1688">
        <f t="shared" si="12"/>
        <v>49111</v>
      </c>
      <c r="J268" s="1688">
        <f t="shared" si="12"/>
        <v>193866</v>
      </c>
      <c r="K268" s="1675">
        <f t="shared" si="12"/>
        <v>19143</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19"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33" activePane="bottomLeft" state="frozen"/>
      <selection activeCell="AF22" sqref="AF22"/>
      <selection pane="bottomLeft" activeCell="H356" sqref="H356"/>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201" t="s">
        <v>1799</v>
      </c>
      <c r="B1" s="579"/>
      <c r="C1" s="580" t="s">
        <v>775</v>
      </c>
      <c r="D1" s="580" t="s">
        <v>1078</v>
      </c>
      <c r="E1" s="580" t="s">
        <v>1079</v>
      </c>
      <c r="F1" s="580" t="s">
        <v>1080</v>
      </c>
      <c r="G1" s="580" t="s">
        <v>1081</v>
      </c>
      <c r="H1" s="580" t="s">
        <v>1082</v>
      </c>
      <c r="I1" s="580" t="s">
        <v>1083</v>
      </c>
      <c r="J1" s="580" t="s">
        <v>1084</v>
      </c>
      <c r="K1" s="580" t="s">
        <v>252</v>
      </c>
      <c r="L1" s="581"/>
    </row>
    <row r="2" spans="1:14" s="585" customFormat="1" ht="28.5" customHeight="1" x14ac:dyDescent="0.2">
      <c r="A2" s="2235"/>
      <c r="B2" s="582" t="s">
        <v>45</v>
      </c>
      <c r="C2" s="583" t="s">
        <v>194</v>
      </c>
      <c r="D2" s="584" t="s">
        <v>49</v>
      </c>
      <c r="E2" s="584" t="s">
        <v>1100</v>
      </c>
      <c r="F2" s="584" t="s">
        <v>1094</v>
      </c>
      <c r="G2" s="583" t="s">
        <v>1095</v>
      </c>
      <c r="H2" s="583" t="s">
        <v>1096</v>
      </c>
      <c r="I2" s="584" t="s">
        <v>291</v>
      </c>
      <c r="J2" s="584" t="s">
        <v>292</v>
      </c>
      <c r="K2" s="583" t="s">
        <v>156</v>
      </c>
      <c r="L2" s="583" t="s">
        <v>30</v>
      </c>
      <c r="M2" s="257"/>
      <c r="N2" s="257"/>
    </row>
    <row r="3" spans="1:14" s="343" customFormat="1" ht="16.7" customHeight="1" x14ac:dyDescent="0.2">
      <c r="A3" s="2241" t="s">
        <v>297</v>
      </c>
      <c r="B3" s="2242"/>
      <c r="C3" s="1521"/>
      <c r="D3" s="1521"/>
      <c r="E3" s="1521"/>
      <c r="F3" s="1521"/>
      <c r="G3" s="1521"/>
      <c r="H3" s="1521"/>
      <c r="I3" s="1521"/>
      <c r="J3" s="1521"/>
      <c r="K3" s="1522"/>
      <c r="L3" s="1523"/>
      <c r="M3" s="586"/>
      <c r="N3" s="586"/>
    </row>
    <row r="4" spans="1:14" s="259" customFormat="1" ht="15.75" customHeight="1" x14ac:dyDescent="0.2">
      <c r="A4" s="1579" t="s">
        <v>44</v>
      </c>
      <c r="B4" s="1580" t="s">
        <v>570</v>
      </c>
      <c r="C4" s="587"/>
      <c r="D4" s="587"/>
      <c r="E4" s="587"/>
      <c r="F4" s="587"/>
      <c r="G4" s="587"/>
      <c r="H4" s="587"/>
      <c r="I4" s="588"/>
      <c r="J4" s="587"/>
      <c r="K4" s="589"/>
      <c r="L4" s="587"/>
      <c r="M4" s="590"/>
      <c r="N4" s="590"/>
    </row>
    <row r="5" spans="1:14" x14ac:dyDescent="0.2">
      <c r="A5" s="1477" t="s">
        <v>961</v>
      </c>
      <c r="B5" s="591">
        <v>1100</v>
      </c>
      <c r="C5" s="1968">
        <v>7491422</v>
      </c>
      <c r="D5" s="1968">
        <v>994224</v>
      </c>
      <c r="E5" s="1968">
        <v>92657</v>
      </c>
      <c r="F5" s="1968">
        <v>753044</v>
      </c>
      <c r="G5" s="1968">
        <v>0</v>
      </c>
      <c r="H5" s="1968">
        <v>1910</v>
      </c>
      <c r="I5" s="1969">
        <v>16277</v>
      </c>
      <c r="J5" s="1969">
        <v>0</v>
      </c>
      <c r="K5" s="1644">
        <f>SUM(C5:J5)</f>
        <v>9349534</v>
      </c>
      <c r="L5" s="1990">
        <v>9674016</v>
      </c>
    </row>
    <row r="6" spans="1:14" x14ac:dyDescent="0.2">
      <c r="A6" s="1477" t="s">
        <v>1433</v>
      </c>
      <c r="B6" s="591" t="s">
        <v>1431</v>
      </c>
      <c r="C6" s="473"/>
      <c r="D6" s="473"/>
      <c r="E6" s="1968">
        <v>0</v>
      </c>
      <c r="F6" s="473"/>
      <c r="G6" s="473"/>
      <c r="H6" s="473"/>
      <c r="I6" s="473"/>
      <c r="J6" s="473"/>
      <c r="K6" s="1644">
        <f>SUM(C6,E6)</f>
        <v>0</v>
      </c>
      <c r="L6" s="1990">
        <v>0</v>
      </c>
    </row>
    <row r="7" spans="1:14" x14ac:dyDescent="0.2">
      <c r="A7" s="1477" t="s">
        <v>163</v>
      </c>
      <c r="B7" s="591" t="s">
        <v>967</v>
      </c>
      <c r="C7" s="1969">
        <v>0</v>
      </c>
      <c r="D7" s="1969">
        <v>0</v>
      </c>
      <c r="E7" s="1969">
        <v>0</v>
      </c>
      <c r="F7" s="1969">
        <v>0</v>
      </c>
      <c r="G7" s="1969">
        <v>0</v>
      </c>
      <c r="H7" s="1969">
        <v>0</v>
      </c>
      <c r="I7" s="1969">
        <v>0</v>
      </c>
      <c r="J7" s="1969">
        <v>0</v>
      </c>
      <c r="K7" s="1644">
        <f t="shared" ref="K7:K32" si="0">SUM(C7:J7)</f>
        <v>0</v>
      </c>
      <c r="L7" s="1990">
        <v>0</v>
      </c>
    </row>
    <row r="8" spans="1:14" x14ac:dyDescent="0.2">
      <c r="A8" s="1477" t="s">
        <v>164</v>
      </c>
      <c r="B8" s="591">
        <v>1200</v>
      </c>
      <c r="C8" s="1968">
        <v>2097097</v>
      </c>
      <c r="D8" s="1968">
        <v>395264</v>
      </c>
      <c r="E8" s="1968">
        <v>12753</v>
      </c>
      <c r="F8" s="1968">
        <v>10264</v>
      </c>
      <c r="G8" s="1968">
        <v>0</v>
      </c>
      <c r="H8" s="1968">
        <v>1102</v>
      </c>
      <c r="I8" s="1969">
        <v>3736</v>
      </c>
      <c r="J8" s="1969">
        <v>0</v>
      </c>
      <c r="K8" s="1644">
        <f t="shared" si="0"/>
        <v>2520216</v>
      </c>
      <c r="L8" s="1990">
        <v>2705261</v>
      </c>
    </row>
    <row r="9" spans="1:14" x14ac:dyDescent="0.2">
      <c r="A9" s="1477" t="s">
        <v>721</v>
      </c>
      <c r="B9" s="591" t="s">
        <v>968</v>
      </c>
      <c r="C9" s="1969">
        <v>153715</v>
      </c>
      <c r="D9" s="1969">
        <v>15591</v>
      </c>
      <c r="E9" s="1969">
        <v>2171</v>
      </c>
      <c r="F9" s="1969">
        <v>14665</v>
      </c>
      <c r="G9" s="1991">
        <v>0</v>
      </c>
      <c r="H9" s="1969">
        <v>0</v>
      </c>
      <c r="I9" s="1969">
        <v>0</v>
      </c>
      <c r="J9" s="1969">
        <v>0</v>
      </c>
      <c r="K9" s="1644">
        <f t="shared" si="0"/>
        <v>186142</v>
      </c>
      <c r="L9" s="1990">
        <v>146229</v>
      </c>
    </row>
    <row r="10" spans="1:14" x14ac:dyDescent="0.2">
      <c r="A10" s="1477" t="s">
        <v>722</v>
      </c>
      <c r="B10" s="591">
        <v>1250</v>
      </c>
      <c r="C10" s="1968">
        <v>660209</v>
      </c>
      <c r="D10" s="1968">
        <v>124675</v>
      </c>
      <c r="E10" s="1968">
        <v>0</v>
      </c>
      <c r="F10" s="1968">
        <v>0</v>
      </c>
      <c r="G10" s="1968">
        <v>0</v>
      </c>
      <c r="H10" s="1968">
        <v>0</v>
      </c>
      <c r="I10" s="1969">
        <v>0</v>
      </c>
      <c r="J10" s="1969">
        <v>0</v>
      </c>
      <c r="K10" s="1644">
        <f t="shared" si="0"/>
        <v>784884</v>
      </c>
      <c r="L10" s="1990">
        <v>779933</v>
      </c>
    </row>
    <row r="11" spans="1:14" x14ac:dyDescent="0.2">
      <c r="A11" s="1477" t="s">
        <v>1130</v>
      </c>
      <c r="B11" s="591" t="s">
        <v>161</v>
      </c>
      <c r="C11" s="1969">
        <v>0</v>
      </c>
      <c r="D11" s="1969">
        <v>0</v>
      </c>
      <c r="E11" s="1969">
        <v>0</v>
      </c>
      <c r="F11" s="1969">
        <v>0</v>
      </c>
      <c r="G11" s="1969">
        <v>0</v>
      </c>
      <c r="H11" s="1969">
        <v>0</v>
      </c>
      <c r="I11" s="1969">
        <v>0</v>
      </c>
      <c r="J11" s="1969">
        <v>0</v>
      </c>
      <c r="K11" s="1644">
        <f t="shared" si="0"/>
        <v>0</v>
      </c>
      <c r="L11" s="1990">
        <v>0</v>
      </c>
    </row>
    <row r="12" spans="1:14" x14ac:dyDescent="0.2">
      <c r="A12" s="1477" t="s">
        <v>962</v>
      </c>
      <c r="B12" s="591">
        <v>1300</v>
      </c>
      <c r="C12" s="1968">
        <v>0</v>
      </c>
      <c r="D12" s="1968">
        <v>0</v>
      </c>
      <c r="E12" s="1968">
        <v>0</v>
      </c>
      <c r="F12" s="1968">
        <v>0</v>
      </c>
      <c r="G12" s="1968">
        <v>0</v>
      </c>
      <c r="H12" s="1968">
        <v>0</v>
      </c>
      <c r="I12" s="1969">
        <v>0</v>
      </c>
      <c r="J12" s="1969">
        <v>0</v>
      </c>
      <c r="K12" s="1644">
        <f t="shared" si="0"/>
        <v>0</v>
      </c>
      <c r="L12" s="1990">
        <v>0</v>
      </c>
    </row>
    <row r="13" spans="1:14" x14ac:dyDescent="0.2">
      <c r="A13" s="1477" t="s">
        <v>723</v>
      </c>
      <c r="B13" s="591">
        <v>1400</v>
      </c>
      <c r="C13" s="1968">
        <v>0</v>
      </c>
      <c r="D13" s="1968">
        <v>0</v>
      </c>
      <c r="E13" s="1968">
        <v>0</v>
      </c>
      <c r="F13" s="1968">
        <v>0</v>
      </c>
      <c r="G13" s="1968">
        <v>0</v>
      </c>
      <c r="H13" s="1968">
        <v>0</v>
      </c>
      <c r="I13" s="1969">
        <v>0</v>
      </c>
      <c r="J13" s="1969">
        <v>0</v>
      </c>
      <c r="K13" s="1644">
        <f t="shared" si="0"/>
        <v>0</v>
      </c>
      <c r="L13" s="1990">
        <v>0</v>
      </c>
    </row>
    <row r="14" spans="1:14" x14ac:dyDescent="0.2">
      <c r="A14" s="1477" t="s">
        <v>963</v>
      </c>
      <c r="B14" s="591">
        <v>1500</v>
      </c>
      <c r="C14" s="1968">
        <v>93660</v>
      </c>
      <c r="D14" s="1968">
        <v>1269</v>
      </c>
      <c r="E14" s="1968">
        <v>7381</v>
      </c>
      <c r="F14" s="1968">
        <v>13752</v>
      </c>
      <c r="G14" s="1968">
        <v>0</v>
      </c>
      <c r="H14" s="1968">
        <v>2030</v>
      </c>
      <c r="I14" s="1969">
        <v>0</v>
      </c>
      <c r="J14" s="1969">
        <v>0</v>
      </c>
      <c r="K14" s="1644">
        <f t="shared" si="0"/>
        <v>118092</v>
      </c>
      <c r="L14" s="1990">
        <v>121639</v>
      </c>
    </row>
    <row r="15" spans="1:14" x14ac:dyDescent="0.2">
      <c r="A15" s="1477" t="s">
        <v>964</v>
      </c>
      <c r="B15" s="591">
        <v>1600</v>
      </c>
      <c r="C15" s="1968">
        <v>142607</v>
      </c>
      <c r="D15" s="1968">
        <v>4250</v>
      </c>
      <c r="E15" s="1968">
        <v>0</v>
      </c>
      <c r="F15" s="1968">
        <v>0</v>
      </c>
      <c r="G15" s="1968">
        <v>0</v>
      </c>
      <c r="H15" s="1968">
        <v>0</v>
      </c>
      <c r="I15" s="1969">
        <v>0</v>
      </c>
      <c r="J15" s="1969">
        <v>0</v>
      </c>
      <c r="K15" s="1644">
        <f t="shared" si="0"/>
        <v>146857</v>
      </c>
      <c r="L15" s="1990">
        <v>145048</v>
      </c>
    </row>
    <row r="16" spans="1:14" x14ac:dyDescent="0.2">
      <c r="A16" s="1477" t="s">
        <v>987</v>
      </c>
      <c r="B16" s="591" t="s">
        <v>424</v>
      </c>
      <c r="C16" s="1968">
        <v>0</v>
      </c>
      <c r="D16" s="1968">
        <v>0</v>
      </c>
      <c r="E16" s="1968">
        <v>0</v>
      </c>
      <c r="F16" s="1968">
        <v>0</v>
      </c>
      <c r="G16" s="1968">
        <v>0</v>
      </c>
      <c r="H16" s="1968">
        <v>0</v>
      </c>
      <c r="I16" s="1969">
        <v>0</v>
      </c>
      <c r="J16" s="1969">
        <v>0</v>
      </c>
      <c r="K16" s="1644">
        <f t="shared" si="0"/>
        <v>0</v>
      </c>
      <c r="L16" s="1990">
        <v>0</v>
      </c>
    </row>
    <row r="17" spans="1:12" x14ac:dyDescent="0.2">
      <c r="A17" s="1477" t="s">
        <v>724</v>
      </c>
      <c r="B17" s="591" t="s">
        <v>162</v>
      </c>
      <c r="C17" s="1969">
        <v>0</v>
      </c>
      <c r="D17" s="1969">
        <v>0</v>
      </c>
      <c r="E17" s="1969">
        <v>0</v>
      </c>
      <c r="F17" s="1969">
        <v>0</v>
      </c>
      <c r="G17" s="1969">
        <v>0</v>
      </c>
      <c r="H17" s="1969">
        <v>0</v>
      </c>
      <c r="I17" s="1969">
        <v>0</v>
      </c>
      <c r="J17" s="1969">
        <v>0</v>
      </c>
      <c r="K17" s="1644">
        <f t="shared" si="0"/>
        <v>0</v>
      </c>
      <c r="L17" s="1990">
        <v>0</v>
      </c>
    </row>
    <row r="18" spans="1:12" x14ac:dyDescent="0.2">
      <c r="A18" s="1477" t="s">
        <v>1087</v>
      </c>
      <c r="B18" s="591">
        <v>1800</v>
      </c>
      <c r="C18" s="1968">
        <v>502702</v>
      </c>
      <c r="D18" s="1968">
        <v>81847</v>
      </c>
      <c r="E18" s="1968">
        <v>2609</v>
      </c>
      <c r="F18" s="1968">
        <v>2236</v>
      </c>
      <c r="G18" s="1968">
        <v>0</v>
      </c>
      <c r="H18" s="1968">
        <v>0</v>
      </c>
      <c r="I18" s="1969">
        <v>0</v>
      </c>
      <c r="J18" s="1969">
        <v>0</v>
      </c>
      <c r="K18" s="1644">
        <f t="shared" si="0"/>
        <v>589394</v>
      </c>
      <c r="L18" s="1990">
        <v>597124</v>
      </c>
    </row>
    <row r="19" spans="1:12" x14ac:dyDescent="0.2">
      <c r="A19" s="1477" t="s">
        <v>134</v>
      </c>
      <c r="B19" s="591">
        <v>1900</v>
      </c>
      <c r="C19" s="1968">
        <v>0</v>
      </c>
      <c r="D19" s="1968">
        <v>0</v>
      </c>
      <c r="E19" s="1968">
        <v>0</v>
      </c>
      <c r="F19" s="1968">
        <v>0</v>
      </c>
      <c r="G19" s="1968">
        <v>0</v>
      </c>
      <c r="H19" s="1968">
        <v>0</v>
      </c>
      <c r="I19" s="1969">
        <v>0</v>
      </c>
      <c r="J19" s="1969">
        <v>0</v>
      </c>
      <c r="K19" s="1644">
        <f t="shared" si="0"/>
        <v>0</v>
      </c>
      <c r="L19" s="1990">
        <v>0</v>
      </c>
    </row>
    <row r="20" spans="1:12" x14ac:dyDescent="0.2">
      <c r="A20" s="1478" t="s">
        <v>738</v>
      </c>
      <c r="B20" s="579" t="s">
        <v>725</v>
      </c>
      <c r="C20" s="473"/>
      <c r="D20" s="473"/>
      <c r="E20" s="473"/>
      <c r="F20" s="473"/>
      <c r="G20" s="473"/>
      <c r="H20" s="1971">
        <v>0</v>
      </c>
      <c r="I20" s="593"/>
      <c r="J20" s="472"/>
      <c r="K20" s="1644">
        <f t="shared" si="0"/>
        <v>0</v>
      </c>
      <c r="L20" s="1992">
        <v>0</v>
      </c>
    </row>
    <row r="21" spans="1:12" x14ac:dyDescent="0.2">
      <c r="A21" s="1478" t="s">
        <v>739</v>
      </c>
      <c r="B21" s="579" t="s">
        <v>726</v>
      </c>
      <c r="C21" s="473"/>
      <c r="D21" s="473"/>
      <c r="E21" s="473"/>
      <c r="F21" s="473"/>
      <c r="G21" s="473"/>
      <c r="H21" s="1971">
        <v>0</v>
      </c>
      <c r="I21" s="593"/>
      <c r="J21" s="473"/>
      <c r="K21" s="1644">
        <f t="shared" si="0"/>
        <v>0</v>
      </c>
      <c r="L21" s="1992">
        <v>0</v>
      </c>
    </row>
    <row r="22" spans="1:12" x14ac:dyDescent="0.2">
      <c r="A22" s="1478" t="s">
        <v>740</v>
      </c>
      <c r="B22" s="579" t="s">
        <v>727</v>
      </c>
      <c r="C22" s="473"/>
      <c r="D22" s="473"/>
      <c r="E22" s="473"/>
      <c r="F22" s="473"/>
      <c r="G22" s="473"/>
      <c r="H22" s="1971">
        <v>818168</v>
      </c>
      <c r="I22" s="593"/>
      <c r="J22" s="473"/>
      <c r="K22" s="1644">
        <f t="shared" si="0"/>
        <v>818168</v>
      </c>
      <c r="L22" s="1992">
        <v>750000</v>
      </c>
    </row>
    <row r="23" spans="1:12" x14ac:dyDescent="0.2">
      <c r="A23" s="1478" t="s">
        <v>741</v>
      </c>
      <c r="B23" s="579" t="s">
        <v>728</v>
      </c>
      <c r="C23" s="473"/>
      <c r="D23" s="473"/>
      <c r="E23" s="473"/>
      <c r="F23" s="473"/>
      <c r="G23" s="473"/>
      <c r="H23" s="1971">
        <v>0</v>
      </c>
      <c r="I23" s="593"/>
      <c r="J23" s="473"/>
      <c r="K23" s="1644">
        <f t="shared" si="0"/>
        <v>0</v>
      </c>
      <c r="L23" s="1992">
        <v>0</v>
      </c>
    </row>
    <row r="24" spans="1:12" ht="12.75" customHeight="1" x14ac:dyDescent="0.2">
      <c r="A24" s="1478" t="s">
        <v>742</v>
      </c>
      <c r="B24" s="579" t="s">
        <v>729</v>
      </c>
      <c r="C24" s="473"/>
      <c r="D24" s="473"/>
      <c r="E24" s="473"/>
      <c r="F24" s="473"/>
      <c r="G24" s="473"/>
      <c r="H24" s="1971">
        <v>0</v>
      </c>
      <c r="I24" s="593"/>
      <c r="J24" s="473"/>
      <c r="K24" s="1644">
        <f t="shared" si="0"/>
        <v>0</v>
      </c>
      <c r="L24" s="1992">
        <v>0</v>
      </c>
    </row>
    <row r="25" spans="1:12" ht="12.75" customHeight="1" x14ac:dyDescent="0.2">
      <c r="A25" s="1478" t="s">
        <v>802</v>
      </c>
      <c r="B25" s="579" t="s">
        <v>730</v>
      </c>
      <c r="C25" s="473"/>
      <c r="D25" s="473"/>
      <c r="E25" s="473"/>
      <c r="F25" s="473"/>
      <c r="G25" s="473"/>
      <c r="H25" s="1971">
        <v>0</v>
      </c>
      <c r="I25" s="593"/>
      <c r="J25" s="473"/>
      <c r="K25" s="1644">
        <f t="shared" si="0"/>
        <v>0</v>
      </c>
      <c r="L25" s="1992">
        <v>0</v>
      </c>
    </row>
    <row r="26" spans="1:12" x14ac:dyDescent="0.2">
      <c r="A26" s="1478" t="s">
        <v>622</v>
      </c>
      <c r="B26" s="579" t="s">
        <v>731</v>
      </c>
      <c r="C26" s="473"/>
      <c r="D26" s="473"/>
      <c r="E26" s="473"/>
      <c r="F26" s="473"/>
      <c r="G26" s="473"/>
      <c r="H26" s="1971">
        <v>0</v>
      </c>
      <c r="I26" s="593"/>
      <c r="J26" s="473"/>
      <c r="K26" s="1644">
        <f t="shared" si="0"/>
        <v>0</v>
      </c>
      <c r="L26" s="1992">
        <v>0</v>
      </c>
    </row>
    <row r="27" spans="1:12" x14ac:dyDescent="0.2">
      <c r="A27" s="1478" t="s">
        <v>623</v>
      </c>
      <c r="B27" s="579" t="s">
        <v>732</v>
      </c>
      <c r="C27" s="473"/>
      <c r="D27" s="473"/>
      <c r="E27" s="473"/>
      <c r="F27" s="473"/>
      <c r="G27" s="473"/>
      <c r="H27" s="1971">
        <v>0</v>
      </c>
      <c r="I27" s="593"/>
      <c r="J27" s="473"/>
      <c r="K27" s="1644">
        <f t="shared" si="0"/>
        <v>0</v>
      </c>
      <c r="L27" s="1992">
        <v>0</v>
      </c>
    </row>
    <row r="28" spans="1:12" x14ac:dyDescent="0.2">
      <c r="A28" s="1478" t="s">
        <v>150</v>
      </c>
      <c r="B28" s="579" t="s">
        <v>733</v>
      </c>
      <c r="C28" s="473"/>
      <c r="D28" s="473"/>
      <c r="E28" s="473"/>
      <c r="F28" s="473"/>
      <c r="G28" s="473"/>
      <c r="H28" s="1971">
        <v>0</v>
      </c>
      <c r="I28" s="593"/>
      <c r="J28" s="473"/>
      <c r="K28" s="1644">
        <f t="shared" si="0"/>
        <v>0</v>
      </c>
      <c r="L28" s="1992">
        <v>0</v>
      </c>
    </row>
    <row r="29" spans="1:12" x14ac:dyDescent="0.2">
      <c r="A29" s="1478" t="s">
        <v>151</v>
      </c>
      <c r="B29" s="579" t="s">
        <v>734</v>
      </c>
      <c r="C29" s="473"/>
      <c r="D29" s="473"/>
      <c r="E29" s="473"/>
      <c r="F29" s="473"/>
      <c r="G29" s="473"/>
      <c r="H29" s="1971">
        <v>0</v>
      </c>
      <c r="I29" s="593"/>
      <c r="J29" s="473"/>
      <c r="K29" s="1644">
        <f t="shared" si="0"/>
        <v>0</v>
      </c>
      <c r="L29" s="1992">
        <v>0</v>
      </c>
    </row>
    <row r="30" spans="1:12" x14ac:dyDescent="0.2">
      <c r="A30" s="1478" t="s">
        <v>152</v>
      </c>
      <c r="B30" s="579" t="s">
        <v>735</v>
      </c>
      <c r="C30" s="473"/>
      <c r="D30" s="473"/>
      <c r="E30" s="473"/>
      <c r="F30" s="473"/>
      <c r="G30" s="473"/>
      <c r="H30" s="1971">
        <v>0</v>
      </c>
      <c r="I30" s="593"/>
      <c r="J30" s="473"/>
      <c r="K30" s="1644">
        <f t="shared" si="0"/>
        <v>0</v>
      </c>
      <c r="L30" s="1992">
        <v>0</v>
      </c>
    </row>
    <row r="31" spans="1:12" x14ac:dyDescent="0.2">
      <c r="A31" s="1478" t="s">
        <v>153</v>
      </c>
      <c r="B31" s="579" t="s">
        <v>736</v>
      </c>
      <c r="C31" s="473"/>
      <c r="D31" s="473"/>
      <c r="E31" s="473"/>
      <c r="F31" s="473"/>
      <c r="G31" s="473"/>
      <c r="H31" s="1971">
        <v>0</v>
      </c>
      <c r="I31" s="593"/>
      <c r="J31" s="473"/>
      <c r="K31" s="1644">
        <f t="shared" si="0"/>
        <v>0</v>
      </c>
      <c r="L31" s="1992">
        <v>0</v>
      </c>
    </row>
    <row r="32" spans="1:12" x14ac:dyDescent="0.2">
      <c r="A32" s="1479" t="s">
        <v>1129</v>
      </c>
      <c r="B32" s="591" t="s">
        <v>737</v>
      </c>
      <c r="C32" s="473"/>
      <c r="D32" s="473"/>
      <c r="E32" s="473"/>
      <c r="F32" s="473"/>
      <c r="G32" s="473"/>
      <c r="H32" s="1971">
        <v>0</v>
      </c>
      <c r="I32" s="593"/>
      <c r="J32" s="476"/>
      <c r="K32" s="1644">
        <f t="shared" si="0"/>
        <v>0</v>
      </c>
      <c r="L32" s="1992">
        <v>0</v>
      </c>
    </row>
    <row r="33" spans="1:14" ht="12.75" customHeight="1" thickBot="1" x14ac:dyDescent="0.25">
      <c r="A33" s="1641" t="s">
        <v>1668</v>
      </c>
      <c r="B33" s="1642" t="s">
        <v>570</v>
      </c>
      <c r="C33" s="1643">
        <f>SUM(C5:C32)</f>
        <v>11141412</v>
      </c>
      <c r="D33" s="1643">
        <f t="shared" ref="D33:L33" si="1">SUM(D5:D32)</f>
        <v>1617120</v>
      </c>
      <c r="E33" s="1643">
        <f t="shared" si="1"/>
        <v>117571</v>
      </c>
      <c r="F33" s="1643">
        <f t="shared" si="1"/>
        <v>793961</v>
      </c>
      <c r="G33" s="1643">
        <f t="shared" si="1"/>
        <v>0</v>
      </c>
      <c r="H33" s="1643">
        <f t="shared" si="1"/>
        <v>823210</v>
      </c>
      <c r="I33" s="1643">
        <f t="shared" si="1"/>
        <v>20013</v>
      </c>
      <c r="J33" s="1643">
        <f t="shared" si="1"/>
        <v>0</v>
      </c>
      <c r="K33" s="1643">
        <f t="shared" si="1"/>
        <v>14513287</v>
      </c>
      <c r="L33" s="1643">
        <f t="shared" si="1"/>
        <v>14919250</v>
      </c>
    </row>
    <row r="34" spans="1:14" s="597" customFormat="1" ht="15.75" customHeight="1" thickTop="1" x14ac:dyDescent="0.2">
      <c r="A34" s="1581" t="s">
        <v>46</v>
      </c>
      <c r="B34" s="1582" t="s">
        <v>569</v>
      </c>
      <c r="C34" s="595"/>
      <c r="D34" s="595"/>
      <c r="E34" s="595"/>
      <c r="F34" s="595"/>
      <c r="G34" s="595"/>
      <c r="H34" s="595"/>
      <c r="I34" s="593"/>
      <c r="J34" s="593"/>
      <c r="K34" s="593"/>
      <c r="L34" s="593"/>
      <c r="M34" s="596"/>
      <c r="N34" s="596"/>
    </row>
    <row r="35" spans="1:14" s="597" customFormat="1" ht="15.75" customHeight="1" x14ac:dyDescent="0.2">
      <c r="A35" s="598" t="s">
        <v>591</v>
      </c>
      <c r="B35" s="599"/>
      <c r="C35" s="600"/>
      <c r="D35" s="600"/>
      <c r="E35" s="600"/>
      <c r="F35" s="600"/>
      <c r="G35" s="600"/>
      <c r="H35" s="600"/>
      <c r="I35" s="593"/>
      <c r="J35" s="593"/>
      <c r="K35" s="593"/>
      <c r="L35" s="593"/>
      <c r="M35" s="596"/>
      <c r="N35" s="596"/>
    </row>
    <row r="36" spans="1:14" x14ac:dyDescent="0.2">
      <c r="A36" s="1477" t="s">
        <v>1089</v>
      </c>
      <c r="B36" s="591">
        <v>2110</v>
      </c>
      <c r="C36" s="477">
        <v>284690</v>
      </c>
      <c r="D36" s="477">
        <v>37282</v>
      </c>
      <c r="E36" s="477">
        <v>0</v>
      </c>
      <c r="F36" s="477">
        <v>0</v>
      </c>
      <c r="G36" s="477">
        <v>0</v>
      </c>
      <c r="H36" s="477">
        <v>0</v>
      </c>
      <c r="I36" s="1969">
        <v>0</v>
      </c>
      <c r="J36" s="1969">
        <v>0</v>
      </c>
      <c r="K36" s="1644">
        <f t="shared" ref="K36:K41" si="2">SUM(C36:J36)</f>
        <v>321972</v>
      </c>
      <c r="L36" s="1990">
        <v>325839</v>
      </c>
    </row>
    <row r="37" spans="1:14" x14ac:dyDescent="0.2">
      <c r="A37" s="1477" t="s">
        <v>1090</v>
      </c>
      <c r="B37" s="591">
        <v>2120</v>
      </c>
      <c r="C37" s="1968">
        <v>0</v>
      </c>
      <c r="D37" s="1968">
        <v>0</v>
      </c>
      <c r="E37" s="1968">
        <v>0</v>
      </c>
      <c r="F37" s="1968">
        <v>0</v>
      </c>
      <c r="G37" s="1968">
        <v>0</v>
      </c>
      <c r="H37" s="1968">
        <v>0</v>
      </c>
      <c r="I37" s="1969">
        <v>0</v>
      </c>
      <c r="J37" s="1969">
        <v>0</v>
      </c>
      <c r="K37" s="1644">
        <f t="shared" si="2"/>
        <v>0</v>
      </c>
      <c r="L37" s="1990">
        <v>0</v>
      </c>
    </row>
    <row r="38" spans="1:14" x14ac:dyDescent="0.2">
      <c r="A38" s="1477" t="s">
        <v>198</v>
      </c>
      <c r="B38" s="591">
        <v>2130</v>
      </c>
      <c r="C38" s="1968">
        <v>162709</v>
      </c>
      <c r="D38" s="1968">
        <v>53791</v>
      </c>
      <c r="E38" s="1968">
        <v>26546</v>
      </c>
      <c r="F38" s="1968">
        <v>3681</v>
      </c>
      <c r="G38" s="1968">
        <v>0</v>
      </c>
      <c r="H38" s="1968">
        <v>0</v>
      </c>
      <c r="I38" s="1969">
        <v>0</v>
      </c>
      <c r="J38" s="1969">
        <v>0</v>
      </c>
      <c r="K38" s="1644">
        <f t="shared" si="2"/>
        <v>246727</v>
      </c>
      <c r="L38" s="1990">
        <v>253362</v>
      </c>
    </row>
    <row r="39" spans="1:14" x14ac:dyDescent="0.2">
      <c r="A39" s="1477" t="s">
        <v>199</v>
      </c>
      <c r="B39" s="591">
        <v>2140</v>
      </c>
      <c r="C39" s="1968">
        <v>244372</v>
      </c>
      <c r="D39" s="1968">
        <v>24960</v>
      </c>
      <c r="E39" s="1968">
        <v>68544</v>
      </c>
      <c r="F39" s="1968">
        <v>3087</v>
      </c>
      <c r="G39" s="1968">
        <v>0</v>
      </c>
      <c r="H39" s="1968">
        <v>0</v>
      </c>
      <c r="I39" s="1969">
        <v>0</v>
      </c>
      <c r="J39" s="1969">
        <v>0</v>
      </c>
      <c r="K39" s="1644">
        <f t="shared" si="2"/>
        <v>340963</v>
      </c>
      <c r="L39" s="1990">
        <v>349144</v>
      </c>
    </row>
    <row r="40" spans="1:14" x14ac:dyDescent="0.2">
      <c r="A40" s="1477" t="s">
        <v>200</v>
      </c>
      <c r="B40" s="591">
        <v>2150</v>
      </c>
      <c r="C40" s="1968">
        <v>457307</v>
      </c>
      <c r="D40" s="1968">
        <v>63527</v>
      </c>
      <c r="E40" s="1968">
        <v>31685</v>
      </c>
      <c r="F40" s="1968">
        <v>6461</v>
      </c>
      <c r="G40" s="1968">
        <v>0</v>
      </c>
      <c r="H40" s="1968">
        <v>0</v>
      </c>
      <c r="I40" s="1969">
        <v>0</v>
      </c>
      <c r="J40" s="1969">
        <v>0</v>
      </c>
      <c r="K40" s="1644">
        <f t="shared" si="2"/>
        <v>558980</v>
      </c>
      <c r="L40" s="1990">
        <v>560336</v>
      </c>
    </row>
    <row r="41" spans="1:14" x14ac:dyDescent="0.2">
      <c r="A41" s="1477" t="s">
        <v>1669</v>
      </c>
      <c r="B41" s="591">
        <v>2190</v>
      </c>
      <c r="C41" s="1968">
        <v>276462</v>
      </c>
      <c r="D41" s="1968">
        <v>42576</v>
      </c>
      <c r="E41" s="1968">
        <v>62271</v>
      </c>
      <c r="F41" s="1968">
        <v>0</v>
      </c>
      <c r="G41" s="1968">
        <v>0</v>
      </c>
      <c r="H41" s="1968">
        <v>0</v>
      </c>
      <c r="I41" s="1969">
        <v>0</v>
      </c>
      <c r="J41" s="1969">
        <v>0</v>
      </c>
      <c r="K41" s="1644">
        <f t="shared" si="2"/>
        <v>381309</v>
      </c>
      <c r="L41" s="1990">
        <v>376642</v>
      </c>
    </row>
    <row r="42" spans="1:14" ht="12.75" customHeight="1" thickBot="1" x14ac:dyDescent="0.25">
      <c r="A42" s="1641" t="s">
        <v>560</v>
      </c>
      <c r="B42" s="1642" t="s">
        <v>716</v>
      </c>
      <c r="C42" s="1643">
        <f>SUM(C36:C41)</f>
        <v>1425540</v>
      </c>
      <c r="D42" s="1643">
        <f t="shared" ref="D42:L42" si="3">SUM(D36:D41)</f>
        <v>222136</v>
      </c>
      <c r="E42" s="1643">
        <f t="shared" si="3"/>
        <v>189046</v>
      </c>
      <c r="F42" s="1643">
        <f t="shared" si="3"/>
        <v>13229</v>
      </c>
      <c r="G42" s="1643">
        <f t="shared" si="3"/>
        <v>0</v>
      </c>
      <c r="H42" s="1643">
        <f t="shared" si="3"/>
        <v>0</v>
      </c>
      <c r="I42" s="1643">
        <f t="shared" si="3"/>
        <v>0</v>
      </c>
      <c r="J42" s="1643">
        <f t="shared" si="3"/>
        <v>0</v>
      </c>
      <c r="K42" s="1643">
        <f t="shared" si="3"/>
        <v>1849951</v>
      </c>
      <c r="L42" s="1643">
        <f t="shared" si="3"/>
        <v>1865323</v>
      </c>
    </row>
    <row r="43" spans="1:14" ht="15.75" customHeight="1" thickTop="1" x14ac:dyDescent="0.2">
      <c r="A43" s="601" t="s">
        <v>592</v>
      </c>
      <c r="B43" s="602"/>
      <c r="C43" s="603"/>
      <c r="D43" s="603"/>
      <c r="E43" s="603"/>
      <c r="F43" s="603"/>
      <c r="G43" s="603"/>
      <c r="H43" s="603"/>
      <c r="I43" s="593"/>
      <c r="J43" s="593"/>
      <c r="K43" s="603"/>
      <c r="L43" s="603"/>
    </row>
    <row r="44" spans="1:14" x14ac:dyDescent="0.2">
      <c r="A44" s="1477" t="s">
        <v>814</v>
      </c>
      <c r="B44" s="591">
        <v>2210</v>
      </c>
      <c r="C44" s="477">
        <v>162000</v>
      </c>
      <c r="D44" s="477">
        <v>13771</v>
      </c>
      <c r="E44" s="477">
        <v>109861</v>
      </c>
      <c r="F44" s="477">
        <v>152</v>
      </c>
      <c r="G44" s="477">
        <v>0</v>
      </c>
      <c r="H44" s="477">
        <v>250</v>
      </c>
      <c r="I44" s="1969">
        <v>0</v>
      </c>
      <c r="J44" s="1969">
        <v>0</v>
      </c>
      <c r="K44" s="1645">
        <f>SUM(C44:J44)</f>
        <v>286034</v>
      </c>
      <c r="L44" s="477">
        <v>343229</v>
      </c>
    </row>
    <row r="45" spans="1:14" x14ac:dyDescent="0.2">
      <c r="A45" s="1477" t="s">
        <v>815</v>
      </c>
      <c r="B45" s="591">
        <v>2220</v>
      </c>
      <c r="C45" s="1968">
        <v>133290</v>
      </c>
      <c r="D45" s="1968">
        <v>43566</v>
      </c>
      <c r="E45" s="1968">
        <v>0</v>
      </c>
      <c r="F45" s="1968">
        <v>12282</v>
      </c>
      <c r="G45" s="1968">
        <v>0</v>
      </c>
      <c r="H45" s="1968">
        <v>0</v>
      </c>
      <c r="I45" s="1969">
        <v>0</v>
      </c>
      <c r="J45" s="1969">
        <v>0</v>
      </c>
      <c r="K45" s="1645">
        <f>SUM(C45:J45)</f>
        <v>189138</v>
      </c>
      <c r="L45" s="1990">
        <v>189973</v>
      </c>
    </row>
    <row r="46" spans="1:14" x14ac:dyDescent="0.2">
      <c r="A46" s="1477" t="s">
        <v>816</v>
      </c>
      <c r="B46" s="591">
        <v>2230</v>
      </c>
      <c r="C46" s="1968">
        <v>0</v>
      </c>
      <c r="D46" s="1968">
        <v>0</v>
      </c>
      <c r="E46" s="1968">
        <v>0</v>
      </c>
      <c r="F46" s="1968">
        <v>4050</v>
      </c>
      <c r="G46" s="1968">
        <v>0</v>
      </c>
      <c r="H46" s="1968">
        <v>0</v>
      </c>
      <c r="I46" s="1969">
        <v>0</v>
      </c>
      <c r="J46" s="1969">
        <v>0</v>
      </c>
      <c r="K46" s="1645">
        <f>SUM(C46:J46)</f>
        <v>4050</v>
      </c>
      <c r="L46" s="1990">
        <v>3750</v>
      </c>
    </row>
    <row r="47" spans="1:14" ht="12.75" customHeight="1" thickBot="1" x14ac:dyDescent="0.25">
      <c r="A47" s="1641" t="s">
        <v>561</v>
      </c>
      <c r="B47" s="1642" t="s">
        <v>32</v>
      </c>
      <c r="C47" s="1643">
        <f>SUM(C44:C46)</f>
        <v>295290</v>
      </c>
      <c r="D47" s="1643">
        <f t="shared" ref="D47:K47" si="4">SUM(D44:D46)</f>
        <v>57337</v>
      </c>
      <c r="E47" s="1643">
        <f t="shared" si="4"/>
        <v>109861</v>
      </c>
      <c r="F47" s="1643">
        <f t="shared" si="4"/>
        <v>16484</v>
      </c>
      <c r="G47" s="1643">
        <f t="shared" si="4"/>
        <v>0</v>
      </c>
      <c r="H47" s="1643">
        <f t="shared" si="4"/>
        <v>250</v>
      </c>
      <c r="I47" s="1643">
        <f t="shared" si="4"/>
        <v>0</v>
      </c>
      <c r="J47" s="1643">
        <f t="shared" si="4"/>
        <v>0</v>
      </c>
      <c r="K47" s="1643">
        <f t="shared" si="4"/>
        <v>479222</v>
      </c>
      <c r="L47" s="1643">
        <f>SUM(L44:L46)</f>
        <v>536952</v>
      </c>
    </row>
    <row r="48" spans="1:14" ht="15.75" customHeight="1" thickTop="1" x14ac:dyDescent="0.2">
      <c r="A48" s="601" t="s">
        <v>610</v>
      </c>
      <c r="B48" s="602"/>
      <c r="C48" s="603"/>
      <c r="D48" s="603"/>
      <c r="E48" s="603"/>
      <c r="F48" s="603"/>
      <c r="G48" s="603"/>
      <c r="H48" s="603"/>
      <c r="I48" s="593"/>
      <c r="J48" s="593"/>
      <c r="K48" s="603"/>
      <c r="L48" s="603"/>
    </row>
    <row r="49" spans="1:14" x14ac:dyDescent="0.2">
      <c r="A49" s="1477" t="s">
        <v>817</v>
      </c>
      <c r="B49" s="591">
        <v>2310</v>
      </c>
      <c r="C49" s="477">
        <v>42136</v>
      </c>
      <c r="D49" s="477">
        <v>24817</v>
      </c>
      <c r="E49" s="477">
        <v>175964</v>
      </c>
      <c r="F49" s="477">
        <v>6036</v>
      </c>
      <c r="G49" s="477">
        <v>0</v>
      </c>
      <c r="H49" s="477">
        <v>13431</v>
      </c>
      <c r="I49" s="1969">
        <v>0</v>
      </c>
      <c r="J49" s="1969">
        <v>0</v>
      </c>
      <c r="K49" s="1645">
        <f>SUM(C49:J49)</f>
        <v>262384</v>
      </c>
      <c r="L49" s="477">
        <v>308621</v>
      </c>
    </row>
    <row r="50" spans="1:14" x14ac:dyDescent="0.2">
      <c r="A50" s="1477" t="s">
        <v>818</v>
      </c>
      <c r="B50" s="591">
        <v>2320</v>
      </c>
      <c r="C50" s="1968">
        <v>238357</v>
      </c>
      <c r="D50" s="1968">
        <v>57637</v>
      </c>
      <c r="E50" s="1968">
        <v>761</v>
      </c>
      <c r="F50" s="1968">
        <v>1433</v>
      </c>
      <c r="G50" s="1968">
        <v>0</v>
      </c>
      <c r="H50" s="1968">
        <v>2750</v>
      </c>
      <c r="I50" s="1969">
        <v>0</v>
      </c>
      <c r="J50" s="1969">
        <v>0</v>
      </c>
      <c r="K50" s="1645">
        <f>SUM(C50:J50)</f>
        <v>300938</v>
      </c>
      <c r="L50" s="1990">
        <v>300102</v>
      </c>
    </row>
    <row r="51" spans="1:14" x14ac:dyDescent="0.2">
      <c r="A51" s="1477" t="s">
        <v>42</v>
      </c>
      <c r="B51" s="591">
        <v>2330</v>
      </c>
      <c r="C51" s="1968">
        <v>179232</v>
      </c>
      <c r="D51" s="1968">
        <v>48268</v>
      </c>
      <c r="E51" s="1968">
        <v>0</v>
      </c>
      <c r="F51" s="1968">
        <v>788</v>
      </c>
      <c r="G51" s="1968">
        <v>0</v>
      </c>
      <c r="H51" s="1968">
        <v>0</v>
      </c>
      <c r="I51" s="1969">
        <v>0</v>
      </c>
      <c r="J51" s="1969">
        <v>0</v>
      </c>
      <c r="K51" s="1645">
        <f>SUM(C51:J51)</f>
        <v>228288</v>
      </c>
      <c r="L51" s="1990">
        <v>229635</v>
      </c>
    </row>
    <row r="52" spans="1:14" ht="22.5" x14ac:dyDescent="0.2">
      <c r="A52" s="1478" t="s">
        <v>298</v>
      </c>
      <c r="B52" s="604" t="s">
        <v>366</v>
      </c>
      <c r="C52" s="1971">
        <v>0</v>
      </c>
      <c r="D52" s="1971">
        <v>0</v>
      </c>
      <c r="E52" s="1971">
        <v>0</v>
      </c>
      <c r="F52" s="1971">
        <v>0</v>
      </c>
      <c r="G52" s="1971">
        <v>0</v>
      </c>
      <c r="H52" s="1971">
        <v>0</v>
      </c>
      <c r="I52" s="1971">
        <v>0</v>
      </c>
      <c r="J52" s="1971">
        <v>0</v>
      </c>
      <c r="K52" s="1645">
        <f>SUM(C52:J52)</f>
        <v>0</v>
      </c>
      <c r="L52" s="1993">
        <v>0</v>
      </c>
    </row>
    <row r="53" spans="1:14" ht="12.75" customHeight="1" thickBot="1" x14ac:dyDescent="0.25">
      <c r="A53" s="1641" t="s">
        <v>717</v>
      </c>
      <c r="B53" s="1642" t="s">
        <v>33</v>
      </c>
      <c r="C53" s="1643">
        <f>SUM(C49:C52)</f>
        <v>459725</v>
      </c>
      <c r="D53" s="1643">
        <f t="shared" ref="D53:L53" si="5">SUM(D49:D52)</f>
        <v>130722</v>
      </c>
      <c r="E53" s="1643">
        <f t="shared" si="5"/>
        <v>176725</v>
      </c>
      <c r="F53" s="1643">
        <f t="shared" si="5"/>
        <v>8257</v>
      </c>
      <c r="G53" s="1643">
        <f t="shared" si="5"/>
        <v>0</v>
      </c>
      <c r="H53" s="1643">
        <f t="shared" si="5"/>
        <v>16181</v>
      </c>
      <c r="I53" s="1643">
        <f t="shared" si="5"/>
        <v>0</v>
      </c>
      <c r="J53" s="1643">
        <f t="shared" si="5"/>
        <v>0</v>
      </c>
      <c r="K53" s="1643">
        <f t="shared" si="5"/>
        <v>791610</v>
      </c>
      <c r="L53" s="1643">
        <f t="shared" si="5"/>
        <v>838358</v>
      </c>
    </row>
    <row r="54" spans="1:14" ht="15.75" customHeight="1" thickTop="1" x14ac:dyDescent="0.2">
      <c r="A54" s="601" t="s">
        <v>611</v>
      </c>
      <c r="B54" s="602"/>
      <c r="C54" s="603"/>
      <c r="D54" s="603"/>
      <c r="E54" s="603"/>
      <c r="F54" s="603"/>
      <c r="G54" s="603"/>
      <c r="H54" s="603"/>
      <c r="I54" s="593"/>
      <c r="J54" s="593"/>
      <c r="K54" s="603"/>
      <c r="L54" s="603"/>
    </row>
    <row r="55" spans="1:14" x14ac:dyDescent="0.2">
      <c r="A55" s="1477" t="s">
        <v>1067</v>
      </c>
      <c r="B55" s="591">
        <v>2410</v>
      </c>
      <c r="C55" s="477">
        <v>729162</v>
      </c>
      <c r="D55" s="477">
        <v>239825</v>
      </c>
      <c r="E55" s="477">
        <v>1379</v>
      </c>
      <c r="F55" s="477">
        <v>181</v>
      </c>
      <c r="G55" s="477">
        <v>0</v>
      </c>
      <c r="H55" s="477">
        <v>311</v>
      </c>
      <c r="I55" s="1969">
        <v>0</v>
      </c>
      <c r="J55" s="1969">
        <v>0</v>
      </c>
      <c r="K55" s="1645">
        <f>SUM(C55:J55)</f>
        <v>970858</v>
      </c>
      <c r="L55" s="477">
        <v>982679</v>
      </c>
    </row>
    <row r="56" spans="1:14" ht="12.75" customHeight="1" x14ac:dyDescent="0.2">
      <c r="A56" s="1481" t="s">
        <v>376</v>
      </c>
      <c r="B56" s="605">
        <v>2490</v>
      </c>
      <c r="C56" s="1968">
        <v>0</v>
      </c>
      <c r="D56" s="1968">
        <v>0</v>
      </c>
      <c r="E56" s="1968">
        <v>0</v>
      </c>
      <c r="F56" s="1968">
        <v>0</v>
      </c>
      <c r="G56" s="1968">
        <v>0</v>
      </c>
      <c r="H56" s="1968">
        <v>0</v>
      </c>
      <c r="I56" s="1969">
        <v>0</v>
      </c>
      <c r="J56" s="1969">
        <v>0</v>
      </c>
      <c r="K56" s="1645">
        <f>SUM(C56:J56)</f>
        <v>0</v>
      </c>
      <c r="L56" s="1990">
        <v>0</v>
      </c>
    </row>
    <row r="57" spans="1:14" s="343" customFormat="1" ht="12.75" customHeight="1" thickBot="1" x14ac:dyDescent="0.25">
      <c r="A57" s="1641" t="s">
        <v>263</v>
      </c>
      <c r="B57" s="1646" t="s">
        <v>34</v>
      </c>
      <c r="C57" s="1647">
        <f>SUM(C55:C56)</f>
        <v>729162</v>
      </c>
      <c r="D57" s="1647">
        <f t="shared" ref="D57:K57" si="6">SUM(D55:D56)</f>
        <v>239825</v>
      </c>
      <c r="E57" s="1647">
        <f t="shared" si="6"/>
        <v>1379</v>
      </c>
      <c r="F57" s="1647">
        <f t="shared" si="6"/>
        <v>181</v>
      </c>
      <c r="G57" s="1647">
        <f t="shared" si="6"/>
        <v>0</v>
      </c>
      <c r="H57" s="1647">
        <f t="shared" si="6"/>
        <v>311</v>
      </c>
      <c r="I57" s="1647">
        <f t="shared" si="6"/>
        <v>0</v>
      </c>
      <c r="J57" s="1647">
        <f t="shared" si="6"/>
        <v>0</v>
      </c>
      <c r="K57" s="1647">
        <f t="shared" si="6"/>
        <v>970858</v>
      </c>
      <c r="L57" s="1643">
        <f>SUM(L55:L56)</f>
        <v>982679</v>
      </c>
      <c r="M57" s="586"/>
      <c r="N57" s="586"/>
    </row>
    <row r="58" spans="1:14" s="343" customFormat="1" ht="15.75" customHeight="1" thickTop="1" x14ac:dyDescent="0.2">
      <c r="A58" s="601" t="s">
        <v>612</v>
      </c>
      <c r="B58" s="602"/>
      <c r="C58" s="606"/>
      <c r="D58" s="603"/>
      <c r="E58" s="603"/>
      <c r="F58" s="603"/>
      <c r="G58" s="603"/>
      <c r="H58" s="603"/>
      <c r="I58" s="593"/>
      <c r="J58" s="593"/>
      <c r="K58" s="603"/>
      <c r="L58" s="603"/>
      <c r="M58" s="586"/>
      <c r="N58" s="586"/>
    </row>
    <row r="59" spans="1:14" s="343" customFormat="1" x14ac:dyDescent="0.2">
      <c r="A59" s="1477" t="s">
        <v>1068</v>
      </c>
      <c r="B59" s="591">
        <v>2510</v>
      </c>
      <c r="C59" s="477">
        <v>120462</v>
      </c>
      <c r="D59" s="477">
        <v>40481</v>
      </c>
      <c r="E59" s="477">
        <v>1155</v>
      </c>
      <c r="F59" s="477">
        <v>791</v>
      </c>
      <c r="G59" s="477">
        <v>0</v>
      </c>
      <c r="H59" s="477">
        <v>1085</v>
      </c>
      <c r="I59" s="1969">
        <v>0</v>
      </c>
      <c r="J59" s="1969">
        <v>0</v>
      </c>
      <c r="K59" s="1645">
        <f t="shared" ref="K59:K64" si="7">SUM(C59:J59)</f>
        <v>163974</v>
      </c>
      <c r="L59" s="477">
        <v>156584</v>
      </c>
      <c r="M59" s="586"/>
      <c r="N59" s="586"/>
    </row>
    <row r="60" spans="1:14" s="343" customFormat="1" x14ac:dyDescent="0.2">
      <c r="A60" s="1477" t="s">
        <v>463</v>
      </c>
      <c r="B60" s="591">
        <v>2520</v>
      </c>
      <c r="C60" s="1968">
        <v>187902</v>
      </c>
      <c r="D60" s="1968">
        <v>15068</v>
      </c>
      <c r="E60" s="1968">
        <v>39348</v>
      </c>
      <c r="F60" s="1968">
        <v>2859</v>
      </c>
      <c r="G60" s="1968">
        <v>0</v>
      </c>
      <c r="H60" s="1968">
        <v>13516</v>
      </c>
      <c r="I60" s="1969">
        <v>0</v>
      </c>
      <c r="J60" s="1969">
        <v>0</v>
      </c>
      <c r="K60" s="1645">
        <f t="shared" si="7"/>
        <v>258693</v>
      </c>
      <c r="L60" s="1990">
        <v>225638</v>
      </c>
      <c r="M60" s="586"/>
      <c r="N60" s="586"/>
    </row>
    <row r="61" spans="1:14" s="343" customFormat="1" x14ac:dyDescent="0.2">
      <c r="A61" s="1477" t="s">
        <v>197</v>
      </c>
      <c r="B61" s="591">
        <v>2540</v>
      </c>
      <c r="C61" s="1968">
        <v>0</v>
      </c>
      <c r="D61" s="1968">
        <v>0</v>
      </c>
      <c r="E61" s="1968">
        <v>0</v>
      </c>
      <c r="F61" s="1968">
        <v>0</v>
      </c>
      <c r="G61" s="1968">
        <v>0</v>
      </c>
      <c r="H61" s="1968">
        <v>0</v>
      </c>
      <c r="I61" s="1969">
        <v>0</v>
      </c>
      <c r="J61" s="1969">
        <v>0</v>
      </c>
      <c r="K61" s="1645">
        <f t="shared" si="7"/>
        <v>0</v>
      </c>
      <c r="L61" s="1990">
        <v>0</v>
      </c>
      <c r="M61" s="586"/>
      <c r="N61" s="586"/>
    </row>
    <row r="62" spans="1:14" s="343" customFormat="1" x14ac:dyDescent="0.2">
      <c r="A62" s="1477" t="s">
        <v>953</v>
      </c>
      <c r="B62" s="591">
        <v>2550</v>
      </c>
      <c r="C62" s="1968">
        <v>0</v>
      </c>
      <c r="D62" s="1968">
        <v>0</v>
      </c>
      <c r="E62" s="1968">
        <v>0</v>
      </c>
      <c r="F62" s="1968">
        <v>0</v>
      </c>
      <c r="G62" s="1968">
        <v>0</v>
      </c>
      <c r="H62" s="1968">
        <v>0</v>
      </c>
      <c r="I62" s="1969">
        <v>0</v>
      </c>
      <c r="J62" s="1969">
        <v>0</v>
      </c>
      <c r="K62" s="1645">
        <f t="shared" si="7"/>
        <v>0</v>
      </c>
      <c r="L62" s="1990">
        <v>0</v>
      </c>
      <c r="M62" s="586"/>
      <c r="N62" s="586"/>
    </row>
    <row r="63" spans="1:14" s="586" customFormat="1" x14ac:dyDescent="0.2">
      <c r="A63" s="1477" t="s">
        <v>100</v>
      </c>
      <c r="B63" s="591">
        <v>2560</v>
      </c>
      <c r="C63" s="1968">
        <v>0</v>
      </c>
      <c r="D63" s="1968">
        <v>0</v>
      </c>
      <c r="E63" s="1968">
        <v>559580</v>
      </c>
      <c r="F63" s="1968">
        <v>3647</v>
      </c>
      <c r="G63" s="1968">
        <v>4461</v>
      </c>
      <c r="H63" s="1968">
        <v>1240</v>
      </c>
      <c r="I63" s="1969">
        <v>1416</v>
      </c>
      <c r="J63" s="1969">
        <v>0</v>
      </c>
      <c r="K63" s="1645">
        <f t="shared" si="7"/>
        <v>570344</v>
      </c>
      <c r="L63" s="1990">
        <v>621000</v>
      </c>
    </row>
    <row r="64" spans="1:14" s="586" customFormat="1" x14ac:dyDescent="0.2">
      <c r="A64" s="1482" t="s">
        <v>101</v>
      </c>
      <c r="B64" s="607">
        <v>2570</v>
      </c>
      <c r="C64" s="477">
        <v>0</v>
      </c>
      <c r="D64" s="477">
        <v>0</v>
      </c>
      <c r="E64" s="477">
        <v>0</v>
      </c>
      <c r="F64" s="477">
        <v>0</v>
      </c>
      <c r="G64" s="477">
        <v>0</v>
      </c>
      <c r="H64" s="477">
        <v>0</v>
      </c>
      <c r="I64" s="1969">
        <v>0</v>
      </c>
      <c r="J64" s="1969">
        <v>0</v>
      </c>
      <c r="K64" s="1645">
        <f t="shared" si="7"/>
        <v>0</v>
      </c>
      <c r="L64" s="477">
        <v>0</v>
      </c>
    </row>
    <row r="65" spans="1:14" s="343" customFormat="1" ht="12.75" customHeight="1" thickBot="1" x14ac:dyDescent="0.25">
      <c r="A65" s="1641" t="s">
        <v>719</v>
      </c>
      <c r="B65" s="1642" t="s">
        <v>35</v>
      </c>
      <c r="C65" s="1643">
        <f>SUM(C59:C64)</f>
        <v>308364</v>
      </c>
      <c r="D65" s="1643">
        <f t="shared" ref="D65:L65" si="8">SUM(D59:D64)</f>
        <v>55549</v>
      </c>
      <c r="E65" s="1643">
        <f t="shared" si="8"/>
        <v>600083</v>
      </c>
      <c r="F65" s="1643">
        <f t="shared" si="8"/>
        <v>7297</v>
      </c>
      <c r="G65" s="1643">
        <f t="shared" si="8"/>
        <v>4461</v>
      </c>
      <c r="H65" s="1643">
        <f t="shared" si="8"/>
        <v>15841</v>
      </c>
      <c r="I65" s="1643">
        <f t="shared" si="8"/>
        <v>1416</v>
      </c>
      <c r="J65" s="1643">
        <f t="shared" si="8"/>
        <v>0</v>
      </c>
      <c r="K65" s="1643">
        <f t="shared" si="8"/>
        <v>993011</v>
      </c>
      <c r="L65" s="1643">
        <f t="shared" si="8"/>
        <v>1003222</v>
      </c>
      <c r="M65" s="586"/>
      <c r="N65" s="586"/>
    </row>
    <row r="66" spans="1:14" s="343" customFormat="1" ht="15.75" customHeight="1" thickTop="1" x14ac:dyDescent="0.2">
      <c r="A66" s="601" t="s">
        <v>613</v>
      </c>
      <c r="B66" s="608"/>
      <c r="C66" s="593"/>
      <c r="D66" s="593"/>
      <c r="E66" s="593"/>
      <c r="F66" s="593"/>
      <c r="G66" s="593"/>
      <c r="H66" s="593"/>
      <c r="I66" s="593"/>
      <c r="J66" s="593"/>
      <c r="K66" s="603"/>
      <c r="L66" s="603"/>
      <c r="M66" s="586"/>
      <c r="N66" s="586"/>
    </row>
    <row r="67" spans="1:14" s="343" customFormat="1" x14ac:dyDescent="0.2">
      <c r="A67" s="1477" t="s">
        <v>1060</v>
      </c>
      <c r="B67" s="591">
        <v>2610</v>
      </c>
      <c r="C67" s="1968">
        <v>0</v>
      </c>
      <c r="D67" s="1968">
        <v>0</v>
      </c>
      <c r="E67" s="1968">
        <v>0</v>
      </c>
      <c r="F67" s="1968">
        <v>0</v>
      </c>
      <c r="G67" s="1968">
        <v>0</v>
      </c>
      <c r="H67" s="1968">
        <v>0</v>
      </c>
      <c r="I67" s="1969">
        <v>0</v>
      </c>
      <c r="J67" s="1969">
        <v>0</v>
      </c>
      <c r="K67" s="1645">
        <f>SUM(C67:J67)</f>
        <v>0</v>
      </c>
      <c r="L67" s="477">
        <v>0</v>
      </c>
      <c r="M67" s="586"/>
      <c r="N67" s="586"/>
    </row>
    <row r="68" spans="1:14" s="343" customFormat="1" x14ac:dyDescent="0.2">
      <c r="A68" s="1477" t="s">
        <v>607</v>
      </c>
      <c r="B68" s="591">
        <v>2620</v>
      </c>
      <c r="C68" s="1968">
        <v>0</v>
      </c>
      <c r="D68" s="1968">
        <v>0</v>
      </c>
      <c r="E68" s="1968">
        <v>0</v>
      </c>
      <c r="F68" s="1968">
        <v>0</v>
      </c>
      <c r="G68" s="1968">
        <v>0</v>
      </c>
      <c r="H68" s="1968">
        <v>0</v>
      </c>
      <c r="I68" s="1969">
        <v>0</v>
      </c>
      <c r="J68" s="1969">
        <v>0</v>
      </c>
      <c r="K68" s="1645">
        <f>SUM(C68:J68)</f>
        <v>0</v>
      </c>
      <c r="L68" s="1990">
        <v>0</v>
      </c>
      <c r="M68" s="586"/>
      <c r="N68" s="586"/>
    </row>
    <row r="69" spans="1:14" s="343" customFormat="1" x14ac:dyDescent="0.2">
      <c r="A69" s="1477" t="s">
        <v>1061</v>
      </c>
      <c r="B69" s="591">
        <v>2630</v>
      </c>
      <c r="C69" s="1968">
        <v>0</v>
      </c>
      <c r="D69" s="1968">
        <v>0</v>
      </c>
      <c r="E69" s="1968">
        <v>0</v>
      </c>
      <c r="F69" s="1968">
        <v>0</v>
      </c>
      <c r="G69" s="1968">
        <v>0</v>
      </c>
      <c r="H69" s="1968">
        <v>0</v>
      </c>
      <c r="I69" s="1969">
        <v>0</v>
      </c>
      <c r="J69" s="1969">
        <v>0</v>
      </c>
      <c r="K69" s="1645">
        <f>SUM(C69:J69)</f>
        <v>0</v>
      </c>
      <c r="L69" s="1990">
        <v>0</v>
      </c>
      <c r="M69" s="586"/>
      <c r="N69" s="586"/>
    </row>
    <row r="70" spans="1:14" s="343" customFormat="1" x14ac:dyDescent="0.2">
      <c r="A70" s="1477" t="s">
        <v>403</v>
      </c>
      <c r="B70" s="591">
        <v>2640</v>
      </c>
      <c r="C70" s="1968">
        <v>0</v>
      </c>
      <c r="D70" s="1968">
        <v>0</v>
      </c>
      <c r="E70" s="1968">
        <v>0</v>
      </c>
      <c r="F70" s="1968">
        <v>0</v>
      </c>
      <c r="G70" s="1968">
        <v>0</v>
      </c>
      <c r="H70" s="1968">
        <v>0</v>
      </c>
      <c r="I70" s="1969">
        <v>0</v>
      </c>
      <c r="J70" s="1969">
        <v>0</v>
      </c>
      <c r="K70" s="1645">
        <f>SUM(C70:J70)</f>
        <v>0</v>
      </c>
      <c r="L70" s="1990">
        <v>0</v>
      </c>
      <c r="M70" s="586"/>
      <c r="N70" s="586"/>
    </row>
    <row r="71" spans="1:14" s="343" customFormat="1" x14ac:dyDescent="0.2">
      <c r="A71" s="1477" t="s">
        <v>404</v>
      </c>
      <c r="B71" s="591">
        <v>2660</v>
      </c>
      <c r="C71" s="1968">
        <v>269975</v>
      </c>
      <c r="D71" s="1968">
        <v>46880</v>
      </c>
      <c r="E71" s="1968">
        <v>356526</v>
      </c>
      <c r="F71" s="1968">
        <v>258559</v>
      </c>
      <c r="G71" s="1968">
        <v>2777</v>
      </c>
      <c r="H71" s="1968">
        <v>317</v>
      </c>
      <c r="I71" s="1969">
        <v>47616</v>
      </c>
      <c r="J71" s="1969">
        <v>0</v>
      </c>
      <c r="K71" s="1645">
        <f>SUM(C71:J71)</f>
        <v>982650</v>
      </c>
      <c r="L71" s="1990">
        <v>1049851</v>
      </c>
      <c r="M71" s="586"/>
      <c r="N71" s="586"/>
    </row>
    <row r="72" spans="1:14" s="343" customFormat="1" ht="12.75" customHeight="1" thickBot="1" x14ac:dyDescent="0.25">
      <c r="A72" s="1641" t="s">
        <v>37</v>
      </c>
      <c r="B72" s="1648" t="s">
        <v>36</v>
      </c>
      <c r="C72" s="1643">
        <f>SUM(C67:C71)</f>
        <v>269975</v>
      </c>
      <c r="D72" s="1643">
        <f t="shared" ref="D72:K72" si="9">SUM(D67:D71)</f>
        <v>46880</v>
      </c>
      <c r="E72" s="1643">
        <f t="shared" si="9"/>
        <v>356526</v>
      </c>
      <c r="F72" s="1643">
        <f t="shared" si="9"/>
        <v>258559</v>
      </c>
      <c r="G72" s="1643">
        <f t="shared" si="9"/>
        <v>2777</v>
      </c>
      <c r="H72" s="1643">
        <f t="shared" si="9"/>
        <v>317</v>
      </c>
      <c r="I72" s="1643">
        <f t="shared" si="9"/>
        <v>47616</v>
      </c>
      <c r="J72" s="1643">
        <f t="shared" si="9"/>
        <v>0</v>
      </c>
      <c r="K72" s="1643">
        <f t="shared" si="9"/>
        <v>982650</v>
      </c>
      <c r="L72" s="1643">
        <f>SUM(L67:L71)</f>
        <v>1049851</v>
      </c>
      <c r="M72" s="586"/>
      <c r="N72" s="586"/>
    </row>
    <row r="73" spans="1:14" s="343" customFormat="1" ht="14.25" thickTop="1" thickBot="1" x14ac:dyDescent="0.25">
      <c r="A73" s="1483" t="s">
        <v>980</v>
      </c>
      <c r="B73" s="609" t="s">
        <v>574</v>
      </c>
      <c r="C73" s="1979">
        <v>0</v>
      </c>
      <c r="D73" s="1979">
        <v>0</v>
      </c>
      <c r="E73" s="1979">
        <v>0</v>
      </c>
      <c r="F73" s="1979">
        <v>0</v>
      </c>
      <c r="G73" s="1979">
        <v>0</v>
      </c>
      <c r="H73" s="1979">
        <v>0</v>
      </c>
      <c r="I73" s="1976">
        <v>0</v>
      </c>
      <c r="J73" s="1976">
        <v>0</v>
      </c>
      <c r="K73" s="1643">
        <f>SUM(C73:J73)</f>
        <v>0</v>
      </c>
      <c r="L73" s="2003">
        <v>500</v>
      </c>
      <c r="M73" s="586"/>
      <c r="N73" s="586"/>
    </row>
    <row r="74" spans="1:14" ht="12.75" customHeight="1" thickTop="1" thickBot="1" x14ac:dyDescent="0.25">
      <c r="A74" s="1641" t="s">
        <v>811</v>
      </c>
      <c r="B74" s="1649">
        <v>2000</v>
      </c>
      <c r="C74" s="1650">
        <f>SUM(C42,C47,C53,C57,C65,C72,C73)</f>
        <v>3488056</v>
      </c>
      <c r="D74" s="1650">
        <f t="shared" ref="D74:K74" si="10">SUM(D42,D47,D53,D57,D65,D72,D73)</f>
        <v>752449</v>
      </c>
      <c r="E74" s="1650">
        <f t="shared" si="10"/>
        <v>1433620</v>
      </c>
      <c r="F74" s="1650">
        <f t="shared" si="10"/>
        <v>304007</v>
      </c>
      <c r="G74" s="1650">
        <f t="shared" si="10"/>
        <v>7238</v>
      </c>
      <c r="H74" s="1650">
        <f t="shared" si="10"/>
        <v>32900</v>
      </c>
      <c r="I74" s="1650">
        <f t="shared" si="10"/>
        <v>49032</v>
      </c>
      <c r="J74" s="1650">
        <f t="shared" si="10"/>
        <v>0</v>
      </c>
      <c r="K74" s="1650">
        <f t="shared" si="10"/>
        <v>6067302</v>
      </c>
      <c r="L74" s="1650">
        <f>SUM(L42,L47,L53,L57,L65,L72,L73)</f>
        <v>6276885</v>
      </c>
    </row>
    <row r="75" spans="1:14" s="259" customFormat="1" ht="15.75" customHeight="1" thickTop="1" thickBot="1" x14ac:dyDescent="0.25">
      <c r="A75" s="1583" t="s">
        <v>47</v>
      </c>
      <c r="B75" s="1584" t="s">
        <v>575</v>
      </c>
      <c r="C75" s="1979">
        <v>9642</v>
      </c>
      <c r="D75" s="1979">
        <v>1091</v>
      </c>
      <c r="E75" s="1979">
        <v>905</v>
      </c>
      <c r="F75" s="1979">
        <v>0</v>
      </c>
      <c r="G75" s="1979">
        <v>0</v>
      </c>
      <c r="H75" s="1979">
        <v>0</v>
      </c>
      <c r="I75" s="1976">
        <v>0</v>
      </c>
      <c r="J75" s="1976">
        <v>0</v>
      </c>
      <c r="K75" s="1643">
        <f>SUM(C75:J75)</f>
        <v>11638</v>
      </c>
      <c r="L75" s="2003">
        <v>12550</v>
      </c>
      <c r="M75" s="590"/>
      <c r="N75" s="590"/>
    </row>
    <row r="76" spans="1:14" s="610" customFormat="1" ht="15.75" customHeight="1" thickTop="1" x14ac:dyDescent="0.2">
      <c r="A76" s="1585" t="s">
        <v>365</v>
      </c>
      <c r="B76" s="1582" t="s">
        <v>860</v>
      </c>
      <c r="C76" s="595"/>
      <c r="D76" s="595"/>
      <c r="E76" s="593"/>
      <c r="F76" s="595"/>
      <c r="G76" s="595"/>
      <c r="H76" s="593"/>
      <c r="I76" s="593"/>
      <c r="J76" s="593"/>
      <c r="K76" s="593"/>
      <c r="L76" s="593"/>
      <c r="M76" s="184"/>
      <c r="N76" s="184"/>
    </row>
    <row r="77" spans="1:14" s="259" customFormat="1" ht="15.75" customHeight="1" x14ac:dyDescent="0.2">
      <c r="A77" s="598" t="s">
        <v>614</v>
      </c>
      <c r="B77" s="599"/>
      <c r="C77" s="593"/>
      <c r="D77" s="593"/>
      <c r="E77" s="600"/>
      <c r="F77" s="593"/>
      <c r="G77" s="593"/>
      <c r="H77" s="600"/>
      <c r="I77" s="593"/>
      <c r="J77" s="593"/>
      <c r="K77" s="600"/>
      <c r="L77" s="600"/>
      <c r="M77" s="590"/>
      <c r="N77" s="590"/>
    </row>
    <row r="78" spans="1:14" x14ac:dyDescent="0.2">
      <c r="A78" s="1477" t="s">
        <v>496</v>
      </c>
      <c r="B78" s="591">
        <v>4110</v>
      </c>
      <c r="C78" s="593"/>
      <c r="D78" s="593"/>
      <c r="E78" s="477">
        <v>0</v>
      </c>
      <c r="F78" s="593"/>
      <c r="G78" s="593"/>
      <c r="H78" s="611">
        <v>0</v>
      </c>
      <c r="I78" s="473"/>
      <c r="J78" s="473"/>
      <c r="K78" s="1644">
        <f t="shared" ref="K78:K83" si="11">SUM(C78:J78)</f>
        <v>0</v>
      </c>
      <c r="L78" s="477">
        <v>0</v>
      </c>
    </row>
    <row r="79" spans="1:14" x14ac:dyDescent="0.2">
      <c r="A79" s="1477" t="s">
        <v>304</v>
      </c>
      <c r="B79" s="591">
        <v>4120</v>
      </c>
      <c r="C79" s="593"/>
      <c r="D79" s="593"/>
      <c r="E79" s="1968">
        <v>165580</v>
      </c>
      <c r="F79" s="593"/>
      <c r="G79" s="593"/>
      <c r="H79" s="1968">
        <v>0</v>
      </c>
      <c r="I79" s="473"/>
      <c r="J79" s="473"/>
      <c r="K79" s="1644">
        <f t="shared" si="11"/>
        <v>165580</v>
      </c>
      <c r="L79" s="1990">
        <v>168237</v>
      </c>
    </row>
    <row r="80" spans="1:14" x14ac:dyDescent="0.2">
      <c r="A80" s="1477" t="s">
        <v>305</v>
      </c>
      <c r="B80" s="591">
        <v>4130</v>
      </c>
      <c r="C80" s="593"/>
      <c r="D80" s="593"/>
      <c r="E80" s="1968">
        <v>0</v>
      </c>
      <c r="F80" s="593"/>
      <c r="G80" s="593"/>
      <c r="H80" s="1968">
        <v>0</v>
      </c>
      <c r="I80" s="473"/>
      <c r="J80" s="473"/>
      <c r="K80" s="1644">
        <f t="shared" si="11"/>
        <v>0</v>
      </c>
      <c r="L80" s="1990">
        <v>0</v>
      </c>
    </row>
    <row r="81" spans="1:12" x14ac:dyDescent="0.2">
      <c r="A81" s="1477" t="s">
        <v>697</v>
      </c>
      <c r="B81" s="591">
        <v>4140</v>
      </c>
      <c r="C81" s="593"/>
      <c r="D81" s="593"/>
      <c r="E81" s="1968">
        <v>0</v>
      </c>
      <c r="F81" s="593"/>
      <c r="G81" s="593"/>
      <c r="H81" s="1968">
        <v>0</v>
      </c>
      <c r="I81" s="473"/>
      <c r="J81" s="473"/>
      <c r="K81" s="1644">
        <f t="shared" si="11"/>
        <v>0</v>
      </c>
      <c r="L81" s="1990">
        <v>0</v>
      </c>
    </row>
    <row r="82" spans="1:12" x14ac:dyDescent="0.2">
      <c r="A82" s="1477" t="s">
        <v>86</v>
      </c>
      <c r="B82" s="591">
        <v>4170</v>
      </c>
      <c r="C82" s="593"/>
      <c r="D82" s="593"/>
      <c r="E82" s="1968">
        <v>0</v>
      </c>
      <c r="F82" s="593"/>
      <c r="G82" s="593"/>
      <c r="H82" s="1968">
        <v>0</v>
      </c>
      <c r="I82" s="473"/>
      <c r="J82" s="473"/>
      <c r="K82" s="1644">
        <f t="shared" si="11"/>
        <v>0</v>
      </c>
      <c r="L82" s="1990">
        <v>0</v>
      </c>
    </row>
    <row r="83" spans="1:12" x14ac:dyDescent="0.2">
      <c r="A83" s="1481" t="s">
        <v>698</v>
      </c>
      <c r="B83" s="605">
        <v>4190</v>
      </c>
      <c r="C83" s="593"/>
      <c r="D83" s="593"/>
      <c r="E83" s="1968">
        <v>0</v>
      </c>
      <c r="F83" s="593"/>
      <c r="G83" s="593"/>
      <c r="H83" s="1968">
        <v>0</v>
      </c>
      <c r="I83" s="473"/>
      <c r="J83" s="473"/>
      <c r="K83" s="1644">
        <f t="shared" si="11"/>
        <v>0</v>
      </c>
      <c r="L83" s="1990">
        <v>0</v>
      </c>
    </row>
    <row r="84" spans="1:12" ht="13.5" thickBot="1" x14ac:dyDescent="0.25">
      <c r="A84" s="1641" t="s">
        <v>1485</v>
      </c>
      <c r="B84" s="1651">
        <v>4100</v>
      </c>
      <c r="C84" s="593"/>
      <c r="D84" s="593"/>
      <c r="E84" s="1643">
        <f>SUM(E78:E83)</f>
        <v>165580</v>
      </c>
      <c r="F84" s="593"/>
      <c r="G84" s="593"/>
      <c r="H84" s="1643">
        <f>SUM(H78:H83)</f>
        <v>0</v>
      </c>
      <c r="I84" s="473"/>
      <c r="J84" s="473"/>
      <c r="K84" s="1643">
        <f>SUM(K78:K83)</f>
        <v>165580</v>
      </c>
      <c r="L84" s="1643">
        <f>SUM(L78:L83)</f>
        <v>168237</v>
      </c>
    </row>
    <row r="85" spans="1:12" ht="12.75" customHeight="1" thickTop="1" thickBot="1" x14ac:dyDescent="0.25">
      <c r="A85" s="1484" t="s">
        <v>255</v>
      </c>
      <c r="B85" s="612">
        <v>4210</v>
      </c>
      <c r="C85" s="593"/>
      <c r="D85" s="593"/>
      <c r="E85" s="613"/>
      <c r="F85" s="593"/>
      <c r="G85" s="593"/>
      <c r="H85" s="1978">
        <v>1775</v>
      </c>
      <c r="I85" s="473"/>
      <c r="J85" s="473"/>
      <c r="K85" s="1650">
        <f>H85</f>
        <v>1775</v>
      </c>
      <c r="L85" s="1998">
        <v>0</v>
      </c>
    </row>
    <row r="86" spans="1:12" ht="12.75" customHeight="1" thickTop="1" thickBot="1" x14ac:dyDescent="0.25">
      <c r="A86" s="1485" t="s">
        <v>699</v>
      </c>
      <c r="B86" s="614">
        <v>4220</v>
      </c>
      <c r="C86" s="593"/>
      <c r="D86" s="593"/>
      <c r="E86" s="615"/>
      <c r="F86" s="593"/>
      <c r="G86" s="593"/>
      <c r="H86" s="1969">
        <v>3066784</v>
      </c>
      <c r="I86" s="473"/>
      <c r="J86" s="473"/>
      <c r="K86" s="1650">
        <f t="shared" ref="K86:K98" si="12">H86</f>
        <v>3066784</v>
      </c>
      <c r="L86" s="1998">
        <v>3019482</v>
      </c>
    </row>
    <row r="87" spans="1:12" ht="14.25" thickTop="1" thickBot="1" x14ac:dyDescent="0.25">
      <c r="A87" s="1486" t="s">
        <v>700</v>
      </c>
      <c r="B87" s="616">
        <v>4230</v>
      </c>
      <c r="C87" s="593"/>
      <c r="D87" s="593"/>
      <c r="E87" s="615"/>
      <c r="F87" s="593"/>
      <c r="G87" s="593"/>
      <c r="H87" s="1969">
        <v>0</v>
      </c>
      <c r="I87" s="473"/>
      <c r="J87" s="473"/>
      <c r="K87" s="1650">
        <f t="shared" si="12"/>
        <v>0</v>
      </c>
      <c r="L87" s="1998">
        <v>0</v>
      </c>
    </row>
    <row r="88" spans="1:12" ht="12.75" customHeight="1" thickTop="1" thickBot="1" x14ac:dyDescent="0.25">
      <c r="A88" s="1486" t="s">
        <v>765</v>
      </c>
      <c r="B88" s="616">
        <v>4240</v>
      </c>
      <c r="C88" s="593"/>
      <c r="D88" s="593"/>
      <c r="E88" s="615"/>
      <c r="F88" s="593"/>
      <c r="G88" s="593"/>
      <c r="H88" s="1969">
        <v>0</v>
      </c>
      <c r="I88" s="473"/>
      <c r="J88" s="473"/>
      <c r="K88" s="1650">
        <f t="shared" si="12"/>
        <v>0</v>
      </c>
      <c r="L88" s="1998">
        <v>0</v>
      </c>
    </row>
    <row r="89" spans="1:12" ht="12.75" customHeight="1" thickTop="1" thickBot="1" x14ac:dyDescent="0.25">
      <c r="A89" s="1486" t="s">
        <v>701</v>
      </c>
      <c r="B89" s="616">
        <v>4270</v>
      </c>
      <c r="C89" s="593"/>
      <c r="D89" s="593"/>
      <c r="E89" s="615"/>
      <c r="F89" s="593"/>
      <c r="G89" s="593"/>
      <c r="H89" s="1969">
        <v>0</v>
      </c>
      <c r="I89" s="473"/>
      <c r="J89" s="473"/>
      <c r="K89" s="1650">
        <f t="shared" si="12"/>
        <v>0</v>
      </c>
      <c r="L89" s="1998">
        <v>0</v>
      </c>
    </row>
    <row r="90" spans="1:12" ht="12.75" customHeight="1" thickTop="1" thickBot="1" x14ac:dyDescent="0.25">
      <c r="A90" s="1486" t="s">
        <v>686</v>
      </c>
      <c r="B90" s="616">
        <v>4280</v>
      </c>
      <c r="C90" s="593"/>
      <c r="D90" s="593"/>
      <c r="E90" s="615"/>
      <c r="F90" s="593"/>
      <c r="G90" s="593"/>
      <c r="H90" s="1969">
        <v>0</v>
      </c>
      <c r="I90" s="473"/>
      <c r="J90" s="473"/>
      <c r="K90" s="1650">
        <f t="shared" si="12"/>
        <v>0</v>
      </c>
      <c r="L90" s="1998">
        <v>0</v>
      </c>
    </row>
    <row r="91" spans="1:12" ht="12.75" customHeight="1" thickTop="1" thickBot="1" x14ac:dyDescent="0.25">
      <c r="A91" s="1486" t="s">
        <v>687</v>
      </c>
      <c r="B91" s="616">
        <v>4290</v>
      </c>
      <c r="C91" s="593"/>
      <c r="D91" s="593"/>
      <c r="E91" s="615"/>
      <c r="F91" s="593"/>
      <c r="G91" s="593"/>
      <c r="H91" s="1969">
        <v>0</v>
      </c>
      <c r="I91" s="473"/>
      <c r="J91" s="473"/>
      <c r="K91" s="1650">
        <f t="shared" si="12"/>
        <v>0</v>
      </c>
      <c r="L91" s="1998">
        <v>0</v>
      </c>
    </row>
    <row r="92" spans="1:12" ht="14.25" thickTop="1" thickBot="1" x14ac:dyDescent="0.25">
      <c r="A92" s="1653" t="s">
        <v>1560</v>
      </c>
      <c r="B92" s="1651">
        <v>4200</v>
      </c>
      <c r="C92" s="593"/>
      <c r="D92" s="593"/>
      <c r="E92" s="615"/>
      <c r="F92" s="593"/>
      <c r="G92" s="593"/>
      <c r="H92" s="1643">
        <f>SUM(H85:H91)</f>
        <v>3068559</v>
      </c>
      <c r="I92" s="473"/>
      <c r="J92" s="473"/>
      <c r="K92" s="1650">
        <f t="shared" si="12"/>
        <v>3068559</v>
      </c>
      <c r="L92" s="1643">
        <f>SUM(L85:L91)</f>
        <v>3019482</v>
      </c>
    </row>
    <row r="93" spans="1:12" ht="14.25" thickTop="1" thickBot="1" x14ac:dyDescent="0.25">
      <c r="A93" s="1485" t="s">
        <v>688</v>
      </c>
      <c r="B93" s="617">
        <v>4310</v>
      </c>
      <c r="C93" s="593"/>
      <c r="D93" s="593"/>
      <c r="E93" s="615"/>
      <c r="F93" s="593"/>
      <c r="G93" s="593"/>
      <c r="H93" s="1972">
        <v>0</v>
      </c>
      <c r="I93" s="473"/>
      <c r="J93" s="473"/>
      <c r="K93" s="1650">
        <f t="shared" si="12"/>
        <v>0</v>
      </c>
      <c r="L93" s="2000">
        <v>0</v>
      </c>
    </row>
    <row r="94" spans="1:12" ht="12.75" customHeight="1" thickTop="1" thickBot="1" x14ac:dyDescent="0.25">
      <c r="A94" s="1486" t="s">
        <v>689</v>
      </c>
      <c r="B94" s="616">
        <v>4320</v>
      </c>
      <c r="C94" s="593"/>
      <c r="D94" s="593"/>
      <c r="E94" s="615"/>
      <c r="F94" s="593"/>
      <c r="G94" s="593"/>
      <c r="H94" s="1969">
        <v>0</v>
      </c>
      <c r="I94" s="473"/>
      <c r="J94" s="473"/>
      <c r="K94" s="1650">
        <f t="shared" si="12"/>
        <v>0</v>
      </c>
      <c r="L94" s="1998">
        <v>0</v>
      </c>
    </row>
    <row r="95" spans="1:12" ht="15" customHeight="1" thickTop="1" thickBot="1" x14ac:dyDescent="0.25">
      <c r="A95" s="1486" t="s">
        <v>1488</v>
      </c>
      <c r="B95" s="616">
        <v>4330</v>
      </c>
      <c r="C95" s="593"/>
      <c r="D95" s="593"/>
      <c r="E95" s="615"/>
      <c r="F95" s="593"/>
      <c r="G95" s="593"/>
      <c r="H95" s="1969">
        <v>0</v>
      </c>
      <c r="I95" s="473"/>
      <c r="J95" s="473"/>
      <c r="K95" s="1650">
        <f t="shared" si="12"/>
        <v>0</v>
      </c>
      <c r="L95" s="1998">
        <v>0</v>
      </c>
    </row>
    <row r="96" spans="1:12" ht="14.25" thickTop="1" thickBot="1" x14ac:dyDescent="0.25">
      <c r="A96" s="1486" t="s">
        <v>690</v>
      </c>
      <c r="B96" s="616">
        <v>4340</v>
      </c>
      <c r="C96" s="593"/>
      <c r="D96" s="593"/>
      <c r="E96" s="615"/>
      <c r="F96" s="593"/>
      <c r="G96" s="593"/>
      <c r="H96" s="1969">
        <v>0</v>
      </c>
      <c r="I96" s="473"/>
      <c r="J96" s="473"/>
      <c r="K96" s="1650">
        <f t="shared" si="12"/>
        <v>0</v>
      </c>
      <c r="L96" s="1998">
        <v>0</v>
      </c>
    </row>
    <row r="97" spans="1:14" ht="12.75" customHeight="1" thickTop="1" thickBot="1" x14ac:dyDescent="0.25">
      <c r="A97" s="1486" t="s">
        <v>763</v>
      </c>
      <c r="B97" s="616">
        <v>4370</v>
      </c>
      <c r="C97" s="593"/>
      <c r="D97" s="593"/>
      <c r="E97" s="615"/>
      <c r="F97" s="593"/>
      <c r="G97" s="593"/>
      <c r="H97" s="1969">
        <v>0</v>
      </c>
      <c r="I97" s="473"/>
      <c r="J97" s="473"/>
      <c r="K97" s="1650">
        <f t="shared" si="12"/>
        <v>0</v>
      </c>
      <c r="L97" s="1998">
        <v>0</v>
      </c>
    </row>
    <row r="98" spans="1:14" ht="14.25" thickTop="1" thickBot="1" x14ac:dyDescent="0.25">
      <c r="A98" s="1486" t="s">
        <v>764</v>
      </c>
      <c r="B98" s="616">
        <v>4380</v>
      </c>
      <c r="C98" s="593"/>
      <c r="D98" s="593"/>
      <c r="E98" s="618"/>
      <c r="F98" s="593"/>
      <c r="G98" s="593"/>
      <c r="H98" s="1969">
        <v>0</v>
      </c>
      <c r="I98" s="473"/>
      <c r="J98" s="473"/>
      <c r="K98" s="1650">
        <f t="shared" si="12"/>
        <v>0</v>
      </c>
      <c r="L98" s="1998">
        <v>0</v>
      </c>
    </row>
    <row r="99" spans="1:14" ht="14.25" thickTop="1" thickBot="1" x14ac:dyDescent="0.25">
      <c r="A99" s="1486" t="s">
        <v>367</v>
      </c>
      <c r="B99" s="616">
        <v>4390</v>
      </c>
      <c r="C99" s="593"/>
      <c r="D99" s="593"/>
      <c r="E99" s="1977">
        <v>0</v>
      </c>
      <c r="F99" s="593"/>
      <c r="G99" s="593"/>
      <c r="H99" s="1969">
        <v>0</v>
      </c>
      <c r="I99" s="473"/>
      <c r="J99" s="473"/>
      <c r="K99" s="1650">
        <f>SUM(E99,H99)</f>
        <v>0</v>
      </c>
      <c r="L99" s="1998">
        <v>0</v>
      </c>
    </row>
    <row r="100" spans="1:14" ht="14.25" thickTop="1" thickBot="1" x14ac:dyDescent="0.25">
      <c r="A100" s="1653" t="s">
        <v>1486</v>
      </c>
      <c r="B100" s="1654">
        <v>4300</v>
      </c>
      <c r="C100" s="593"/>
      <c r="D100" s="593"/>
      <c r="E100" s="1650">
        <f>SUM(E93:E99)</f>
        <v>0</v>
      </c>
      <c r="F100" s="593"/>
      <c r="G100" s="593"/>
      <c r="H100" s="1650">
        <f>SUM(H93:H99)</f>
        <v>0</v>
      </c>
      <c r="I100" s="473"/>
      <c r="J100" s="473"/>
      <c r="K100" s="1650">
        <f>SUM(K93:K99)</f>
        <v>0</v>
      </c>
      <c r="L100" s="1650">
        <f>SUM(L93:L99)</f>
        <v>0</v>
      </c>
    </row>
    <row r="101" spans="1:14" ht="12.75" customHeight="1" thickTop="1" thickBot="1" x14ac:dyDescent="0.25">
      <c r="A101" s="1483" t="s">
        <v>1489</v>
      </c>
      <c r="B101" s="619" t="s">
        <v>931</v>
      </c>
      <c r="C101" s="593"/>
      <c r="D101" s="593"/>
      <c r="E101" s="1976">
        <v>0</v>
      </c>
      <c r="F101" s="593"/>
      <c r="G101" s="593"/>
      <c r="H101" s="1976">
        <v>0</v>
      </c>
      <c r="I101" s="473"/>
      <c r="J101" s="473"/>
      <c r="K101" s="1652">
        <f>SUM(C101:J101)</f>
        <v>0</v>
      </c>
      <c r="L101" s="1998">
        <v>0</v>
      </c>
    </row>
    <row r="102" spans="1:14" ht="12.75" customHeight="1" thickTop="1" thickBot="1" x14ac:dyDescent="0.25">
      <c r="A102" s="1641" t="s">
        <v>1487</v>
      </c>
      <c r="B102" s="1651">
        <v>4000</v>
      </c>
      <c r="C102" s="593"/>
      <c r="D102" s="593"/>
      <c r="E102" s="1650">
        <f>SUM(E84,E92,E100,E101)</f>
        <v>165580</v>
      </c>
      <c r="F102" s="593"/>
      <c r="G102" s="593"/>
      <c r="H102" s="1650">
        <f>SUM(H84,H92,H100,H101)</f>
        <v>3068559</v>
      </c>
      <c r="I102" s="473"/>
      <c r="J102" s="473"/>
      <c r="K102" s="1650">
        <f>SUM(K84,K92,K100,K101)</f>
        <v>3234139</v>
      </c>
      <c r="L102" s="1650">
        <f>SUM(L84,L92,L100,L101)</f>
        <v>3187719</v>
      </c>
    </row>
    <row r="103" spans="1:14" s="610" customFormat="1" ht="15.75" customHeight="1" thickTop="1" x14ac:dyDescent="0.2">
      <c r="A103" s="1585" t="s">
        <v>513</v>
      </c>
      <c r="B103" s="1582" t="s">
        <v>492</v>
      </c>
      <c r="C103" s="593"/>
      <c r="D103" s="593"/>
      <c r="E103" s="593"/>
      <c r="F103" s="593"/>
      <c r="G103" s="593"/>
      <c r="H103" s="595"/>
      <c r="I103" s="467"/>
      <c r="J103" s="467"/>
      <c r="K103" s="595"/>
      <c r="L103" s="595"/>
      <c r="M103" s="184"/>
      <c r="N103" s="184"/>
    </row>
    <row r="104" spans="1:14" s="622" customFormat="1" ht="15.75" customHeight="1" x14ac:dyDescent="0.2">
      <c r="A104" s="620" t="s">
        <v>615</v>
      </c>
      <c r="B104" s="621"/>
      <c r="C104" s="593"/>
      <c r="D104" s="593"/>
      <c r="E104" s="593"/>
      <c r="F104" s="593"/>
      <c r="G104" s="593"/>
      <c r="H104" s="600"/>
      <c r="I104" s="467"/>
      <c r="J104" s="467"/>
      <c r="K104" s="600"/>
      <c r="L104" s="600"/>
      <c r="M104" s="590"/>
      <c r="N104" s="590"/>
    </row>
    <row r="105" spans="1:14" s="574" customFormat="1" x14ac:dyDescent="0.2">
      <c r="A105" s="1477" t="s">
        <v>87</v>
      </c>
      <c r="B105" s="591">
        <v>5110</v>
      </c>
      <c r="C105" s="593"/>
      <c r="D105" s="593"/>
      <c r="E105" s="593"/>
      <c r="F105" s="593"/>
      <c r="G105" s="593"/>
      <c r="H105" s="477">
        <v>0</v>
      </c>
      <c r="I105" s="467"/>
      <c r="J105" s="467"/>
      <c r="K105" s="1644">
        <f>H105</f>
        <v>0</v>
      </c>
      <c r="L105" s="477">
        <v>0</v>
      </c>
      <c r="M105" s="210"/>
      <c r="N105" s="210"/>
    </row>
    <row r="106" spans="1:14" s="574" customFormat="1" x14ac:dyDescent="0.2">
      <c r="A106" s="1477" t="s">
        <v>88</v>
      </c>
      <c r="B106" s="591">
        <v>5120</v>
      </c>
      <c r="C106" s="593"/>
      <c r="D106" s="593"/>
      <c r="E106" s="593"/>
      <c r="F106" s="593"/>
      <c r="G106" s="593"/>
      <c r="H106" s="1968">
        <v>0</v>
      </c>
      <c r="I106" s="467"/>
      <c r="J106" s="467"/>
      <c r="K106" s="1644">
        <f>H106</f>
        <v>0</v>
      </c>
      <c r="L106" s="1990">
        <v>0</v>
      </c>
      <c r="M106" s="210"/>
      <c r="N106" s="210"/>
    </row>
    <row r="107" spans="1:14" s="574" customFormat="1" ht="12.75" customHeight="1" x14ac:dyDescent="0.2">
      <c r="A107" s="1477" t="s">
        <v>1170</v>
      </c>
      <c r="B107" s="591">
        <v>5130</v>
      </c>
      <c r="C107" s="593"/>
      <c r="D107" s="593"/>
      <c r="E107" s="593"/>
      <c r="F107" s="593"/>
      <c r="G107" s="593"/>
      <c r="H107" s="1968">
        <v>0</v>
      </c>
      <c r="I107" s="467"/>
      <c r="J107" s="467"/>
      <c r="K107" s="1644">
        <f>H107</f>
        <v>0</v>
      </c>
      <c r="L107" s="1990">
        <v>0</v>
      </c>
      <c r="M107" s="210"/>
      <c r="N107" s="210"/>
    </row>
    <row r="108" spans="1:14" s="574" customFormat="1" x14ac:dyDescent="0.2">
      <c r="A108" s="1477" t="s">
        <v>89</v>
      </c>
      <c r="B108" s="591" t="s">
        <v>589</v>
      </c>
      <c r="C108" s="593"/>
      <c r="D108" s="593"/>
      <c r="E108" s="593"/>
      <c r="F108" s="593"/>
      <c r="G108" s="593"/>
      <c r="H108" s="1968">
        <v>0</v>
      </c>
      <c r="I108" s="467"/>
      <c r="J108" s="467"/>
      <c r="K108" s="1644">
        <f>H108</f>
        <v>0</v>
      </c>
      <c r="L108" s="1990">
        <v>0</v>
      </c>
      <c r="M108" s="210"/>
      <c r="N108" s="210"/>
    </row>
    <row r="109" spans="1:14" s="574" customFormat="1" x14ac:dyDescent="0.2">
      <c r="A109" s="1477" t="s">
        <v>254</v>
      </c>
      <c r="B109" s="605">
        <v>5150</v>
      </c>
      <c r="C109" s="593"/>
      <c r="D109" s="593"/>
      <c r="E109" s="593"/>
      <c r="F109" s="593"/>
      <c r="G109" s="593"/>
      <c r="H109" s="1968">
        <v>0</v>
      </c>
      <c r="I109" s="467"/>
      <c r="J109" s="467"/>
      <c r="K109" s="1644">
        <f>H109</f>
        <v>0</v>
      </c>
      <c r="L109" s="1990">
        <v>0</v>
      </c>
      <c r="M109" s="210"/>
      <c r="N109" s="210"/>
    </row>
    <row r="110" spans="1:14" s="574" customFormat="1" ht="12.75" customHeight="1" thickBot="1" x14ac:dyDescent="0.25">
      <c r="A110" s="1641" t="s">
        <v>1102</v>
      </c>
      <c r="B110" s="1648" t="s">
        <v>718</v>
      </c>
      <c r="C110" s="593"/>
      <c r="D110" s="593"/>
      <c r="E110" s="593"/>
      <c r="F110" s="593"/>
      <c r="G110" s="593"/>
      <c r="H110" s="1643">
        <f>SUM(H105:H109)</f>
        <v>0</v>
      </c>
      <c r="I110" s="467"/>
      <c r="J110" s="467"/>
      <c r="K110" s="1643">
        <f>SUM(K105:K109)</f>
        <v>0</v>
      </c>
      <c r="L110" s="1643">
        <f>SUM(L105:L109)</f>
        <v>0</v>
      </c>
      <c r="M110" s="210"/>
      <c r="N110" s="210"/>
    </row>
    <row r="111" spans="1:14" s="574" customFormat="1" ht="12.75" customHeight="1" thickTop="1" thickBot="1" x14ac:dyDescent="0.25">
      <c r="A111" s="1487" t="s">
        <v>368</v>
      </c>
      <c r="B111" s="623" t="s">
        <v>38</v>
      </c>
      <c r="C111" s="593"/>
      <c r="D111" s="593"/>
      <c r="E111" s="593"/>
      <c r="F111" s="593"/>
      <c r="G111" s="593"/>
      <c r="H111" s="1978">
        <v>0</v>
      </c>
      <c r="I111" s="467"/>
      <c r="J111" s="467"/>
      <c r="K111" s="1656">
        <f>H111</f>
        <v>0</v>
      </c>
      <c r="L111" s="2000">
        <v>0</v>
      </c>
      <c r="M111" s="210"/>
      <c r="N111" s="210"/>
    </row>
    <row r="112" spans="1:14" s="574" customFormat="1" ht="12.75" customHeight="1" thickTop="1" thickBot="1" x14ac:dyDescent="0.25">
      <c r="A112" s="1641" t="s">
        <v>638</v>
      </c>
      <c r="B112" s="1642" t="s">
        <v>492</v>
      </c>
      <c r="C112" s="593"/>
      <c r="D112" s="593"/>
      <c r="E112" s="593"/>
      <c r="F112" s="593"/>
      <c r="G112" s="593"/>
      <c r="H112" s="1643">
        <f>SUM(H110:H111)</f>
        <v>0</v>
      </c>
      <c r="I112" s="467"/>
      <c r="J112" s="467"/>
      <c r="K112" s="1643">
        <f>SUM(K110:K111)</f>
        <v>0</v>
      </c>
      <c r="L112" s="1650">
        <f>SUM(L110,L111)</f>
        <v>0</v>
      </c>
      <c r="M112" s="210"/>
      <c r="N112" s="210"/>
    </row>
    <row r="113" spans="1:14" s="259" customFormat="1" ht="15.75" customHeight="1" thickTop="1" thickBot="1" x14ac:dyDescent="0.25">
      <c r="A113" s="1579" t="s">
        <v>514</v>
      </c>
      <c r="B113" s="1586" t="s">
        <v>861</v>
      </c>
      <c r="C113" s="600"/>
      <c r="D113" s="600"/>
      <c r="E113" s="593"/>
      <c r="F113" s="593"/>
      <c r="G113" s="593"/>
      <c r="H113" s="600"/>
      <c r="I113" s="467"/>
      <c r="J113" s="467"/>
      <c r="K113" s="600"/>
      <c r="L113" s="1999">
        <v>150000</v>
      </c>
      <c r="M113" s="590"/>
      <c r="N113" s="590"/>
    </row>
    <row r="114" spans="1:14" ht="12.75" customHeight="1" thickTop="1" thickBot="1" x14ac:dyDescent="0.25">
      <c r="A114" s="1641" t="s">
        <v>48</v>
      </c>
      <c r="B114" s="1655"/>
      <c r="C114" s="1643">
        <f>SUM(C33,C74,C75,C102,C112,C113)</f>
        <v>14639110</v>
      </c>
      <c r="D114" s="1643">
        <f t="shared" ref="D114:K114" si="13">SUM(D33,D74,D75,D102,D112,D113)</f>
        <v>2370660</v>
      </c>
      <c r="E114" s="1643">
        <f t="shared" si="13"/>
        <v>1717676</v>
      </c>
      <c r="F114" s="1643">
        <f t="shared" si="13"/>
        <v>1097968</v>
      </c>
      <c r="G114" s="1643">
        <f t="shared" si="13"/>
        <v>7238</v>
      </c>
      <c r="H114" s="1643">
        <f>SUM(H33,H74,H75,H102,H112,H113)</f>
        <v>3924669</v>
      </c>
      <c r="I114" s="1643">
        <f t="shared" si="13"/>
        <v>69045</v>
      </c>
      <c r="J114" s="1643">
        <f t="shared" si="13"/>
        <v>0</v>
      </c>
      <c r="K114" s="1643">
        <f t="shared" si="13"/>
        <v>23826366</v>
      </c>
      <c r="L114" s="1643">
        <f>SUM(L33,L74,L75,L102,L112,L113)</f>
        <v>24546404</v>
      </c>
    </row>
    <row r="115" spans="1:14" ht="13.5" thickTop="1" x14ac:dyDescent="0.2">
      <c r="A115" s="2233" t="s">
        <v>996</v>
      </c>
      <c r="B115" s="2234"/>
      <c r="C115" s="595"/>
      <c r="D115" s="595"/>
      <c r="E115" s="595"/>
      <c r="F115" s="595"/>
      <c r="G115" s="595"/>
      <c r="H115" s="595"/>
      <c r="I115" s="595"/>
      <c r="J115" s="595"/>
      <c r="K115" s="1657">
        <f>'Revenues 9-14'!C268-'Expenditures 15-22'!K114</f>
        <v>1293587</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38" t="s">
        <v>296</v>
      </c>
      <c r="B117" s="2239"/>
      <c r="C117" s="1599"/>
      <c r="D117" s="1600"/>
      <c r="E117" s="1600"/>
      <c r="F117" s="1600"/>
      <c r="G117" s="1600"/>
      <c r="H117" s="1600"/>
      <c r="I117" s="1600"/>
      <c r="J117" s="1600"/>
      <c r="K117" s="1600"/>
      <c r="L117" s="1601"/>
      <c r="M117" s="175"/>
      <c r="N117" s="175"/>
    </row>
    <row r="118" spans="1:14" ht="15.75" customHeight="1" x14ac:dyDescent="0.2">
      <c r="A118" s="1587" t="s">
        <v>1035</v>
      </c>
      <c r="B118" s="1588" t="s">
        <v>569</v>
      </c>
      <c r="C118" s="593"/>
      <c r="D118" s="593"/>
      <c r="E118" s="593"/>
      <c r="F118" s="593"/>
      <c r="G118" s="593"/>
      <c r="H118" s="593"/>
      <c r="I118" s="593"/>
      <c r="J118" s="593"/>
      <c r="K118" s="593"/>
      <c r="L118" s="593"/>
    </row>
    <row r="119" spans="1:14" ht="15.75" customHeight="1" x14ac:dyDescent="0.2">
      <c r="A119" s="628" t="s">
        <v>591</v>
      </c>
      <c r="B119" s="599"/>
      <c r="C119" s="600"/>
      <c r="D119" s="600"/>
      <c r="E119" s="600"/>
      <c r="F119" s="593"/>
      <c r="G119" s="593"/>
      <c r="H119" s="600"/>
      <c r="I119" s="593"/>
      <c r="J119" s="593"/>
      <c r="K119" s="600"/>
      <c r="L119" s="600"/>
    </row>
    <row r="120" spans="1:14" ht="12.75" customHeight="1" x14ac:dyDescent="0.2">
      <c r="A120" s="1481" t="s">
        <v>2057</v>
      </c>
      <c r="B120" s="605" t="s">
        <v>716</v>
      </c>
      <c r="C120" s="465">
        <v>0</v>
      </c>
      <c r="D120" s="465">
        <v>0</v>
      </c>
      <c r="E120" s="1990">
        <v>0</v>
      </c>
      <c r="F120" s="1990">
        <v>0</v>
      </c>
      <c r="G120" s="1990">
        <v>0</v>
      </c>
      <c r="H120" s="1990">
        <v>0</v>
      </c>
      <c r="I120" s="1990">
        <v>0</v>
      </c>
      <c r="J120" s="1990">
        <v>0</v>
      </c>
      <c r="K120" s="1644">
        <f>SUM(C120:J120)</f>
        <v>0</v>
      </c>
      <c r="L120" s="1990">
        <v>0</v>
      </c>
    </row>
    <row r="121" spans="1:14" ht="15.75" customHeight="1" x14ac:dyDescent="0.2">
      <c r="A121" s="629" t="s">
        <v>612</v>
      </c>
      <c r="B121" s="599"/>
      <c r="C121" s="514"/>
      <c r="D121" s="514"/>
      <c r="E121" s="514"/>
      <c r="F121" s="514"/>
      <c r="G121" s="514"/>
      <c r="H121" s="514"/>
      <c r="I121" s="593"/>
      <c r="J121" s="593"/>
      <c r="K121" s="600"/>
      <c r="L121" s="514"/>
    </row>
    <row r="122" spans="1:14" ht="13.5" thickBot="1" x14ac:dyDescent="0.25">
      <c r="A122" s="1477" t="s">
        <v>1068</v>
      </c>
      <c r="B122" s="591">
        <v>2510</v>
      </c>
      <c r="C122" s="1968">
        <v>0</v>
      </c>
      <c r="D122" s="1968">
        <v>0</v>
      </c>
      <c r="E122" s="1968">
        <v>0</v>
      </c>
      <c r="F122" s="1968">
        <v>0</v>
      </c>
      <c r="G122" s="1968">
        <v>0</v>
      </c>
      <c r="H122" s="1968">
        <v>0</v>
      </c>
      <c r="I122" s="1969">
        <v>0</v>
      </c>
      <c r="J122" s="1969">
        <v>0</v>
      </c>
      <c r="K122" s="1643">
        <f>SUM(C122:J122)</f>
        <v>0</v>
      </c>
      <c r="L122" s="1990">
        <v>0</v>
      </c>
    </row>
    <row r="123" spans="1:14" ht="14.25" thickTop="1" thickBot="1" x14ac:dyDescent="0.25">
      <c r="A123" s="1477" t="s">
        <v>4</v>
      </c>
      <c r="B123" s="591">
        <v>2530</v>
      </c>
      <c r="C123" s="1968">
        <v>0</v>
      </c>
      <c r="D123" s="1968">
        <v>0</v>
      </c>
      <c r="E123" s="1968">
        <v>0</v>
      </c>
      <c r="F123" s="1968">
        <v>0</v>
      </c>
      <c r="G123" s="1968">
        <v>0</v>
      </c>
      <c r="H123" s="1968">
        <v>0</v>
      </c>
      <c r="I123" s="1969">
        <v>0</v>
      </c>
      <c r="J123" s="1969">
        <v>0</v>
      </c>
      <c r="K123" s="1643">
        <f>SUM(C123:J123)</f>
        <v>0</v>
      </c>
      <c r="L123" s="1990">
        <v>0</v>
      </c>
    </row>
    <row r="124" spans="1:14" ht="14.25" thickTop="1" thickBot="1" x14ac:dyDescent="0.25">
      <c r="A124" s="1477" t="s">
        <v>197</v>
      </c>
      <c r="B124" s="591">
        <v>2540</v>
      </c>
      <c r="C124" s="1968">
        <v>318004</v>
      </c>
      <c r="D124" s="1968">
        <v>55689</v>
      </c>
      <c r="E124" s="1968">
        <v>893758</v>
      </c>
      <c r="F124" s="1968">
        <v>548035</v>
      </c>
      <c r="G124" s="1968">
        <v>251156</v>
      </c>
      <c r="H124" s="1968">
        <v>1351</v>
      </c>
      <c r="I124" s="1969">
        <v>3558</v>
      </c>
      <c r="J124" s="1969">
        <v>11010</v>
      </c>
      <c r="K124" s="1643">
        <f>SUM(C124:J124)</f>
        <v>2082561</v>
      </c>
      <c r="L124" s="1990">
        <v>2133490</v>
      </c>
    </row>
    <row r="125" spans="1:14" ht="14.25" thickTop="1" thickBot="1" x14ac:dyDescent="0.25">
      <c r="A125" s="1477" t="s">
        <v>953</v>
      </c>
      <c r="B125" s="591">
        <v>2550</v>
      </c>
      <c r="C125" s="1968">
        <v>0</v>
      </c>
      <c r="D125" s="1968">
        <v>0</v>
      </c>
      <c r="E125" s="1968">
        <v>0</v>
      </c>
      <c r="F125" s="1968">
        <v>0</v>
      </c>
      <c r="G125" s="1968">
        <v>0</v>
      </c>
      <c r="H125" s="1968">
        <v>0</v>
      </c>
      <c r="I125" s="1969">
        <v>0</v>
      </c>
      <c r="J125" s="1969">
        <v>0</v>
      </c>
      <c r="K125" s="1643">
        <f>SUM(C125:J125)</f>
        <v>0</v>
      </c>
      <c r="L125" s="1990">
        <v>0</v>
      </c>
    </row>
    <row r="126" spans="1:14" ht="14.25" thickTop="1" thickBot="1" x14ac:dyDescent="0.25">
      <c r="A126" s="1477" t="s">
        <v>100</v>
      </c>
      <c r="B126" s="591">
        <v>2560</v>
      </c>
      <c r="C126" s="630"/>
      <c r="D126" s="630"/>
      <c r="E126" s="630"/>
      <c r="F126" s="630"/>
      <c r="G126" s="1968">
        <v>0</v>
      </c>
      <c r="H126" s="630"/>
      <c r="I126" s="1971">
        <v>0</v>
      </c>
      <c r="J126" s="593"/>
      <c r="K126" s="1643">
        <f>SUM(C126:J126)</f>
        <v>0</v>
      </c>
      <c r="L126" s="1990">
        <v>0</v>
      </c>
    </row>
    <row r="127" spans="1:14" ht="12.75" customHeight="1" thickTop="1" thickBot="1" x14ac:dyDescent="0.25">
      <c r="A127" s="1641" t="s">
        <v>719</v>
      </c>
      <c r="B127" s="1642" t="s">
        <v>35</v>
      </c>
      <c r="C127" s="1643">
        <f>SUM(C122:C126)</f>
        <v>318004</v>
      </c>
      <c r="D127" s="1643">
        <f t="shared" ref="D127:L127" si="14">SUM(D122:D126)</f>
        <v>55689</v>
      </c>
      <c r="E127" s="1643">
        <f t="shared" si="14"/>
        <v>893758</v>
      </c>
      <c r="F127" s="1643">
        <f t="shared" si="14"/>
        <v>548035</v>
      </c>
      <c r="G127" s="1643">
        <f t="shared" si="14"/>
        <v>251156</v>
      </c>
      <c r="H127" s="1643">
        <f t="shared" si="14"/>
        <v>1351</v>
      </c>
      <c r="I127" s="1643">
        <f t="shared" si="14"/>
        <v>3558</v>
      </c>
      <c r="J127" s="1643">
        <f t="shared" si="14"/>
        <v>11010</v>
      </c>
      <c r="K127" s="1643">
        <f t="shared" si="14"/>
        <v>2082561</v>
      </c>
      <c r="L127" s="1643">
        <f t="shared" si="14"/>
        <v>2133490</v>
      </c>
    </row>
    <row r="128" spans="1:14" ht="12.75" customHeight="1" thickTop="1" x14ac:dyDescent="0.2">
      <c r="A128" s="1484" t="s">
        <v>980</v>
      </c>
      <c r="B128" s="631" t="s">
        <v>574</v>
      </c>
      <c r="C128" s="1984">
        <v>0</v>
      </c>
      <c r="D128" s="1984">
        <v>0</v>
      </c>
      <c r="E128" s="1984">
        <v>0</v>
      </c>
      <c r="F128" s="1984">
        <v>0</v>
      </c>
      <c r="G128" s="1984">
        <v>0</v>
      </c>
      <c r="H128" s="1984">
        <v>0</v>
      </c>
      <c r="I128" s="1978">
        <v>0</v>
      </c>
      <c r="J128" s="1978">
        <v>0</v>
      </c>
      <c r="K128" s="1658">
        <f>SUM(C128:J128)</f>
        <v>0</v>
      </c>
      <c r="L128" s="1984">
        <v>0</v>
      </c>
    </row>
    <row r="129" spans="1:14" ht="12.75" customHeight="1" thickBot="1" x14ac:dyDescent="0.25">
      <c r="A129" s="1659" t="s">
        <v>811</v>
      </c>
      <c r="B129" s="1660" t="s">
        <v>569</v>
      </c>
      <c r="C129" s="1650">
        <f>SUM(C120,C127,C128)</f>
        <v>318004</v>
      </c>
      <c r="D129" s="1650">
        <f t="shared" ref="D129:L129" si="15">SUM(D120,D127,D128)</f>
        <v>55689</v>
      </c>
      <c r="E129" s="1650">
        <f t="shared" si="15"/>
        <v>893758</v>
      </c>
      <c r="F129" s="1650">
        <f t="shared" si="15"/>
        <v>548035</v>
      </c>
      <c r="G129" s="1650">
        <f t="shared" si="15"/>
        <v>251156</v>
      </c>
      <c r="H129" s="1650">
        <f t="shared" si="15"/>
        <v>1351</v>
      </c>
      <c r="I129" s="1650">
        <f t="shared" si="15"/>
        <v>3558</v>
      </c>
      <c r="J129" s="1650">
        <f t="shared" si="15"/>
        <v>11010</v>
      </c>
      <c r="K129" s="1650">
        <f t="shared" si="15"/>
        <v>2082561</v>
      </c>
      <c r="L129" s="1650">
        <f t="shared" si="15"/>
        <v>2133490</v>
      </c>
    </row>
    <row r="130" spans="1:14" ht="15.75" customHeight="1" thickTop="1" thickBot="1" x14ac:dyDescent="0.25">
      <c r="A130" s="1583" t="s">
        <v>1036</v>
      </c>
      <c r="B130" s="1584" t="s">
        <v>575</v>
      </c>
      <c r="C130" s="1981">
        <v>0</v>
      </c>
      <c r="D130" s="1981">
        <v>0</v>
      </c>
      <c r="E130" s="1981">
        <v>0</v>
      </c>
      <c r="F130" s="1981">
        <v>0</v>
      </c>
      <c r="G130" s="1981">
        <v>0</v>
      </c>
      <c r="H130" s="1981">
        <v>0</v>
      </c>
      <c r="I130" s="1976">
        <v>0</v>
      </c>
      <c r="J130" s="1976">
        <v>0</v>
      </c>
      <c r="K130" s="1643">
        <f>SUM(C130:J130)</f>
        <v>0</v>
      </c>
      <c r="L130" s="2003">
        <v>0</v>
      </c>
    </row>
    <row r="131" spans="1:14" ht="15.75" customHeight="1" thickTop="1" x14ac:dyDescent="0.2">
      <c r="A131" s="1589" t="s">
        <v>616</v>
      </c>
      <c r="B131" s="1582" t="s">
        <v>860</v>
      </c>
      <c r="C131" s="467"/>
      <c r="D131" s="467"/>
      <c r="E131" s="554"/>
      <c r="F131" s="467"/>
      <c r="G131" s="467"/>
      <c r="H131" s="554"/>
      <c r="I131" s="467"/>
      <c r="J131" s="467"/>
      <c r="K131" s="554"/>
      <c r="L131" s="554"/>
    </row>
    <row r="132" spans="1:14" s="384" customFormat="1" ht="13.5" customHeight="1" x14ac:dyDescent="0.2">
      <c r="A132" s="632" t="s">
        <v>614</v>
      </c>
      <c r="B132" s="633"/>
      <c r="C132" s="467"/>
      <c r="D132" s="467"/>
      <c r="E132" s="514"/>
      <c r="F132" s="467"/>
      <c r="G132" s="467"/>
      <c r="H132" s="514"/>
      <c r="I132" s="467"/>
      <c r="J132" s="467"/>
      <c r="K132" s="514"/>
      <c r="L132" s="514"/>
      <c r="M132" s="206"/>
      <c r="N132" s="206"/>
    </row>
    <row r="133" spans="1:14" s="384" customFormat="1" ht="13.5" customHeight="1" x14ac:dyDescent="0.2">
      <c r="A133" s="1463" t="s">
        <v>496</v>
      </c>
      <c r="B133" s="1814" t="s">
        <v>1842</v>
      </c>
      <c r="C133" s="467"/>
      <c r="D133" s="467"/>
      <c r="E133" s="1972">
        <v>0</v>
      </c>
      <c r="F133" s="467"/>
      <c r="G133" s="467"/>
      <c r="H133" s="1972">
        <v>0</v>
      </c>
      <c r="I133" s="467"/>
      <c r="J133" s="467"/>
      <c r="K133" s="1794">
        <f>SUM(E133,H133)</f>
        <v>0</v>
      </c>
      <c r="L133" s="1994">
        <v>0</v>
      </c>
      <c r="M133" s="206"/>
      <c r="N133" s="206"/>
    </row>
    <row r="134" spans="1:14" x14ac:dyDescent="0.2">
      <c r="A134" s="1477" t="s">
        <v>304</v>
      </c>
      <c r="B134" s="591">
        <v>4120</v>
      </c>
      <c r="C134" s="593"/>
      <c r="D134" s="593"/>
      <c r="E134" s="474">
        <v>72448</v>
      </c>
      <c r="F134" s="593"/>
      <c r="G134" s="593"/>
      <c r="H134" s="477">
        <v>0</v>
      </c>
      <c r="I134" s="473"/>
      <c r="J134" s="593"/>
      <c r="K134" s="1645">
        <f>SUM(E134,H134)</f>
        <v>72448</v>
      </c>
      <c r="L134" s="477">
        <v>75184</v>
      </c>
    </row>
    <row r="135" spans="1:14" x14ac:dyDescent="0.2">
      <c r="A135" s="1477" t="s">
        <v>697</v>
      </c>
      <c r="B135" s="591">
        <v>4140</v>
      </c>
      <c r="C135" s="593"/>
      <c r="D135" s="593"/>
      <c r="E135" s="1969">
        <v>0</v>
      </c>
      <c r="F135" s="593"/>
      <c r="G135" s="593"/>
      <c r="H135" s="1968">
        <v>0</v>
      </c>
      <c r="I135" s="473"/>
      <c r="J135" s="593"/>
      <c r="K135" s="1645">
        <f>SUM(E135,H135)</f>
        <v>0</v>
      </c>
      <c r="L135" s="1990">
        <v>0</v>
      </c>
    </row>
    <row r="136" spans="1:14" x14ac:dyDescent="0.2">
      <c r="A136" s="1481" t="s">
        <v>698</v>
      </c>
      <c r="B136" s="605">
        <v>4190</v>
      </c>
      <c r="C136" s="593"/>
      <c r="D136" s="593"/>
      <c r="E136" s="1969">
        <v>0</v>
      </c>
      <c r="F136" s="593"/>
      <c r="G136" s="593"/>
      <c r="H136" s="1968">
        <v>0</v>
      </c>
      <c r="I136" s="473"/>
      <c r="J136" s="593"/>
      <c r="K136" s="1645">
        <f>SUM(E136,H136)</f>
        <v>0</v>
      </c>
      <c r="L136" s="1990">
        <v>0</v>
      </c>
    </row>
    <row r="137" spans="1:14" ht="12.75" customHeight="1" thickBot="1" x14ac:dyDescent="0.25">
      <c r="A137" s="1641" t="s">
        <v>480</v>
      </c>
      <c r="B137" s="1651">
        <v>4100</v>
      </c>
      <c r="C137" s="593"/>
      <c r="D137" s="593"/>
      <c r="E137" s="1643">
        <f>SUM(E133:E136)</f>
        <v>72448</v>
      </c>
      <c r="F137" s="593"/>
      <c r="G137" s="593"/>
      <c r="H137" s="1643">
        <f>SUM(H133:H136)</f>
        <v>0</v>
      </c>
      <c r="I137" s="473"/>
      <c r="J137" s="593"/>
      <c r="K137" s="1643">
        <f>SUM(K133:K136)</f>
        <v>72448</v>
      </c>
      <c r="L137" s="1643">
        <f>SUM(L133:L136)</f>
        <v>75184</v>
      </c>
    </row>
    <row r="138" spans="1:14" ht="12.75" customHeight="1" thickTop="1" thickBot="1" x14ac:dyDescent="0.25">
      <c r="A138" s="1483" t="s">
        <v>96</v>
      </c>
      <c r="B138" s="619" t="s">
        <v>931</v>
      </c>
      <c r="C138" s="593"/>
      <c r="D138" s="593"/>
      <c r="E138" s="475"/>
      <c r="F138" s="593"/>
      <c r="G138" s="593"/>
      <c r="H138" s="1981">
        <v>0</v>
      </c>
      <c r="I138" s="473"/>
      <c r="J138" s="593"/>
      <c r="K138" s="1645">
        <f>SUM(E138,H138)</f>
        <v>0</v>
      </c>
      <c r="L138" s="1981">
        <v>0</v>
      </c>
    </row>
    <row r="139" spans="1:14" ht="12.75" customHeight="1" thickTop="1" thickBot="1" x14ac:dyDescent="0.25">
      <c r="A139" s="1641" t="s">
        <v>1487</v>
      </c>
      <c r="B139" s="1651">
        <v>4000</v>
      </c>
      <c r="C139" s="593"/>
      <c r="D139" s="593"/>
      <c r="E139" s="1643">
        <f>SUM(E137,E138)</f>
        <v>72448</v>
      </c>
      <c r="F139" s="593"/>
      <c r="G139" s="593"/>
      <c r="H139" s="1652">
        <f>SUM(H137:H138)</f>
        <v>0</v>
      </c>
      <c r="I139" s="473"/>
      <c r="J139" s="593"/>
      <c r="K139" s="1645">
        <f>SUM(K137,K138)</f>
        <v>72448</v>
      </c>
      <c r="L139" s="1652">
        <f>SUM(L137,L138)</f>
        <v>75184</v>
      </c>
    </row>
    <row r="140" spans="1:14" ht="15.75" customHeight="1" thickTop="1" x14ac:dyDescent="0.2">
      <c r="A140" s="1585" t="s">
        <v>1037</v>
      </c>
      <c r="B140" s="1586" t="s">
        <v>492</v>
      </c>
      <c r="C140" s="593"/>
      <c r="D140" s="593"/>
      <c r="E140" s="615"/>
      <c r="F140" s="615"/>
      <c r="G140" s="615"/>
      <c r="H140" s="613"/>
      <c r="I140" s="473"/>
      <c r="J140" s="615"/>
      <c r="K140" s="613"/>
      <c r="L140" s="613"/>
    </row>
    <row r="141" spans="1:14" ht="15.75" customHeight="1" x14ac:dyDescent="0.2">
      <c r="A141" s="629" t="s">
        <v>615</v>
      </c>
      <c r="B141" s="599"/>
      <c r="C141" s="593"/>
      <c r="D141" s="593"/>
      <c r="E141" s="593"/>
      <c r="F141" s="593"/>
      <c r="G141" s="593"/>
      <c r="H141" s="600"/>
      <c r="I141" s="467"/>
      <c r="J141" s="593"/>
      <c r="K141" s="600"/>
      <c r="L141" s="600"/>
    </row>
    <row r="142" spans="1:14" x14ac:dyDescent="0.2">
      <c r="A142" s="1477" t="s">
        <v>87</v>
      </c>
      <c r="B142" s="591">
        <v>5110</v>
      </c>
      <c r="C142" s="593"/>
      <c r="D142" s="593"/>
      <c r="E142" s="593"/>
      <c r="F142" s="593"/>
      <c r="G142" s="593"/>
      <c r="H142" s="477">
        <v>0</v>
      </c>
      <c r="I142" s="467"/>
      <c r="J142" s="593"/>
      <c r="K142" s="1645">
        <f>SUM(H142)</f>
        <v>0</v>
      </c>
      <c r="L142" s="477">
        <v>0</v>
      </c>
    </row>
    <row r="143" spans="1:14" x14ac:dyDescent="0.2">
      <c r="A143" s="1477" t="s">
        <v>88</v>
      </c>
      <c r="B143" s="591">
        <v>5120</v>
      </c>
      <c r="C143" s="593"/>
      <c r="D143" s="593"/>
      <c r="E143" s="593"/>
      <c r="F143" s="593"/>
      <c r="G143" s="593"/>
      <c r="H143" s="1968">
        <v>0</v>
      </c>
      <c r="I143" s="467"/>
      <c r="J143" s="593"/>
      <c r="K143" s="1645">
        <f>SUM(H143)</f>
        <v>0</v>
      </c>
      <c r="L143" s="1990">
        <v>0</v>
      </c>
    </row>
    <row r="144" spans="1:14" ht="12.75" customHeight="1" x14ac:dyDescent="0.2">
      <c r="A144" s="1477" t="s">
        <v>1170</v>
      </c>
      <c r="B144" s="605" t="s">
        <v>617</v>
      </c>
      <c r="C144" s="593"/>
      <c r="D144" s="593"/>
      <c r="E144" s="593"/>
      <c r="F144" s="593"/>
      <c r="G144" s="593"/>
      <c r="H144" s="1968">
        <v>0</v>
      </c>
      <c r="I144" s="467"/>
      <c r="J144" s="593"/>
      <c r="K144" s="1645">
        <f>SUM(H144)</f>
        <v>0</v>
      </c>
      <c r="L144" s="1990">
        <v>0</v>
      </c>
    </row>
    <row r="145" spans="1:14" x14ac:dyDescent="0.2">
      <c r="A145" s="1477" t="s">
        <v>89</v>
      </c>
      <c r="B145" s="591" t="s">
        <v>589</v>
      </c>
      <c r="C145" s="593"/>
      <c r="D145" s="593"/>
      <c r="E145" s="593"/>
      <c r="F145" s="593"/>
      <c r="G145" s="593"/>
      <c r="H145" s="1968">
        <v>0</v>
      </c>
      <c r="I145" s="467"/>
      <c r="J145" s="593"/>
      <c r="K145" s="1645">
        <f>SUM(H145)</f>
        <v>0</v>
      </c>
      <c r="L145" s="1990">
        <v>0</v>
      </c>
    </row>
    <row r="146" spans="1:14" ht="12.75" customHeight="1" x14ac:dyDescent="0.2">
      <c r="A146" s="1477" t="s">
        <v>619</v>
      </c>
      <c r="B146" s="591" t="s">
        <v>618</v>
      </c>
      <c r="C146" s="593"/>
      <c r="D146" s="593"/>
      <c r="E146" s="593"/>
      <c r="F146" s="593"/>
      <c r="G146" s="593"/>
      <c r="H146" s="1968">
        <v>0</v>
      </c>
      <c r="I146" s="467"/>
      <c r="J146" s="593"/>
      <c r="K146" s="1645">
        <f>SUM(H146)</f>
        <v>0</v>
      </c>
      <c r="L146" s="1990">
        <v>0</v>
      </c>
    </row>
    <row r="147" spans="1:14" ht="12.75" customHeight="1" thickBot="1" x14ac:dyDescent="0.25">
      <c r="A147" s="1488" t="s">
        <v>626</v>
      </c>
      <c r="B147" s="634" t="s">
        <v>718</v>
      </c>
      <c r="C147" s="593"/>
      <c r="D147" s="593"/>
      <c r="E147" s="593"/>
      <c r="F147" s="593"/>
      <c r="G147" s="593"/>
      <c r="H147" s="1661">
        <f>SUM(H142:H146)</f>
        <v>0</v>
      </c>
      <c r="I147" s="467"/>
      <c r="J147" s="593"/>
      <c r="K147" s="1643">
        <f>SUM(K142:K146)</f>
        <v>0</v>
      </c>
      <c r="L147" s="1661">
        <f>SUM(L142:L146)</f>
        <v>0</v>
      </c>
    </row>
    <row r="148" spans="1:14" ht="15.75" customHeight="1" thickTop="1" x14ac:dyDescent="0.2">
      <c r="A148" s="635" t="s">
        <v>1103</v>
      </c>
      <c r="B148" s="636" t="s">
        <v>38</v>
      </c>
      <c r="C148" s="593"/>
      <c r="D148" s="593"/>
      <c r="E148" s="593"/>
      <c r="F148" s="593"/>
      <c r="G148" s="593"/>
      <c r="H148" s="1973">
        <v>0</v>
      </c>
      <c r="I148" s="467"/>
      <c r="J148" s="593"/>
      <c r="K148" s="1645">
        <f>SUM(H148)</f>
        <v>0</v>
      </c>
      <c r="L148" s="1997">
        <v>0</v>
      </c>
    </row>
    <row r="149" spans="1:14" ht="12.75" customHeight="1" thickBot="1" x14ac:dyDescent="0.25">
      <c r="A149" s="1480" t="s">
        <v>638</v>
      </c>
      <c r="B149" s="594" t="s">
        <v>492</v>
      </c>
      <c r="C149" s="593"/>
      <c r="D149" s="593"/>
      <c r="E149" s="593"/>
      <c r="F149" s="593"/>
      <c r="G149" s="593"/>
      <c r="H149" s="1643">
        <f>SUM(H147,H148)</f>
        <v>0</v>
      </c>
      <c r="I149" s="467"/>
      <c r="J149" s="593"/>
      <c r="K149" s="1643">
        <f>SUM(K147:K148)</f>
        <v>0</v>
      </c>
      <c r="L149" s="1643">
        <f>SUM(L142:L146,L148)</f>
        <v>0</v>
      </c>
    </row>
    <row r="150" spans="1:14" ht="15.75" customHeight="1" thickTop="1" thickBot="1" x14ac:dyDescent="0.25">
      <c r="A150" s="1579" t="s">
        <v>1038</v>
      </c>
      <c r="B150" s="1586" t="s">
        <v>861</v>
      </c>
      <c r="C150" s="593"/>
      <c r="D150" s="593"/>
      <c r="E150" s="593"/>
      <c r="F150" s="593"/>
      <c r="G150" s="593"/>
      <c r="H150" s="637"/>
      <c r="I150" s="514"/>
      <c r="J150" s="593"/>
      <c r="K150" s="600"/>
      <c r="L150" s="2002">
        <v>50000</v>
      </c>
    </row>
    <row r="151" spans="1:14" ht="12.75" customHeight="1" thickTop="1" thickBot="1" x14ac:dyDescent="0.25">
      <c r="A151" s="2250" t="s">
        <v>620</v>
      </c>
      <c r="B151" s="2230"/>
      <c r="C151" s="1643">
        <f>SUM(C129,C130,C139,C149,C150)</f>
        <v>318004</v>
      </c>
      <c r="D151" s="1643">
        <f t="shared" ref="D151:K151" si="16">SUM(D129,D130,D139,D149,D150)</f>
        <v>55689</v>
      </c>
      <c r="E151" s="1643">
        <f t="shared" si="16"/>
        <v>966206</v>
      </c>
      <c r="F151" s="1643">
        <f t="shared" si="16"/>
        <v>548035</v>
      </c>
      <c r="G151" s="1643">
        <f t="shared" si="16"/>
        <v>251156</v>
      </c>
      <c r="H151" s="1643">
        <f t="shared" si="16"/>
        <v>1351</v>
      </c>
      <c r="I151" s="1643">
        <f t="shared" si="16"/>
        <v>3558</v>
      </c>
      <c r="J151" s="1643">
        <f t="shared" si="16"/>
        <v>11010</v>
      </c>
      <c r="K151" s="1643">
        <f t="shared" si="16"/>
        <v>2155009</v>
      </c>
      <c r="L151" s="1643">
        <f>SUM(L129,L130,L139,L149,L150)</f>
        <v>2258674</v>
      </c>
    </row>
    <row r="152" spans="1:14" ht="12.75" customHeight="1" thickTop="1" x14ac:dyDescent="0.2">
      <c r="A152" s="2253" t="s">
        <v>1178</v>
      </c>
      <c r="B152" s="2254"/>
      <c r="C152" s="595"/>
      <c r="D152" s="595"/>
      <c r="E152" s="595"/>
      <c r="F152" s="595"/>
      <c r="G152" s="595"/>
      <c r="H152" s="595"/>
      <c r="I152" s="595"/>
      <c r="J152" s="593"/>
      <c r="K152" s="1657">
        <f>'Revenues 9-14'!D268-'Expenditures 15-22'!K151</f>
        <v>188958</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38" t="s">
        <v>621</v>
      </c>
      <c r="B154" s="2240"/>
      <c r="C154" s="1599"/>
      <c r="D154" s="1600"/>
      <c r="E154" s="1600"/>
      <c r="F154" s="1600"/>
      <c r="G154" s="1600"/>
      <c r="H154" s="1600"/>
      <c r="I154" s="1600"/>
      <c r="J154" s="1600"/>
      <c r="K154" s="1600"/>
      <c r="L154" s="1601"/>
      <c r="M154" s="642"/>
      <c r="N154" s="642"/>
    </row>
    <row r="155" spans="1:14" s="597" customFormat="1" ht="15.75" customHeight="1" thickBot="1" x14ac:dyDescent="0.25">
      <c r="A155" s="1590" t="s">
        <v>81</v>
      </c>
      <c r="B155" s="1591" t="s">
        <v>860</v>
      </c>
      <c r="C155" s="593"/>
      <c r="D155" s="593"/>
      <c r="E155" s="593"/>
      <c r="F155" s="593"/>
      <c r="G155" s="593"/>
      <c r="H155" s="1815"/>
      <c r="I155" s="593"/>
      <c r="J155" s="593"/>
      <c r="K155" s="1798"/>
      <c r="L155" s="1815"/>
      <c r="M155" s="596"/>
      <c r="N155" s="596"/>
    </row>
    <row r="156" spans="1:14" s="597" customFormat="1" ht="15.75" customHeight="1" thickTop="1" x14ac:dyDescent="0.2">
      <c r="A156" s="1795" t="s">
        <v>1843</v>
      </c>
      <c r="B156" s="1796"/>
      <c r="C156" s="593"/>
      <c r="D156" s="593"/>
      <c r="E156" s="593"/>
      <c r="F156" s="593"/>
      <c r="G156" s="593"/>
      <c r="H156" s="1816"/>
      <c r="I156" s="593"/>
      <c r="J156" s="593"/>
      <c r="K156" s="1797"/>
      <c r="L156" s="1816"/>
      <c r="M156" s="596"/>
      <c r="N156" s="596"/>
    </row>
    <row r="157" spans="1:14" s="597" customFormat="1" ht="12" x14ac:dyDescent="0.2">
      <c r="A157" s="1799" t="s">
        <v>496</v>
      </c>
      <c r="B157" s="1800" t="s">
        <v>1842</v>
      </c>
      <c r="C157" s="593"/>
      <c r="D157" s="593"/>
      <c r="E157" s="593"/>
      <c r="F157" s="593"/>
      <c r="G157" s="593"/>
      <c r="H157" s="1972">
        <v>0</v>
      </c>
      <c r="I157" s="593"/>
      <c r="J157" s="593"/>
      <c r="K157" s="1644">
        <f>H157</f>
        <v>0</v>
      </c>
      <c r="L157" s="1991">
        <v>0</v>
      </c>
      <c r="M157" s="596"/>
      <c r="N157" s="596"/>
    </row>
    <row r="158" spans="1:14" s="597" customFormat="1" ht="12" x14ac:dyDescent="0.2">
      <c r="A158" s="1799" t="s">
        <v>304</v>
      </c>
      <c r="B158" s="1800" t="s">
        <v>1844</v>
      </c>
      <c r="C158" s="593"/>
      <c r="D158" s="593"/>
      <c r="E158" s="593"/>
      <c r="F158" s="593"/>
      <c r="G158" s="593"/>
      <c r="H158" s="1969">
        <v>0</v>
      </c>
      <c r="I158" s="593"/>
      <c r="J158" s="593"/>
      <c r="K158" s="1644">
        <f>H158</f>
        <v>0</v>
      </c>
      <c r="L158" s="1991">
        <v>0</v>
      </c>
      <c r="M158" s="596"/>
      <c r="N158" s="596"/>
    </row>
    <row r="159" spans="1:14" s="597" customFormat="1" ht="12" x14ac:dyDescent="0.2">
      <c r="A159" s="1799" t="s">
        <v>1845</v>
      </c>
      <c r="B159" s="1800" t="s">
        <v>558</v>
      </c>
      <c r="C159" s="593"/>
      <c r="D159" s="593"/>
      <c r="E159" s="593"/>
      <c r="F159" s="593"/>
      <c r="G159" s="593"/>
      <c r="H159" s="1969">
        <v>0</v>
      </c>
      <c r="I159" s="593"/>
      <c r="J159" s="593"/>
      <c r="K159" s="1644">
        <f>H159</f>
        <v>0</v>
      </c>
      <c r="L159" s="1991">
        <v>0</v>
      </c>
      <c r="M159" s="596"/>
      <c r="N159" s="596"/>
    </row>
    <row r="160" spans="1:14" s="597" customFormat="1" ht="15.75" customHeight="1" thickBot="1" x14ac:dyDescent="0.25">
      <c r="A160" s="1801" t="s">
        <v>1846</v>
      </c>
      <c r="B160" s="1802" t="s">
        <v>860</v>
      </c>
      <c r="C160" s="593"/>
      <c r="D160" s="593"/>
      <c r="E160" s="593"/>
      <c r="F160" s="593"/>
      <c r="G160" s="593"/>
      <c r="H160" s="1661">
        <f>SUM(H157:H159)</f>
        <v>0</v>
      </c>
      <c r="I160" s="593"/>
      <c r="J160" s="593"/>
      <c r="K160" s="1643">
        <f>SUM(K157:K159)</f>
        <v>0</v>
      </c>
      <c r="L160" s="1661">
        <f>SUM(L157:L159)</f>
        <v>0</v>
      </c>
      <c r="M160" s="596"/>
      <c r="N160" s="596"/>
    </row>
    <row r="161" spans="1:14" s="259" customFormat="1" ht="15.75" customHeight="1" thickTop="1" x14ac:dyDescent="0.2">
      <c r="A161" s="1585" t="s">
        <v>82</v>
      </c>
      <c r="B161" s="1586" t="s">
        <v>492</v>
      </c>
      <c r="C161" s="593"/>
      <c r="D161" s="593"/>
      <c r="E161" s="593"/>
      <c r="F161" s="593"/>
      <c r="G161" s="593"/>
      <c r="H161" s="593"/>
      <c r="I161" s="593"/>
      <c r="J161" s="593"/>
      <c r="K161" s="593"/>
      <c r="L161" s="593"/>
      <c r="M161" s="590"/>
      <c r="N161" s="590"/>
    </row>
    <row r="162" spans="1:14" s="259" customFormat="1" ht="15.75" customHeight="1" x14ac:dyDescent="0.2">
      <c r="A162" s="629" t="s">
        <v>615</v>
      </c>
      <c r="B162" s="599"/>
      <c r="C162" s="593"/>
      <c r="D162" s="593"/>
      <c r="E162" s="593"/>
      <c r="F162" s="593"/>
      <c r="G162" s="593"/>
      <c r="H162" s="593"/>
      <c r="I162" s="593"/>
      <c r="J162" s="593"/>
      <c r="K162" s="600"/>
      <c r="L162" s="600"/>
      <c r="M162" s="590"/>
      <c r="N162" s="590"/>
    </row>
    <row r="163" spans="1:14" x14ac:dyDescent="0.2">
      <c r="A163" s="1477" t="s">
        <v>87</v>
      </c>
      <c r="B163" s="591">
        <v>5110</v>
      </c>
      <c r="C163" s="593"/>
      <c r="D163" s="593"/>
      <c r="E163" s="593"/>
      <c r="F163" s="593"/>
      <c r="G163" s="593"/>
      <c r="H163" s="1968">
        <v>0</v>
      </c>
      <c r="I163" s="593"/>
      <c r="J163" s="593"/>
      <c r="K163" s="1644">
        <f>SUM(C163:J163)</f>
        <v>0</v>
      </c>
      <c r="L163" s="1990">
        <v>0</v>
      </c>
    </row>
    <row r="164" spans="1:14" x14ac:dyDescent="0.2">
      <c r="A164" s="1477" t="s">
        <v>88</v>
      </c>
      <c r="B164" s="591">
        <v>5120</v>
      </c>
      <c r="C164" s="593"/>
      <c r="D164" s="593"/>
      <c r="E164" s="593"/>
      <c r="F164" s="593"/>
      <c r="G164" s="593"/>
      <c r="H164" s="1968">
        <v>0</v>
      </c>
      <c r="I164" s="593"/>
      <c r="J164" s="593"/>
      <c r="K164" s="1644">
        <f>SUM(C164:J164)</f>
        <v>0</v>
      </c>
      <c r="L164" s="1990">
        <v>0</v>
      </c>
    </row>
    <row r="165" spans="1:14" ht="12.75" customHeight="1" x14ac:dyDescent="0.2">
      <c r="A165" s="1477" t="s">
        <v>1170</v>
      </c>
      <c r="B165" s="591" t="s">
        <v>617</v>
      </c>
      <c r="C165" s="593"/>
      <c r="D165" s="593"/>
      <c r="E165" s="593"/>
      <c r="F165" s="593"/>
      <c r="G165" s="593"/>
      <c r="H165" s="1968">
        <v>0</v>
      </c>
      <c r="I165" s="593"/>
      <c r="J165" s="593"/>
      <c r="K165" s="1644">
        <f>SUM(C165:J165)</f>
        <v>0</v>
      </c>
      <c r="L165" s="1990">
        <v>0</v>
      </c>
    </row>
    <row r="166" spans="1:14" x14ac:dyDescent="0.2">
      <c r="A166" s="1477" t="s">
        <v>89</v>
      </c>
      <c r="B166" s="605" t="s">
        <v>589</v>
      </c>
      <c r="C166" s="593"/>
      <c r="D166" s="593"/>
      <c r="E166" s="593"/>
      <c r="F166" s="593"/>
      <c r="G166" s="593"/>
      <c r="H166" s="1968">
        <v>0</v>
      </c>
      <c r="I166" s="593"/>
      <c r="J166" s="593"/>
      <c r="K166" s="1644">
        <f>SUM(C166:J166)</f>
        <v>0</v>
      </c>
      <c r="L166" s="1990">
        <v>0</v>
      </c>
    </row>
    <row r="167" spans="1:14" ht="12.75" customHeight="1" x14ac:dyDescent="0.2">
      <c r="A167" s="1477" t="s">
        <v>619</v>
      </c>
      <c r="B167" s="591" t="s">
        <v>618</v>
      </c>
      <c r="C167" s="593"/>
      <c r="D167" s="593"/>
      <c r="E167" s="593"/>
      <c r="F167" s="593"/>
      <c r="G167" s="593"/>
      <c r="H167" s="1968">
        <v>0</v>
      </c>
      <c r="I167" s="593"/>
      <c r="J167" s="593"/>
      <c r="K167" s="1644">
        <f>SUM(C167:J167)</f>
        <v>0</v>
      </c>
      <c r="L167" s="1990">
        <v>0</v>
      </c>
    </row>
    <row r="168" spans="1:14" ht="13.5" thickBot="1" x14ac:dyDescent="0.25">
      <c r="A168" s="1641" t="s">
        <v>276</v>
      </c>
      <c r="B168" s="1648" t="s">
        <v>718</v>
      </c>
      <c r="C168" s="593"/>
      <c r="D168" s="593"/>
      <c r="E168" s="593"/>
      <c r="F168" s="593"/>
      <c r="G168" s="593"/>
      <c r="H168" s="1643">
        <f>SUM(H163:H167)</f>
        <v>0</v>
      </c>
      <c r="I168" s="593"/>
      <c r="J168" s="593"/>
      <c r="K168" s="1643">
        <f>SUM(K163:K167)</f>
        <v>0</v>
      </c>
      <c r="L168" s="1643">
        <f>SUM(L163:L167)</f>
        <v>0</v>
      </c>
    </row>
    <row r="169" spans="1:14" ht="15.75" customHeight="1" thickTop="1" x14ac:dyDescent="0.2">
      <c r="A169" s="644" t="s">
        <v>83</v>
      </c>
      <c r="B169" s="645" t="s">
        <v>38</v>
      </c>
      <c r="C169" s="593"/>
      <c r="D169" s="593"/>
      <c r="E169" s="593"/>
      <c r="F169" s="593"/>
      <c r="G169" s="593"/>
      <c r="H169" s="1984">
        <v>2831459</v>
      </c>
      <c r="I169" s="593"/>
      <c r="J169" s="593"/>
      <c r="K169" s="1644">
        <f>SUM(C169:H169)</f>
        <v>2831459</v>
      </c>
      <c r="L169" s="2005">
        <v>2821144</v>
      </c>
    </row>
    <row r="170" spans="1:14" ht="33.75" customHeight="1" x14ac:dyDescent="0.2">
      <c r="A170" s="644" t="s">
        <v>1670</v>
      </c>
      <c r="B170" s="646" t="s">
        <v>31</v>
      </c>
      <c r="C170" s="593"/>
      <c r="D170" s="593"/>
      <c r="E170" s="593"/>
      <c r="F170" s="593"/>
      <c r="G170" s="593"/>
      <c r="H170" s="1974">
        <v>2305494</v>
      </c>
      <c r="I170" s="593"/>
      <c r="J170" s="593"/>
      <c r="K170" s="1644">
        <f>SUM(C170:J170)</f>
        <v>2305494</v>
      </c>
      <c r="L170" s="1996">
        <v>2318414</v>
      </c>
    </row>
    <row r="171" spans="1:14" ht="15.75" customHeight="1" x14ac:dyDescent="0.2">
      <c r="A171" s="598" t="s">
        <v>766</v>
      </c>
      <c r="B171" s="647" t="s">
        <v>84</v>
      </c>
      <c r="C171" s="593"/>
      <c r="D171" s="593"/>
      <c r="E171" s="1968">
        <v>0</v>
      </c>
      <c r="F171" s="593"/>
      <c r="G171" s="593"/>
      <c r="H171" s="1974">
        <v>975</v>
      </c>
      <c r="I171" s="473"/>
      <c r="J171" s="593"/>
      <c r="K171" s="1644">
        <f>SUM(C171:J171)</f>
        <v>975</v>
      </c>
      <c r="L171" s="1996">
        <v>2000</v>
      </c>
    </row>
    <row r="172" spans="1:14" ht="12.75" customHeight="1" thickBot="1" x14ac:dyDescent="0.25">
      <c r="A172" s="1641" t="s">
        <v>638</v>
      </c>
      <c r="B172" s="1642" t="s">
        <v>492</v>
      </c>
      <c r="C172" s="593"/>
      <c r="D172" s="593"/>
      <c r="E172" s="1650">
        <f>SUM(E168,E169,E170,E171)</f>
        <v>0</v>
      </c>
      <c r="F172" s="593"/>
      <c r="G172" s="593"/>
      <c r="H172" s="1650">
        <f>SUM(H168,H169,H170,H171)</f>
        <v>5137928</v>
      </c>
      <c r="I172" s="615"/>
      <c r="J172" s="593"/>
      <c r="K172" s="1650">
        <f>SUM(K168,K169,K170,K171)</f>
        <v>5137928</v>
      </c>
      <c r="L172" s="1650">
        <f>SUM(L168,L169,L170,L171)</f>
        <v>5141558</v>
      </c>
    </row>
    <row r="173" spans="1:14" ht="15.75" customHeight="1" thickTop="1" thickBot="1" x14ac:dyDescent="0.25">
      <c r="A173" s="1592" t="s">
        <v>85</v>
      </c>
      <c r="B173" s="1584" t="s">
        <v>861</v>
      </c>
      <c r="C173" s="593"/>
      <c r="D173" s="593"/>
      <c r="E173" s="600"/>
      <c r="F173" s="593"/>
      <c r="G173" s="593"/>
      <c r="H173" s="603"/>
      <c r="I173" s="615"/>
      <c r="J173" s="593"/>
      <c r="K173" s="600"/>
      <c r="L173" s="2003">
        <v>0</v>
      </c>
    </row>
    <row r="174" spans="1:14" ht="12.75" customHeight="1" thickTop="1" thickBot="1" x14ac:dyDescent="0.25">
      <c r="A174" s="1662" t="s">
        <v>90</v>
      </c>
      <c r="B174" s="1663"/>
      <c r="C174" s="593"/>
      <c r="D174" s="593"/>
      <c r="E174" s="1650">
        <f>SUM(E172,E173)</f>
        <v>0</v>
      </c>
      <c r="F174" s="593"/>
      <c r="G174" s="593"/>
      <c r="H174" s="1650">
        <f>SUM(H160,H172,H173)</f>
        <v>5137928</v>
      </c>
      <c r="I174" s="615"/>
      <c r="J174" s="593"/>
      <c r="K174" s="1650">
        <f>SUM(K160,K172,K173)</f>
        <v>5137928</v>
      </c>
      <c r="L174" s="1650">
        <f>SUM(L160,L172,L173)</f>
        <v>5141558</v>
      </c>
    </row>
    <row r="175" spans="1:14" ht="13.5" thickTop="1" x14ac:dyDescent="0.2">
      <c r="A175" s="2233" t="s">
        <v>996</v>
      </c>
      <c r="B175" s="2234"/>
      <c r="C175" s="593"/>
      <c r="D175" s="593"/>
      <c r="E175" s="593"/>
      <c r="F175" s="593"/>
      <c r="G175" s="593"/>
      <c r="H175" s="595"/>
      <c r="I175" s="593"/>
      <c r="J175" s="593"/>
      <c r="K175" s="1657">
        <f>'Revenues 9-14'!E268-'Expenditures 15-22'!K174</f>
        <v>-65657</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7" t="s">
        <v>937</v>
      </c>
      <c r="B177" s="1528"/>
      <c r="C177" s="1524"/>
      <c r="D177" s="1525"/>
      <c r="E177" s="1525"/>
      <c r="F177" s="1525"/>
      <c r="G177" s="1525"/>
      <c r="H177" s="1525"/>
      <c r="I177" s="1525"/>
      <c r="J177" s="1525"/>
      <c r="K177" s="1525"/>
      <c r="L177" s="1526"/>
      <c r="M177" s="586"/>
      <c r="N177" s="586"/>
    </row>
    <row r="178" spans="1:14" s="649" customFormat="1" ht="15.75" customHeight="1" x14ac:dyDescent="0.2">
      <c r="A178" s="1593" t="s">
        <v>938</v>
      </c>
      <c r="B178" s="1594"/>
      <c r="C178" s="593"/>
      <c r="D178" s="593"/>
      <c r="E178" s="593"/>
      <c r="F178" s="593"/>
      <c r="G178" s="593"/>
      <c r="H178" s="593"/>
      <c r="I178" s="593"/>
      <c r="J178" s="593"/>
      <c r="K178" s="593"/>
      <c r="L178" s="593"/>
      <c r="M178" s="640"/>
      <c r="N178" s="640"/>
    </row>
    <row r="179" spans="1:14" s="649" customFormat="1" ht="15.75" customHeight="1" x14ac:dyDescent="0.2">
      <c r="A179" s="650" t="s">
        <v>591</v>
      </c>
      <c r="B179" s="599"/>
      <c r="C179" s="600"/>
      <c r="D179" s="600"/>
      <c r="E179" s="600"/>
      <c r="F179" s="593"/>
      <c r="G179" s="593"/>
      <c r="H179" s="600"/>
      <c r="I179" s="593"/>
      <c r="J179" s="593"/>
      <c r="K179" s="600"/>
      <c r="L179" s="600"/>
      <c r="M179" s="640"/>
      <c r="N179" s="640"/>
    </row>
    <row r="180" spans="1:14" ht="12.75" customHeight="1" x14ac:dyDescent="0.2">
      <c r="A180" s="1477" t="s">
        <v>2057</v>
      </c>
      <c r="B180" s="591" t="s">
        <v>716</v>
      </c>
      <c r="C180" s="465">
        <v>0</v>
      </c>
      <c r="D180" s="465">
        <v>0</v>
      </c>
      <c r="E180" s="465">
        <v>0</v>
      </c>
      <c r="F180" s="465">
        <v>0</v>
      </c>
      <c r="G180" s="465">
        <v>0</v>
      </c>
      <c r="H180" s="465">
        <v>0</v>
      </c>
      <c r="I180" s="466">
        <v>0</v>
      </c>
      <c r="J180" s="466">
        <v>0</v>
      </c>
      <c r="K180" s="1644">
        <f>SUM(C180:J180)</f>
        <v>0</v>
      </c>
      <c r="L180" s="1990">
        <v>0</v>
      </c>
    </row>
    <row r="181" spans="1:14" ht="15.75" customHeight="1" x14ac:dyDescent="0.2">
      <c r="A181" s="601" t="s">
        <v>612</v>
      </c>
      <c r="B181" s="651"/>
      <c r="C181" s="557"/>
      <c r="D181" s="557"/>
      <c r="E181" s="557"/>
      <c r="F181" s="557"/>
      <c r="G181" s="557"/>
      <c r="H181" s="557"/>
      <c r="I181" s="467"/>
      <c r="J181" s="467"/>
      <c r="K181" s="557"/>
      <c r="L181" s="557"/>
    </row>
    <row r="182" spans="1:14" ht="12.75" customHeight="1" x14ac:dyDescent="0.2">
      <c r="A182" s="1477" t="s">
        <v>953</v>
      </c>
      <c r="B182" s="591">
        <v>2550</v>
      </c>
      <c r="C182" s="1968">
        <v>12869</v>
      </c>
      <c r="D182" s="1968">
        <v>4431</v>
      </c>
      <c r="E182" s="1968">
        <v>2433542</v>
      </c>
      <c r="F182" s="1968">
        <v>1623</v>
      </c>
      <c r="G182" s="1968">
        <v>0</v>
      </c>
      <c r="H182" s="1968">
        <v>0</v>
      </c>
      <c r="I182" s="1969">
        <v>0</v>
      </c>
      <c r="J182" s="1969">
        <v>0</v>
      </c>
      <c r="K182" s="1644">
        <f>SUM(C182:J182)</f>
        <v>2452465</v>
      </c>
      <c r="L182" s="1990">
        <v>2505886</v>
      </c>
    </row>
    <row r="183" spans="1:14" ht="12.75" customHeight="1" thickBot="1" x14ac:dyDescent="0.25">
      <c r="A183" s="1482" t="s">
        <v>980</v>
      </c>
      <c r="B183" s="652">
        <v>2900</v>
      </c>
      <c r="C183" s="1979">
        <v>0</v>
      </c>
      <c r="D183" s="1979">
        <v>0</v>
      </c>
      <c r="E183" s="1979">
        <v>0</v>
      </c>
      <c r="F183" s="1979">
        <v>0</v>
      </c>
      <c r="G183" s="1979">
        <v>0</v>
      </c>
      <c r="H183" s="1979">
        <v>0</v>
      </c>
      <c r="I183" s="1977">
        <v>0</v>
      </c>
      <c r="J183" s="1977">
        <v>0</v>
      </c>
      <c r="K183" s="1650">
        <f>SUM(C183:J183)</f>
        <v>0</v>
      </c>
      <c r="L183" s="2002">
        <v>0</v>
      </c>
    </row>
    <row r="184" spans="1:14" ht="12.75" customHeight="1" thickTop="1" thickBot="1" x14ac:dyDescent="0.25">
      <c r="A184" s="1664" t="s">
        <v>811</v>
      </c>
      <c r="B184" s="1642" t="s">
        <v>569</v>
      </c>
      <c r="C184" s="1650">
        <f>SUM(C180,C182,C183)</f>
        <v>12869</v>
      </c>
      <c r="D184" s="1650">
        <f t="shared" ref="D184:J184" si="17">SUM(D180,D182,D183)</f>
        <v>4431</v>
      </c>
      <c r="E184" s="1650">
        <f t="shared" si="17"/>
        <v>2433542</v>
      </c>
      <c r="F184" s="1650">
        <f t="shared" si="17"/>
        <v>1623</v>
      </c>
      <c r="G184" s="1650">
        <f t="shared" si="17"/>
        <v>0</v>
      </c>
      <c r="H184" s="1650">
        <f t="shared" si="17"/>
        <v>0</v>
      </c>
      <c r="I184" s="1650">
        <f t="shared" si="17"/>
        <v>0</v>
      </c>
      <c r="J184" s="1650">
        <f t="shared" si="17"/>
        <v>0</v>
      </c>
      <c r="K184" s="1650">
        <f>SUM(K180,K182,K183)</f>
        <v>2452465</v>
      </c>
      <c r="L184" s="1650">
        <f>SUM(L180, L182:L183)</f>
        <v>2505886</v>
      </c>
    </row>
    <row r="185" spans="1:14" ht="15.75" customHeight="1" thickTop="1" thickBot="1" x14ac:dyDescent="0.25">
      <c r="A185" s="1595" t="s">
        <v>939</v>
      </c>
      <c r="B185" s="1584">
        <v>3000</v>
      </c>
      <c r="C185" s="561"/>
      <c r="D185" s="561"/>
      <c r="E185" s="561"/>
      <c r="F185" s="561"/>
      <c r="G185" s="561"/>
      <c r="H185" s="561"/>
      <c r="I185" s="523"/>
      <c r="J185" s="523"/>
      <c r="K185" s="1643">
        <f>SUM(C185:J185)</f>
        <v>0</v>
      </c>
      <c r="L185" s="2003">
        <v>0</v>
      </c>
    </row>
    <row r="186" spans="1:14" s="649" customFormat="1" ht="15.75" customHeight="1" thickTop="1" x14ac:dyDescent="0.2">
      <c r="A186" s="1579" t="s">
        <v>91</v>
      </c>
      <c r="B186" s="1582" t="s">
        <v>860</v>
      </c>
      <c r="C186" s="593"/>
      <c r="D186" s="593"/>
      <c r="E186" s="593"/>
      <c r="F186" s="593"/>
      <c r="G186" s="593"/>
      <c r="H186" s="593"/>
      <c r="I186" s="593"/>
      <c r="J186" s="593"/>
      <c r="K186" s="593"/>
      <c r="L186" s="593"/>
      <c r="M186" s="640"/>
      <c r="N186" s="640"/>
    </row>
    <row r="187" spans="1:14" s="649" customFormat="1" ht="15.75" customHeight="1" x14ac:dyDescent="0.2">
      <c r="A187" s="598" t="s">
        <v>1131</v>
      </c>
      <c r="B187" s="599"/>
      <c r="C187" s="593"/>
      <c r="D187" s="593"/>
      <c r="E187" s="593"/>
      <c r="F187" s="593"/>
      <c r="G187" s="593"/>
      <c r="H187" s="593"/>
      <c r="I187" s="593"/>
      <c r="J187" s="593"/>
      <c r="K187" s="593"/>
      <c r="L187" s="593"/>
      <c r="M187" s="640"/>
      <c r="N187" s="640"/>
    </row>
    <row r="188" spans="1:14" x14ac:dyDescent="0.2">
      <c r="A188" s="1477" t="s">
        <v>496</v>
      </c>
      <c r="B188" s="591">
        <v>4110</v>
      </c>
      <c r="C188" s="593"/>
      <c r="D188" s="593"/>
      <c r="E188" s="1968">
        <v>0</v>
      </c>
      <c r="F188" s="593"/>
      <c r="G188" s="593"/>
      <c r="H188" s="1968">
        <v>0</v>
      </c>
      <c r="I188" s="473"/>
      <c r="J188" s="593"/>
      <c r="K188" s="1644">
        <f t="shared" ref="K188:K193" si="18">SUM(E188,H188)</f>
        <v>0</v>
      </c>
      <c r="L188" s="1990">
        <v>0</v>
      </c>
    </row>
    <row r="189" spans="1:14" x14ac:dyDescent="0.2">
      <c r="A189" s="1477" t="s">
        <v>304</v>
      </c>
      <c r="B189" s="591">
        <v>4120</v>
      </c>
      <c r="C189" s="593"/>
      <c r="D189" s="593"/>
      <c r="E189" s="1968">
        <v>4815</v>
      </c>
      <c r="F189" s="593"/>
      <c r="G189" s="593"/>
      <c r="H189" s="1968">
        <v>0</v>
      </c>
      <c r="I189" s="473"/>
      <c r="J189" s="593"/>
      <c r="K189" s="1644">
        <f t="shared" si="18"/>
        <v>4815</v>
      </c>
      <c r="L189" s="1990">
        <v>0</v>
      </c>
    </row>
    <row r="190" spans="1:14" x14ac:dyDescent="0.2">
      <c r="A190" s="1477" t="s">
        <v>305</v>
      </c>
      <c r="B190" s="605">
        <v>4130</v>
      </c>
      <c r="C190" s="593"/>
      <c r="D190" s="593"/>
      <c r="E190" s="1968">
        <v>0</v>
      </c>
      <c r="F190" s="593"/>
      <c r="G190" s="593"/>
      <c r="H190" s="1968">
        <v>0</v>
      </c>
      <c r="I190" s="473"/>
      <c r="J190" s="593"/>
      <c r="K190" s="1644">
        <f t="shared" si="18"/>
        <v>0</v>
      </c>
      <c r="L190" s="1990">
        <v>0</v>
      </c>
    </row>
    <row r="191" spans="1:14" x14ac:dyDescent="0.2">
      <c r="A191" s="1477" t="s">
        <v>697</v>
      </c>
      <c r="B191" s="591">
        <v>4140</v>
      </c>
      <c r="C191" s="593"/>
      <c r="D191" s="593"/>
      <c r="E191" s="1968">
        <v>0</v>
      </c>
      <c r="F191" s="593"/>
      <c r="G191" s="593"/>
      <c r="H191" s="1968">
        <v>0</v>
      </c>
      <c r="I191" s="473"/>
      <c r="J191" s="593"/>
      <c r="K191" s="1644">
        <f t="shared" si="18"/>
        <v>0</v>
      </c>
      <c r="L191" s="1990">
        <v>0</v>
      </c>
    </row>
    <row r="192" spans="1:14" x14ac:dyDescent="0.2">
      <c r="A192" s="1477" t="s">
        <v>86</v>
      </c>
      <c r="B192" s="591">
        <v>4170</v>
      </c>
      <c r="C192" s="593"/>
      <c r="D192" s="593"/>
      <c r="E192" s="1968">
        <v>0</v>
      </c>
      <c r="F192" s="593"/>
      <c r="G192" s="593"/>
      <c r="H192" s="1968">
        <v>0</v>
      </c>
      <c r="I192" s="473"/>
      <c r="J192" s="593"/>
      <c r="K192" s="1644">
        <f t="shared" si="18"/>
        <v>0</v>
      </c>
      <c r="L192" s="1990">
        <v>0</v>
      </c>
    </row>
    <row r="193" spans="1:14" x14ac:dyDescent="0.2">
      <c r="A193" s="1481" t="s">
        <v>698</v>
      </c>
      <c r="B193" s="605">
        <v>4190</v>
      </c>
      <c r="C193" s="593"/>
      <c r="D193" s="593"/>
      <c r="E193" s="1968">
        <v>0</v>
      </c>
      <c r="F193" s="593"/>
      <c r="G193" s="593"/>
      <c r="H193" s="1968">
        <v>0</v>
      </c>
      <c r="I193" s="473"/>
      <c r="J193" s="593"/>
      <c r="K193" s="1644">
        <f t="shared" si="18"/>
        <v>0</v>
      </c>
      <c r="L193" s="1990">
        <v>0</v>
      </c>
    </row>
    <row r="194" spans="1:14" ht="12.75" customHeight="1" thickBot="1" x14ac:dyDescent="0.25">
      <c r="A194" s="1641" t="s">
        <v>1140</v>
      </c>
      <c r="B194" s="1642" t="s">
        <v>559</v>
      </c>
      <c r="C194" s="593"/>
      <c r="D194" s="593"/>
      <c r="E194" s="1643">
        <f>SUM(E188:E193)</f>
        <v>4815</v>
      </c>
      <c r="F194" s="593"/>
      <c r="G194" s="593"/>
      <c r="H194" s="1643">
        <f>SUM(H188:H193)</f>
        <v>0</v>
      </c>
      <c r="I194" s="473"/>
      <c r="J194" s="593"/>
      <c r="K194" s="1643">
        <f>SUM(K188:K193)</f>
        <v>4815</v>
      </c>
      <c r="L194" s="1643">
        <f>SUM(L188:L193)</f>
        <v>0</v>
      </c>
    </row>
    <row r="195" spans="1:14" ht="15.75" customHeight="1" thickTop="1" x14ac:dyDescent="0.2">
      <c r="A195" s="644" t="s">
        <v>92</v>
      </c>
      <c r="B195" s="653" t="s">
        <v>931</v>
      </c>
      <c r="C195" s="593"/>
      <c r="D195" s="593"/>
      <c r="E195" s="1984">
        <v>0</v>
      </c>
      <c r="F195" s="593"/>
      <c r="G195" s="593"/>
      <c r="H195" s="1984">
        <v>0</v>
      </c>
      <c r="I195" s="473"/>
      <c r="J195" s="593"/>
      <c r="K195" s="1658">
        <f>SUM(E195,H195)</f>
        <v>0</v>
      </c>
      <c r="L195" s="2005">
        <v>0</v>
      </c>
    </row>
    <row r="196" spans="1:14" ht="12.75" customHeight="1" thickBot="1" x14ac:dyDescent="0.25">
      <c r="A196" s="1641" t="s">
        <v>1487</v>
      </c>
      <c r="B196" s="1642" t="s">
        <v>860</v>
      </c>
      <c r="C196" s="593"/>
      <c r="D196" s="593"/>
      <c r="E196" s="1650">
        <f>SUM(E194,E195)</f>
        <v>4815</v>
      </c>
      <c r="F196" s="593"/>
      <c r="G196" s="593"/>
      <c r="H196" s="1650">
        <f>SUM(H194,H195)</f>
        <v>0</v>
      </c>
      <c r="I196" s="473"/>
      <c r="J196" s="593"/>
      <c r="K196" s="1650">
        <f>SUM(K194,K195)</f>
        <v>4815</v>
      </c>
      <c r="L196" s="1650">
        <f>SUM(L194,L195)</f>
        <v>0</v>
      </c>
    </row>
    <row r="197" spans="1:14" s="649" customFormat="1" ht="15.75" customHeight="1" thickTop="1" x14ac:dyDescent="0.2">
      <c r="A197" s="1585" t="s">
        <v>940</v>
      </c>
      <c r="B197" s="1582" t="s">
        <v>492</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7" t="s">
        <v>87</v>
      </c>
      <c r="B199" s="591">
        <v>5110</v>
      </c>
      <c r="C199" s="593"/>
      <c r="D199" s="593"/>
      <c r="E199" s="593"/>
      <c r="F199" s="593"/>
      <c r="G199" s="593"/>
      <c r="H199" s="1968">
        <v>0</v>
      </c>
      <c r="I199" s="593"/>
      <c r="J199" s="593"/>
      <c r="K199" s="1644">
        <f>SUM(H199)</f>
        <v>0</v>
      </c>
      <c r="L199" s="1990">
        <v>0</v>
      </c>
    </row>
    <row r="200" spans="1:14" x14ac:dyDescent="0.2">
      <c r="A200" s="1477" t="s">
        <v>88</v>
      </c>
      <c r="B200" s="591">
        <v>5120</v>
      </c>
      <c r="C200" s="593"/>
      <c r="D200" s="593"/>
      <c r="E200" s="593"/>
      <c r="F200" s="593"/>
      <c r="G200" s="593"/>
      <c r="H200" s="1968">
        <v>0</v>
      </c>
      <c r="I200" s="593"/>
      <c r="J200" s="593"/>
      <c r="K200" s="1644">
        <f>SUM(H200)</f>
        <v>0</v>
      </c>
      <c r="L200" s="1990">
        <v>0</v>
      </c>
    </row>
    <row r="201" spans="1:14" ht="12.75" customHeight="1" x14ac:dyDescent="0.2">
      <c r="A201" s="1477" t="s">
        <v>1170</v>
      </c>
      <c r="B201" s="605" t="s">
        <v>617</v>
      </c>
      <c r="C201" s="593"/>
      <c r="D201" s="593"/>
      <c r="E201" s="593"/>
      <c r="F201" s="593"/>
      <c r="G201" s="593"/>
      <c r="H201" s="1968">
        <v>0</v>
      </c>
      <c r="I201" s="593"/>
      <c r="J201" s="593"/>
      <c r="K201" s="1644">
        <f>SUM(H201)</f>
        <v>0</v>
      </c>
      <c r="L201" s="1990">
        <v>0</v>
      </c>
    </row>
    <row r="202" spans="1:14" x14ac:dyDescent="0.2">
      <c r="A202" s="1477" t="s">
        <v>89</v>
      </c>
      <c r="B202" s="591" t="s">
        <v>589</v>
      </c>
      <c r="C202" s="593"/>
      <c r="D202" s="593"/>
      <c r="E202" s="593"/>
      <c r="F202" s="593"/>
      <c r="G202" s="593"/>
      <c r="H202" s="1968">
        <v>0</v>
      </c>
      <c r="I202" s="593"/>
      <c r="J202" s="593"/>
      <c r="K202" s="1644">
        <f>SUM(H202)</f>
        <v>0</v>
      </c>
      <c r="L202" s="1990">
        <v>0</v>
      </c>
    </row>
    <row r="203" spans="1:14" x14ac:dyDescent="0.2">
      <c r="A203" s="1489" t="s">
        <v>619</v>
      </c>
      <c r="B203" s="591" t="s">
        <v>618</v>
      </c>
      <c r="C203" s="593"/>
      <c r="D203" s="593"/>
      <c r="E203" s="593"/>
      <c r="F203" s="593"/>
      <c r="G203" s="593"/>
      <c r="H203" s="1970">
        <v>0</v>
      </c>
      <c r="I203" s="593"/>
      <c r="J203" s="593"/>
      <c r="K203" s="1644">
        <f>SUM(H203)</f>
        <v>0</v>
      </c>
      <c r="L203" s="1992">
        <v>0</v>
      </c>
    </row>
    <row r="204" spans="1:14" ht="13.5" thickBot="1" x14ac:dyDescent="0.25">
      <c r="A204" s="1641" t="s">
        <v>276</v>
      </c>
      <c r="B204" s="1642" t="s">
        <v>718</v>
      </c>
      <c r="C204" s="593"/>
      <c r="D204" s="593"/>
      <c r="E204" s="593"/>
      <c r="F204" s="593"/>
      <c r="G204" s="593"/>
      <c r="H204" s="1643">
        <f>SUM(H199:H203)</f>
        <v>0</v>
      </c>
      <c r="I204" s="593"/>
      <c r="J204" s="593"/>
      <c r="K204" s="1643">
        <f>SUM(K199:K203)</f>
        <v>0</v>
      </c>
      <c r="L204" s="1643">
        <f>SUM(L199:L203)</f>
        <v>0</v>
      </c>
    </row>
    <row r="205" spans="1:14" ht="15.75" customHeight="1" thickTop="1" x14ac:dyDescent="0.2">
      <c r="A205" s="654" t="s">
        <v>83</v>
      </c>
      <c r="B205" s="655" t="s">
        <v>38</v>
      </c>
      <c r="C205" s="593"/>
      <c r="D205" s="593"/>
      <c r="E205" s="593"/>
      <c r="F205" s="593"/>
      <c r="G205" s="593"/>
      <c r="H205" s="1978">
        <v>0</v>
      </c>
      <c r="I205" s="593"/>
      <c r="J205" s="593"/>
      <c r="K205" s="1658">
        <f>SUM(H205)</f>
        <v>0</v>
      </c>
      <c r="L205" s="2001">
        <v>0</v>
      </c>
    </row>
    <row r="206" spans="1:14" ht="30" customHeight="1" x14ac:dyDescent="0.2">
      <c r="A206" s="656" t="s">
        <v>1671</v>
      </c>
      <c r="B206" s="647" t="s">
        <v>31</v>
      </c>
      <c r="C206" s="593"/>
      <c r="D206" s="593"/>
      <c r="E206" s="593"/>
      <c r="F206" s="593"/>
      <c r="G206" s="593"/>
      <c r="H206" s="1968">
        <v>0</v>
      </c>
      <c r="I206" s="593"/>
      <c r="J206" s="593"/>
      <c r="K206" s="1644">
        <f>SUM(H206)</f>
        <v>0</v>
      </c>
      <c r="L206" s="1990">
        <v>0</v>
      </c>
    </row>
    <row r="207" spans="1:14" ht="15.75" customHeight="1" x14ac:dyDescent="0.2">
      <c r="A207" s="598" t="s">
        <v>766</v>
      </c>
      <c r="B207" s="647" t="s">
        <v>84</v>
      </c>
      <c r="C207" s="593"/>
      <c r="D207" s="593"/>
      <c r="E207" s="593"/>
      <c r="F207" s="593"/>
      <c r="G207" s="593"/>
      <c r="H207" s="1969">
        <v>0</v>
      </c>
      <c r="I207" s="593"/>
      <c r="J207" s="593"/>
      <c r="K207" s="1644">
        <f>H207</f>
        <v>0</v>
      </c>
      <c r="L207" s="1990">
        <v>0</v>
      </c>
    </row>
    <row r="208" spans="1:14" ht="12.75" customHeight="1" thickBot="1" x14ac:dyDescent="0.25">
      <c r="A208" s="1659" t="s">
        <v>638</v>
      </c>
      <c r="B208" s="1660" t="s">
        <v>492</v>
      </c>
      <c r="C208" s="593"/>
      <c r="D208" s="593"/>
      <c r="E208" s="593"/>
      <c r="F208" s="593"/>
      <c r="G208" s="593"/>
      <c r="H208" s="1650">
        <f>SUM(H204,H205,H206,H207)</f>
        <v>0</v>
      </c>
      <c r="I208" s="593"/>
      <c r="J208" s="593"/>
      <c r="K208" s="1650">
        <f>SUM(K204,K205,K206,K207)</f>
        <v>0</v>
      </c>
      <c r="L208" s="1650">
        <f>SUM(L204,L205,L206,L207)</f>
        <v>0</v>
      </c>
    </row>
    <row r="209" spans="1:14" ht="15.75" customHeight="1" thickTop="1" thickBot="1" x14ac:dyDescent="0.25">
      <c r="A209" s="1579" t="s">
        <v>872</v>
      </c>
      <c r="B209" s="1586" t="s">
        <v>861</v>
      </c>
      <c r="C209" s="600"/>
      <c r="D209" s="600"/>
      <c r="E209" s="600"/>
      <c r="F209" s="600"/>
      <c r="G209" s="600"/>
      <c r="H209" s="600"/>
      <c r="I209" s="593"/>
      <c r="J209" s="593"/>
      <c r="K209" s="600"/>
      <c r="L209" s="2003">
        <v>50000</v>
      </c>
    </row>
    <row r="210" spans="1:14" ht="12.75" customHeight="1" thickTop="1" thickBot="1" x14ac:dyDescent="0.25">
      <c r="A210" s="1665" t="s">
        <v>277</v>
      </c>
      <c r="B210" s="1666"/>
      <c r="C210" s="1643">
        <f>SUM(C184,C185)</f>
        <v>12869</v>
      </c>
      <c r="D210" s="1643">
        <f>SUM(D184,D185)</f>
        <v>4431</v>
      </c>
      <c r="E210" s="1643">
        <f>SUM(E184,E185,E196)</f>
        <v>2438357</v>
      </c>
      <c r="F210" s="1643">
        <f>SUM(F184,F185)</f>
        <v>1623</v>
      </c>
      <c r="G210" s="1643">
        <f>SUM(G184,G185)</f>
        <v>0</v>
      </c>
      <c r="H210" s="1643">
        <f>SUM(H184,H185,H196,H208,H209)</f>
        <v>0</v>
      </c>
      <c r="I210" s="1643">
        <f>SUM(I184,I185)</f>
        <v>0</v>
      </c>
      <c r="J210" s="1643">
        <f>SUM(J184,J185)</f>
        <v>0</v>
      </c>
      <c r="K210" s="1644">
        <f>SUM(K184,K185,K196,K208,K209)</f>
        <v>2457280</v>
      </c>
      <c r="L210" s="1643">
        <f>SUM(L184,L185,L196,L208,L209)</f>
        <v>2555886</v>
      </c>
    </row>
    <row r="211" spans="1:14" ht="13.5" thickTop="1" x14ac:dyDescent="0.2">
      <c r="A211" s="2233" t="s">
        <v>996</v>
      </c>
      <c r="B211" s="2234"/>
      <c r="C211" s="595"/>
      <c r="D211" s="595"/>
      <c r="E211" s="595"/>
      <c r="F211" s="595"/>
      <c r="G211" s="595"/>
      <c r="H211" s="595"/>
      <c r="I211" s="593"/>
      <c r="J211" s="593"/>
      <c r="K211" s="1657">
        <f>'Revenues 9-14'!F268-'Expenditures 15-22'!K210</f>
        <v>-117482</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55" t="s">
        <v>965</v>
      </c>
      <c r="B213" s="2256"/>
      <c r="C213" s="1524"/>
      <c r="D213" s="1525"/>
      <c r="E213" s="1525"/>
      <c r="F213" s="1525"/>
      <c r="G213" s="1525"/>
      <c r="H213" s="1525"/>
      <c r="I213" s="1525"/>
      <c r="J213" s="1525"/>
      <c r="K213" s="1525"/>
      <c r="L213" s="1526"/>
      <c r="M213" s="586"/>
      <c r="N213" s="586"/>
    </row>
    <row r="214" spans="1:14" s="649" customFormat="1" ht="15.75" customHeight="1" x14ac:dyDescent="0.2">
      <c r="A214" s="1596" t="s">
        <v>873</v>
      </c>
      <c r="B214" s="1588" t="s">
        <v>570</v>
      </c>
      <c r="C214" s="593"/>
      <c r="D214" s="600"/>
      <c r="E214" s="593"/>
      <c r="F214" s="593"/>
      <c r="G214" s="593"/>
      <c r="H214" s="593"/>
      <c r="I214" s="593"/>
      <c r="J214" s="593"/>
      <c r="K214" s="600"/>
      <c r="L214" s="600"/>
      <c r="M214" s="640"/>
      <c r="N214" s="640"/>
    </row>
    <row r="215" spans="1:14" x14ac:dyDescent="0.2">
      <c r="A215" s="1477" t="s">
        <v>961</v>
      </c>
      <c r="B215" s="591">
        <v>1100</v>
      </c>
      <c r="C215" s="593"/>
      <c r="D215" s="1968">
        <v>103329</v>
      </c>
      <c r="E215" s="593"/>
      <c r="F215" s="593"/>
      <c r="G215" s="593"/>
      <c r="H215" s="593"/>
      <c r="I215" s="593"/>
      <c r="J215" s="593"/>
      <c r="K215" s="1644">
        <f>D215</f>
        <v>103329</v>
      </c>
      <c r="L215" s="1990">
        <v>108749</v>
      </c>
    </row>
    <row r="216" spans="1:14" x14ac:dyDescent="0.2">
      <c r="A216" s="1477" t="s">
        <v>163</v>
      </c>
      <c r="B216" s="591" t="s">
        <v>967</v>
      </c>
      <c r="C216" s="593"/>
      <c r="D216" s="1969">
        <v>0</v>
      </c>
      <c r="E216" s="593"/>
      <c r="F216" s="593"/>
      <c r="G216" s="593"/>
      <c r="H216" s="593"/>
      <c r="I216" s="593"/>
      <c r="J216" s="593"/>
      <c r="K216" s="1644">
        <f t="shared" ref="K216:K228" si="19">D216</f>
        <v>0</v>
      </c>
      <c r="L216" s="1990">
        <v>0</v>
      </c>
    </row>
    <row r="217" spans="1:14" x14ac:dyDescent="0.2">
      <c r="A217" s="1477" t="s">
        <v>164</v>
      </c>
      <c r="B217" s="591">
        <v>1200</v>
      </c>
      <c r="C217" s="593"/>
      <c r="D217" s="1968">
        <v>171204</v>
      </c>
      <c r="E217" s="593"/>
      <c r="F217" s="593"/>
      <c r="G217" s="593"/>
      <c r="H217" s="593"/>
      <c r="I217" s="593"/>
      <c r="J217" s="593"/>
      <c r="K217" s="1644">
        <f t="shared" si="19"/>
        <v>171204</v>
      </c>
      <c r="L217" s="1990">
        <v>186616</v>
      </c>
    </row>
    <row r="218" spans="1:14" x14ac:dyDescent="0.2">
      <c r="A218" s="1477" t="s">
        <v>278</v>
      </c>
      <c r="B218" s="591" t="s">
        <v>968</v>
      </c>
      <c r="C218" s="593"/>
      <c r="D218" s="1969">
        <v>5723</v>
      </c>
      <c r="E218" s="593"/>
      <c r="F218" s="593"/>
      <c r="G218" s="593"/>
      <c r="H218" s="593"/>
      <c r="I218" s="593"/>
      <c r="J218" s="593"/>
      <c r="K218" s="1644">
        <f t="shared" si="19"/>
        <v>5723</v>
      </c>
      <c r="L218" s="1990">
        <v>4311</v>
      </c>
    </row>
    <row r="219" spans="1:14" x14ac:dyDescent="0.2">
      <c r="A219" s="1477" t="s">
        <v>279</v>
      </c>
      <c r="B219" s="591">
        <v>1250</v>
      </c>
      <c r="C219" s="593"/>
      <c r="D219" s="1968">
        <v>8939</v>
      </c>
      <c r="E219" s="593"/>
      <c r="F219" s="593"/>
      <c r="G219" s="593"/>
      <c r="H219" s="593"/>
      <c r="I219" s="593"/>
      <c r="J219" s="593"/>
      <c r="K219" s="1644">
        <f t="shared" si="19"/>
        <v>8939</v>
      </c>
      <c r="L219" s="1990">
        <v>5633</v>
      </c>
    </row>
    <row r="220" spans="1:14" x14ac:dyDescent="0.2">
      <c r="A220" s="1477" t="s">
        <v>280</v>
      </c>
      <c r="B220" s="591" t="s">
        <v>161</v>
      </c>
      <c r="C220" s="593"/>
      <c r="D220" s="1969">
        <v>0</v>
      </c>
      <c r="E220" s="593"/>
      <c r="F220" s="593"/>
      <c r="G220" s="593"/>
      <c r="H220" s="593"/>
      <c r="I220" s="593"/>
      <c r="J220" s="593"/>
      <c r="K220" s="1644">
        <f t="shared" si="19"/>
        <v>0</v>
      </c>
      <c r="L220" s="1990">
        <v>0</v>
      </c>
    </row>
    <row r="221" spans="1:14" x14ac:dyDescent="0.2">
      <c r="A221" s="1477" t="s">
        <v>962</v>
      </c>
      <c r="B221" s="591">
        <v>1300</v>
      </c>
      <c r="C221" s="593"/>
      <c r="D221" s="1968">
        <v>0</v>
      </c>
      <c r="E221" s="593"/>
      <c r="F221" s="593"/>
      <c r="G221" s="593"/>
      <c r="H221" s="593"/>
      <c r="I221" s="593"/>
      <c r="J221" s="593"/>
      <c r="K221" s="1644">
        <f t="shared" si="19"/>
        <v>0</v>
      </c>
      <c r="L221" s="1990">
        <v>0</v>
      </c>
    </row>
    <row r="222" spans="1:14" x14ac:dyDescent="0.2">
      <c r="A222" s="1477" t="s">
        <v>723</v>
      </c>
      <c r="B222" s="591">
        <v>1400</v>
      </c>
      <c r="C222" s="593"/>
      <c r="D222" s="1968">
        <v>0</v>
      </c>
      <c r="E222" s="593"/>
      <c r="F222" s="593"/>
      <c r="G222" s="593"/>
      <c r="H222" s="593"/>
      <c r="I222" s="593"/>
      <c r="J222" s="593"/>
      <c r="K222" s="1644">
        <f t="shared" si="19"/>
        <v>0</v>
      </c>
      <c r="L222" s="1990">
        <v>0</v>
      </c>
    </row>
    <row r="223" spans="1:14" x14ac:dyDescent="0.2">
      <c r="A223" s="1477" t="s">
        <v>963</v>
      </c>
      <c r="B223" s="591">
        <v>1500</v>
      </c>
      <c r="C223" s="593"/>
      <c r="D223" s="1968">
        <v>9378</v>
      </c>
      <c r="E223" s="593"/>
      <c r="F223" s="593"/>
      <c r="G223" s="593"/>
      <c r="H223" s="593"/>
      <c r="I223" s="593"/>
      <c r="J223" s="593"/>
      <c r="K223" s="1644">
        <f t="shared" si="19"/>
        <v>9378</v>
      </c>
      <c r="L223" s="1990">
        <v>2509</v>
      </c>
    </row>
    <row r="224" spans="1:14" x14ac:dyDescent="0.2">
      <c r="A224" s="1477" t="s">
        <v>964</v>
      </c>
      <c r="B224" s="591">
        <v>1600</v>
      </c>
      <c r="C224" s="593"/>
      <c r="D224" s="1968">
        <v>3839</v>
      </c>
      <c r="E224" s="593"/>
      <c r="F224" s="593"/>
      <c r="G224" s="593"/>
      <c r="H224" s="593"/>
      <c r="I224" s="593"/>
      <c r="J224" s="593"/>
      <c r="K224" s="1644">
        <f t="shared" si="19"/>
        <v>3839</v>
      </c>
      <c r="L224" s="1990">
        <v>7247</v>
      </c>
    </row>
    <row r="225" spans="1:12" x14ac:dyDescent="0.2">
      <c r="A225" s="1477" t="s">
        <v>987</v>
      </c>
      <c r="B225" s="591">
        <v>1650</v>
      </c>
      <c r="C225" s="593"/>
      <c r="D225" s="1968">
        <v>0</v>
      </c>
      <c r="E225" s="593"/>
      <c r="F225" s="593"/>
      <c r="G225" s="593"/>
      <c r="H225" s="593"/>
      <c r="I225" s="593"/>
      <c r="J225" s="593"/>
      <c r="K225" s="1644">
        <f t="shared" si="19"/>
        <v>0</v>
      </c>
      <c r="L225" s="1990">
        <v>0</v>
      </c>
    </row>
    <row r="226" spans="1:12" x14ac:dyDescent="0.2">
      <c r="A226" s="1477" t="s">
        <v>724</v>
      </c>
      <c r="B226" s="591" t="s">
        <v>162</v>
      </c>
      <c r="C226" s="593"/>
      <c r="D226" s="1969">
        <v>0</v>
      </c>
      <c r="E226" s="593"/>
      <c r="F226" s="593"/>
      <c r="G226" s="593"/>
      <c r="H226" s="593"/>
      <c r="I226" s="593"/>
      <c r="J226" s="593"/>
      <c r="K226" s="1644">
        <f t="shared" si="19"/>
        <v>0</v>
      </c>
      <c r="L226" s="1990">
        <v>0</v>
      </c>
    </row>
    <row r="227" spans="1:12" x14ac:dyDescent="0.2">
      <c r="A227" s="1477" t="s">
        <v>1087</v>
      </c>
      <c r="B227" s="591">
        <v>1800</v>
      </c>
      <c r="C227" s="593"/>
      <c r="D227" s="1968">
        <v>7034</v>
      </c>
      <c r="E227" s="593"/>
      <c r="F227" s="593"/>
      <c r="G227" s="593"/>
      <c r="H227" s="593"/>
      <c r="I227" s="593"/>
      <c r="J227" s="593"/>
      <c r="K227" s="1644">
        <f t="shared" si="19"/>
        <v>7034</v>
      </c>
      <c r="L227" s="1990">
        <v>7393</v>
      </c>
    </row>
    <row r="228" spans="1:12" x14ac:dyDescent="0.2">
      <c r="A228" s="1477" t="s">
        <v>1088</v>
      </c>
      <c r="B228" s="591">
        <v>1900</v>
      </c>
      <c r="C228" s="593"/>
      <c r="D228" s="1968">
        <v>0</v>
      </c>
      <c r="E228" s="593"/>
      <c r="F228" s="593"/>
      <c r="G228" s="593"/>
      <c r="H228" s="593"/>
      <c r="I228" s="593"/>
      <c r="J228" s="593"/>
      <c r="K228" s="1644">
        <f t="shared" si="19"/>
        <v>0</v>
      </c>
      <c r="L228" s="1990">
        <v>0</v>
      </c>
    </row>
    <row r="229" spans="1:12" ht="12.75" customHeight="1" thickBot="1" x14ac:dyDescent="0.25">
      <c r="A229" s="1641" t="s">
        <v>715</v>
      </c>
      <c r="B229" s="1648" t="s">
        <v>570</v>
      </c>
      <c r="C229" s="593"/>
      <c r="D229" s="1643">
        <f>SUM(D215:D228)</f>
        <v>309446</v>
      </c>
      <c r="E229" s="593"/>
      <c r="F229" s="593"/>
      <c r="G229" s="593"/>
      <c r="H229" s="593"/>
      <c r="I229" s="593"/>
      <c r="J229" s="593"/>
      <c r="K229" s="1643">
        <f>SUM(K215:K228)</f>
        <v>309446</v>
      </c>
      <c r="L229" s="1643">
        <f>SUM(L215:L228)</f>
        <v>322458</v>
      </c>
    </row>
    <row r="230" spans="1:12" ht="15.75" customHeight="1" thickTop="1" x14ac:dyDescent="0.2">
      <c r="A230" s="1585" t="s">
        <v>874</v>
      </c>
      <c r="B230" s="1586" t="s">
        <v>569</v>
      </c>
      <c r="C230" s="593"/>
      <c r="D230" s="593"/>
      <c r="E230" s="593"/>
      <c r="F230" s="593"/>
      <c r="G230" s="593"/>
      <c r="H230" s="593"/>
      <c r="I230" s="593"/>
      <c r="J230" s="593"/>
      <c r="K230" s="593"/>
      <c r="L230" s="593"/>
    </row>
    <row r="231" spans="1:12" ht="15.75" customHeight="1" x14ac:dyDescent="0.2">
      <c r="A231" s="629" t="s">
        <v>591</v>
      </c>
      <c r="B231" s="599"/>
      <c r="C231" s="593"/>
      <c r="D231" s="593"/>
      <c r="E231" s="593"/>
      <c r="F231" s="593"/>
      <c r="G231" s="593"/>
      <c r="H231" s="593"/>
      <c r="I231" s="593"/>
      <c r="J231" s="593"/>
      <c r="K231" s="593"/>
      <c r="L231" s="593"/>
    </row>
    <row r="232" spans="1:12" x14ac:dyDescent="0.2">
      <c r="A232" s="1477" t="s">
        <v>1089</v>
      </c>
      <c r="B232" s="591">
        <v>2110</v>
      </c>
      <c r="C232" s="593"/>
      <c r="D232" s="1968">
        <v>3805</v>
      </c>
      <c r="E232" s="593"/>
      <c r="F232" s="593"/>
      <c r="G232" s="593"/>
      <c r="H232" s="593"/>
      <c r="I232" s="593"/>
      <c r="J232" s="593"/>
      <c r="K232" s="1644">
        <f t="shared" ref="K232:K237" si="20">D232</f>
        <v>3805</v>
      </c>
      <c r="L232" s="1990">
        <v>4128</v>
      </c>
    </row>
    <row r="233" spans="1:12" x14ac:dyDescent="0.2">
      <c r="A233" s="1477" t="s">
        <v>1090</v>
      </c>
      <c r="B233" s="591">
        <v>2120</v>
      </c>
      <c r="C233" s="593"/>
      <c r="D233" s="1968">
        <v>0</v>
      </c>
      <c r="E233" s="593"/>
      <c r="F233" s="593"/>
      <c r="G233" s="593"/>
      <c r="H233" s="593"/>
      <c r="I233" s="593"/>
      <c r="J233" s="593"/>
      <c r="K233" s="1644">
        <f t="shared" si="20"/>
        <v>0</v>
      </c>
      <c r="L233" s="1990">
        <v>0</v>
      </c>
    </row>
    <row r="234" spans="1:12" x14ac:dyDescent="0.2">
      <c r="A234" s="1477" t="s">
        <v>198</v>
      </c>
      <c r="B234" s="591">
        <v>2130</v>
      </c>
      <c r="C234" s="593"/>
      <c r="D234" s="1968">
        <v>31785</v>
      </c>
      <c r="E234" s="593"/>
      <c r="F234" s="593"/>
      <c r="G234" s="593"/>
      <c r="H234" s="593"/>
      <c r="I234" s="593"/>
      <c r="J234" s="593"/>
      <c r="K234" s="1644">
        <f t="shared" si="20"/>
        <v>31785</v>
      </c>
      <c r="L234" s="1990">
        <v>34054</v>
      </c>
    </row>
    <row r="235" spans="1:12" x14ac:dyDescent="0.2">
      <c r="A235" s="1477" t="s">
        <v>199</v>
      </c>
      <c r="B235" s="591">
        <v>2140</v>
      </c>
      <c r="C235" s="593"/>
      <c r="D235" s="1968">
        <v>3486</v>
      </c>
      <c r="E235" s="593"/>
      <c r="F235" s="593"/>
      <c r="G235" s="593"/>
      <c r="H235" s="593"/>
      <c r="I235" s="593"/>
      <c r="J235" s="593"/>
      <c r="K235" s="1644">
        <f t="shared" si="20"/>
        <v>3486</v>
      </c>
      <c r="L235" s="1990">
        <v>4091</v>
      </c>
    </row>
    <row r="236" spans="1:12" x14ac:dyDescent="0.2">
      <c r="A236" s="1477" t="s">
        <v>200</v>
      </c>
      <c r="B236" s="591">
        <v>2150</v>
      </c>
      <c r="C236" s="593"/>
      <c r="D236" s="1968">
        <v>6351</v>
      </c>
      <c r="E236" s="593"/>
      <c r="F236" s="593"/>
      <c r="G236" s="593"/>
      <c r="H236" s="593"/>
      <c r="I236" s="593"/>
      <c r="J236" s="593"/>
      <c r="K236" s="1644">
        <f t="shared" si="20"/>
        <v>6351</v>
      </c>
      <c r="L236" s="1990">
        <v>6987</v>
      </c>
    </row>
    <row r="237" spans="1:12" x14ac:dyDescent="0.2">
      <c r="A237" s="1477" t="s">
        <v>165</v>
      </c>
      <c r="B237" s="591">
        <v>2190</v>
      </c>
      <c r="C237" s="593"/>
      <c r="D237" s="1968">
        <v>41604</v>
      </c>
      <c r="E237" s="593"/>
      <c r="F237" s="593"/>
      <c r="G237" s="593"/>
      <c r="H237" s="593"/>
      <c r="I237" s="593"/>
      <c r="J237" s="593"/>
      <c r="K237" s="1644">
        <f t="shared" si="20"/>
        <v>41604</v>
      </c>
      <c r="L237" s="1990">
        <v>43179</v>
      </c>
    </row>
    <row r="238" spans="1:12" ht="12.75" customHeight="1" thickBot="1" x14ac:dyDescent="0.25">
      <c r="A238" s="1641" t="s">
        <v>560</v>
      </c>
      <c r="B238" s="1648" t="s">
        <v>716</v>
      </c>
      <c r="C238" s="593"/>
      <c r="D238" s="1643">
        <f>SUM(D232:D237)</f>
        <v>87031</v>
      </c>
      <c r="E238" s="593"/>
      <c r="F238" s="593"/>
      <c r="G238" s="593"/>
      <c r="H238" s="593"/>
      <c r="I238" s="593"/>
      <c r="J238" s="593"/>
      <c r="K238" s="1643">
        <f>SUM(K232:K237)</f>
        <v>87031</v>
      </c>
      <c r="L238" s="1643">
        <f>SUM(L232:L237)</f>
        <v>92439</v>
      </c>
    </row>
    <row r="239" spans="1:12" ht="15.75" customHeight="1" thickTop="1" x14ac:dyDescent="0.2">
      <c r="A239" s="601" t="s">
        <v>592</v>
      </c>
      <c r="B239" s="608"/>
      <c r="C239" s="593"/>
      <c r="D239" s="603"/>
      <c r="E239" s="593"/>
      <c r="F239" s="593"/>
      <c r="G239" s="593"/>
      <c r="H239" s="593"/>
      <c r="I239" s="593"/>
      <c r="J239" s="593"/>
      <c r="K239" s="603"/>
      <c r="L239" s="603"/>
    </row>
    <row r="240" spans="1:12" x14ac:dyDescent="0.2">
      <c r="A240" s="1477" t="s">
        <v>814</v>
      </c>
      <c r="B240" s="591">
        <v>2210</v>
      </c>
      <c r="C240" s="593"/>
      <c r="D240" s="477">
        <v>3698</v>
      </c>
      <c r="E240" s="593"/>
      <c r="F240" s="593"/>
      <c r="G240" s="593"/>
      <c r="H240" s="593"/>
      <c r="I240" s="593"/>
      <c r="J240" s="593"/>
      <c r="K240" s="1645">
        <f>D240</f>
        <v>3698</v>
      </c>
      <c r="L240" s="477">
        <v>2882</v>
      </c>
    </row>
    <row r="241" spans="1:12" x14ac:dyDescent="0.2">
      <c r="A241" s="1477" t="s">
        <v>815</v>
      </c>
      <c r="B241" s="591">
        <v>2220</v>
      </c>
      <c r="C241" s="593"/>
      <c r="D241" s="1968">
        <v>16677</v>
      </c>
      <c r="E241" s="593"/>
      <c r="F241" s="593"/>
      <c r="G241" s="593"/>
      <c r="H241" s="593"/>
      <c r="I241" s="593"/>
      <c r="J241" s="593"/>
      <c r="K241" s="1645">
        <f>D241</f>
        <v>16677</v>
      </c>
      <c r="L241" s="1990">
        <v>17019</v>
      </c>
    </row>
    <row r="242" spans="1:12" x14ac:dyDescent="0.2">
      <c r="A242" s="1477" t="s">
        <v>816</v>
      </c>
      <c r="B242" s="591">
        <v>2230</v>
      </c>
      <c r="C242" s="593"/>
      <c r="D242" s="1968">
        <v>0</v>
      </c>
      <c r="E242" s="593"/>
      <c r="F242" s="593"/>
      <c r="G242" s="593"/>
      <c r="H242" s="593"/>
      <c r="I242" s="593"/>
      <c r="J242" s="593"/>
      <c r="K242" s="1645">
        <f>D242</f>
        <v>0</v>
      </c>
      <c r="L242" s="1990">
        <v>0</v>
      </c>
    </row>
    <row r="243" spans="1:12" ht="12.75" customHeight="1" thickBot="1" x14ac:dyDescent="0.25">
      <c r="A243" s="1667" t="s">
        <v>561</v>
      </c>
      <c r="B243" s="1668">
        <v>2200</v>
      </c>
      <c r="C243" s="593"/>
      <c r="D243" s="1643">
        <f>SUM(D240:D242)</f>
        <v>20375</v>
      </c>
      <c r="E243" s="593"/>
      <c r="F243" s="593"/>
      <c r="G243" s="593"/>
      <c r="H243" s="593"/>
      <c r="I243" s="593"/>
      <c r="J243" s="593"/>
      <c r="K243" s="1643">
        <f>SUM(K240:K242)</f>
        <v>20375</v>
      </c>
      <c r="L243" s="1643">
        <f>SUM(L240:L242)</f>
        <v>19901</v>
      </c>
    </row>
    <row r="244" spans="1:12" ht="15.75" customHeight="1" thickTop="1" x14ac:dyDescent="0.2">
      <c r="A244" s="601" t="s">
        <v>610</v>
      </c>
      <c r="B244" s="657"/>
      <c r="C244" s="593"/>
      <c r="D244" s="603"/>
      <c r="E244" s="593"/>
      <c r="F244" s="593"/>
      <c r="G244" s="593"/>
      <c r="H244" s="593"/>
      <c r="I244" s="593"/>
      <c r="J244" s="593"/>
      <c r="K244" s="603"/>
      <c r="L244" s="603"/>
    </row>
    <row r="245" spans="1:12" x14ac:dyDescent="0.2">
      <c r="A245" s="1477" t="s">
        <v>817</v>
      </c>
      <c r="B245" s="591">
        <v>2310</v>
      </c>
      <c r="C245" s="593"/>
      <c r="D245" s="477">
        <v>8506</v>
      </c>
      <c r="E245" s="593"/>
      <c r="F245" s="593"/>
      <c r="G245" s="593"/>
      <c r="H245" s="593"/>
      <c r="I245" s="593"/>
      <c r="J245" s="593"/>
      <c r="K245" s="1645">
        <f>D245</f>
        <v>8506</v>
      </c>
      <c r="L245" s="477">
        <v>8509</v>
      </c>
    </row>
    <row r="246" spans="1:12" x14ac:dyDescent="0.2">
      <c r="A246" s="1477" t="s">
        <v>818</v>
      </c>
      <c r="B246" s="591">
        <v>2320</v>
      </c>
      <c r="C246" s="593"/>
      <c r="D246" s="1968">
        <v>10757</v>
      </c>
      <c r="E246" s="593"/>
      <c r="F246" s="593"/>
      <c r="G246" s="593"/>
      <c r="H246" s="593"/>
      <c r="I246" s="593"/>
      <c r="J246" s="593"/>
      <c r="K246" s="1645">
        <f t="shared" ref="K246:K256" si="21">D246</f>
        <v>10757</v>
      </c>
      <c r="L246" s="1990">
        <v>11361</v>
      </c>
    </row>
    <row r="247" spans="1:12" x14ac:dyDescent="0.2">
      <c r="A247" s="1477" t="s">
        <v>819</v>
      </c>
      <c r="B247" s="591">
        <v>2330</v>
      </c>
      <c r="C247" s="593"/>
      <c r="D247" s="1968">
        <v>7301</v>
      </c>
      <c r="E247" s="593"/>
      <c r="F247" s="593"/>
      <c r="G247" s="593"/>
      <c r="H247" s="593"/>
      <c r="I247" s="593"/>
      <c r="J247" s="593"/>
      <c r="K247" s="1645">
        <f t="shared" si="21"/>
        <v>7301</v>
      </c>
      <c r="L247" s="1990">
        <v>7654</v>
      </c>
    </row>
    <row r="248" spans="1:12" x14ac:dyDescent="0.2">
      <c r="A248" s="1478" t="s">
        <v>299</v>
      </c>
      <c r="B248" s="579" t="s">
        <v>281</v>
      </c>
      <c r="C248" s="593"/>
      <c r="D248" s="1971">
        <v>0</v>
      </c>
      <c r="E248" s="593"/>
      <c r="F248" s="593"/>
      <c r="G248" s="593"/>
      <c r="H248" s="593"/>
      <c r="I248" s="593"/>
      <c r="J248" s="593"/>
      <c r="K248" s="1645">
        <f t="shared" si="21"/>
        <v>0</v>
      </c>
      <c r="L248" s="1990">
        <v>0</v>
      </c>
    </row>
    <row r="249" spans="1:12" x14ac:dyDescent="0.2">
      <c r="A249" s="1479" t="s">
        <v>1802</v>
      </c>
      <c r="B249" s="658" t="s">
        <v>282</v>
      </c>
      <c r="C249" s="593"/>
      <c r="D249" s="1971">
        <v>0</v>
      </c>
      <c r="E249" s="593"/>
      <c r="F249" s="593"/>
      <c r="G249" s="593"/>
      <c r="H249" s="593"/>
      <c r="I249" s="593"/>
      <c r="J249" s="593"/>
      <c r="K249" s="1645">
        <f t="shared" si="21"/>
        <v>0</v>
      </c>
      <c r="L249" s="1990">
        <v>0</v>
      </c>
    </row>
    <row r="250" spans="1:12" x14ac:dyDescent="0.2">
      <c r="A250" s="1478" t="s">
        <v>1803</v>
      </c>
      <c r="B250" s="579" t="s">
        <v>283</v>
      </c>
      <c r="C250" s="593"/>
      <c r="D250" s="1971">
        <v>0</v>
      </c>
      <c r="E250" s="593"/>
      <c r="F250" s="593"/>
      <c r="G250" s="593"/>
      <c r="H250" s="593"/>
      <c r="I250" s="593"/>
      <c r="J250" s="593"/>
      <c r="K250" s="1645">
        <f t="shared" si="21"/>
        <v>0</v>
      </c>
      <c r="L250" s="1990">
        <v>0</v>
      </c>
    </row>
    <row r="251" spans="1:12" x14ac:dyDescent="0.2">
      <c r="A251" s="1478" t="s">
        <v>238</v>
      </c>
      <c r="B251" s="579" t="s">
        <v>284</v>
      </c>
      <c r="C251" s="593"/>
      <c r="D251" s="1971">
        <v>0</v>
      </c>
      <c r="E251" s="593"/>
      <c r="F251" s="593"/>
      <c r="G251" s="593"/>
      <c r="H251" s="593"/>
      <c r="I251" s="593"/>
      <c r="J251" s="593"/>
      <c r="K251" s="1645">
        <f t="shared" si="21"/>
        <v>0</v>
      </c>
      <c r="L251" s="1990">
        <v>0</v>
      </c>
    </row>
    <row r="252" spans="1:12" x14ac:dyDescent="0.2">
      <c r="A252" s="1478" t="s">
        <v>702</v>
      </c>
      <c r="B252" s="579" t="s">
        <v>285</v>
      </c>
      <c r="C252" s="593"/>
      <c r="D252" s="1971">
        <v>0</v>
      </c>
      <c r="E252" s="593"/>
      <c r="F252" s="593"/>
      <c r="G252" s="593"/>
      <c r="H252" s="593"/>
      <c r="I252" s="593"/>
      <c r="J252" s="593"/>
      <c r="K252" s="1645">
        <f t="shared" si="21"/>
        <v>0</v>
      </c>
      <c r="L252" s="1990">
        <v>0</v>
      </c>
    </row>
    <row r="253" spans="1:12" x14ac:dyDescent="0.2">
      <c r="A253" s="1478" t="s">
        <v>239</v>
      </c>
      <c r="B253" s="579" t="s">
        <v>286</v>
      </c>
      <c r="C253" s="593"/>
      <c r="D253" s="1971">
        <v>0</v>
      </c>
      <c r="E253" s="593"/>
      <c r="F253" s="593"/>
      <c r="G253" s="593"/>
      <c r="H253" s="593"/>
      <c r="I253" s="593"/>
      <c r="J253" s="593"/>
      <c r="K253" s="1645">
        <f t="shared" si="21"/>
        <v>0</v>
      </c>
      <c r="L253" s="1990">
        <v>0</v>
      </c>
    </row>
    <row r="254" spans="1:12" ht="22.5" x14ac:dyDescent="0.2">
      <c r="A254" s="1478" t="s">
        <v>1029</v>
      </c>
      <c r="B254" s="658" t="s">
        <v>287</v>
      </c>
      <c r="C254" s="593"/>
      <c r="D254" s="1971">
        <v>0</v>
      </c>
      <c r="E254" s="593"/>
      <c r="F254" s="593"/>
      <c r="G254" s="593"/>
      <c r="H254" s="593"/>
      <c r="I254" s="593"/>
      <c r="J254" s="593"/>
      <c r="K254" s="1645">
        <f t="shared" si="21"/>
        <v>0</v>
      </c>
      <c r="L254" s="1990">
        <v>0</v>
      </c>
    </row>
    <row r="255" spans="1:12" x14ac:dyDescent="0.2">
      <c r="A255" s="1478" t="s">
        <v>1030</v>
      </c>
      <c r="B255" s="579" t="s">
        <v>288</v>
      </c>
      <c r="C255" s="593"/>
      <c r="D255" s="1971">
        <v>0</v>
      </c>
      <c r="E255" s="593"/>
      <c r="F255" s="593"/>
      <c r="G255" s="593"/>
      <c r="H255" s="593"/>
      <c r="I255" s="593"/>
      <c r="J255" s="593"/>
      <c r="K255" s="1645">
        <f t="shared" si="21"/>
        <v>0</v>
      </c>
      <c r="L255" s="1990">
        <v>0</v>
      </c>
    </row>
    <row r="256" spans="1:12" x14ac:dyDescent="0.2">
      <c r="A256" s="1478" t="s">
        <v>971</v>
      </c>
      <c r="B256" s="591" t="s">
        <v>289</v>
      </c>
      <c r="C256" s="593"/>
      <c r="D256" s="1971">
        <v>0</v>
      </c>
      <c r="E256" s="593"/>
      <c r="F256" s="593"/>
      <c r="G256" s="593"/>
      <c r="H256" s="593"/>
      <c r="I256" s="593"/>
      <c r="J256" s="593"/>
      <c r="K256" s="1645">
        <f t="shared" si="21"/>
        <v>0</v>
      </c>
      <c r="L256" s="1990">
        <v>0</v>
      </c>
    </row>
    <row r="257" spans="1:14" ht="12.75" customHeight="1" thickBot="1" x14ac:dyDescent="0.25">
      <c r="A257" s="1641" t="s">
        <v>717</v>
      </c>
      <c r="B257" s="1669">
        <v>2300</v>
      </c>
      <c r="C257" s="593"/>
      <c r="D257" s="1643">
        <f>SUM(D245:D256)</f>
        <v>26564</v>
      </c>
      <c r="E257" s="593"/>
      <c r="F257" s="593"/>
      <c r="G257" s="593"/>
      <c r="H257" s="593"/>
      <c r="I257" s="593"/>
      <c r="J257" s="593"/>
      <c r="K257" s="1643">
        <f>SUM(K245:K256)</f>
        <v>26564</v>
      </c>
      <c r="L257" s="1643">
        <f>SUM(L245:L256)</f>
        <v>27524</v>
      </c>
    </row>
    <row r="258" spans="1:14" ht="15.75" customHeight="1" thickTop="1" x14ac:dyDescent="0.2">
      <c r="A258" s="601" t="s">
        <v>611</v>
      </c>
      <c r="B258" s="659"/>
      <c r="C258" s="593"/>
      <c r="D258" s="603"/>
      <c r="E258" s="593"/>
      <c r="F258" s="593"/>
      <c r="G258" s="593"/>
      <c r="H258" s="593"/>
      <c r="I258" s="593"/>
      <c r="J258" s="593"/>
      <c r="K258" s="603"/>
      <c r="L258" s="603"/>
    </row>
    <row r="259" spans="1:14" x14ac:dyDescent="0.2">
      <c r="A259" s="1477" t="s">
        <v>1067</v>
      </c>
      <c r="B259" s="660">
        <v>2410</v>
      </c>
      <c r="C259" s="593"/>
      <c r="D259" s="477">
        <v>31054</v>
      </c>
      <c r="E259" s="593"/>
      <c r="F259" s="593"/>
      <c r="G259" s="593"/>
      <c r="H259" s="593"/>
      <c r="I259" s="593"/>
      <c r="J259" s="593"/>
      <c r="K259" s="1645">
        <f>D259</f>
        <v>31054</v>
      </c>
      <c r="L259" s="477">
        <v>32628</v>
      </c>
    </row>
    <row r="260" spans="1:14" s="574" customFormat="1" x14ac:dyDescent="0.2">
      <c r="A260" s="1495" t="s">
        <v>1801</v>
      </c>
      <c r="B260" s="605">
        <v>2490</v>
      </c>
      <c r="C260" s="593"/>
      <c r="D260" s="1968">
        <v>0</v>
      </c>
      <c r="E260" s="593"/>
      <c r="F260" s="593"/>
      <c r="G260" s="593"/>
      <c r="H260" s="593"/>
      <c r="I260" s="593"/>
      <c r="J260" s="593"/>
      <c r="K260" s="1645">
        <f>D260</f>
        <v>0</v>
      </c>
      <c r="L260" s="1990">
        <v>0</v>
      </c>
      <c r="M260" s="210"/>
      <c r="N260" s="210"/>
    </row>
    <row r="261" spans="1:14" ht="12.75" customHeight="1" thickBot="1" x14ac:dyDescent="0.25">
      <c r="A261" s="1665" t="s">
        <v>263</v>
      </c>
      <c r="B261" s="1670" t="s">
        <v>34</v>
      </c>
      <c r="C261" s="593"/>
      <c r="D261" s="1643">
        <f>SUM(D259:D260)</f>
        <v>31054</v>
      </c>
      <c r="E261" s="593"/>
      <c r="F261" s="593"/>
      <c r="G261" s="593"/>
      <c r="H261" s="593"/>
      <c r="I261" s="593"/>
      <c r="J261" s="593"/>
      <c r="K261" s="1643">
        <f>SUM(K259:K260)</f>
        <v>31054</v>
      </c>
      <c r="L261" s="1643">
        <f>SUM(L259:L260)</f>
        <v>32628</v>
      </c>
    </row>
    <row r="262" spans="1:14" ht="15.75" customHeight="1" thickTop="1" x14ac:dyDescent="0.2">
      <c r="A262" s="601" t="s">
        <v>612</v>
      </c>
      <c r="B262" s="659"/>
      <c r="C262" s="593"/>
      <c r="D262" s="593"/>
      <c r="E262" s="593"/>
      <c r="F262" s="593"/>
      <c r="G262" s="593"/>
      <c r="H262" s="593"/>
      <c r="I262" s="593"/>
      <c r="J262" s="593"/>
      <c r="K262" s="603"/>
      <c r="L262" s="603"/>
    </row>
    <row r="263" spans="1:14" x14ac:dyDescent="0.2">
      <c r="A263" s="1477" t="s">
        <v>1068</v>
      </c>
      <c r="B263" s="660">
        <v>2510</v>
      </c>
      <c r="C263" s="593"/>
      <c r="D263" s="1968">
        <v>1724</v>
      </c>
      <c r="E263" s="593"/>
      <c r="F263" s="593"/>
      <c r="G263" s="593"/>
      <c r="H263" s="593"/>
      <c r="I263" s="593"/>
      <c r="J263" s="593"/>
      <c r="K263" s="1645">
        <f>D263</f>
        <v>1724</v>
      </c>
      <c r="L263" s="477">
        <v>1641</v>
      </c>
    </row>
    <row r="264" spans="1:14" x14ac:dyDescent="0.2">
      <c r="A264" s="1477" t="s">
        <v>463</v>
      </c>
      <c r="B264" s="660">
        <v>2520</v>
      </c>
      <c r="C264" s="593"/>
      <c r="D264" s="1968">
        <v>37408</v>
      </c>
      <c r="E264" s="593"/>
      <c r="F264" s="593"/>
      <c r="G264" s="593"/>
      <c r="H264" s="593"/>
      <c r="I264" s="593"/>
      <c r="J264" s="593"/>
      <c r="K264" s="1645">
        <f t="shared" ref="K264:K269" si="22">D264</f>
        <v>37408</v>
      </c>
      <c r="L264" s="1990">
        <v>37263</v>
      </c>
    </row>
    <row r="265" spans="1:14" x14ac:dyDescent="0.2">
      <c r="A265" s="1477" t="s">
        <v>4</v>
      </c>
      <c r="B265" s="591">
        <v>2530</v>
      </c>
      <c r="C265" s="593"/>
      <c r="D265" s="1968">
        <v>0</v>
      </c>
      <c r="E265" s="593"/>
      <c r="F265" s="593"/>
      <c r="G265" s="593"/>
      <c r="H265" s="593"/>
      <c r="I265" s="593"/>
      <c r="J265" s="593"/>
      <c r="K265" s="1645">
        <f t="shared" si="22"/>
        <v>0</v>
      </c>
      <c r="L265" s="1990">
        <v>0</v>
      </c>
    </row>
    <row r="266" spans="1:14" x14ac:dyDescent="0.2">
      <c r="A266" s="1477" t="s">
        <v>197</v>
      </c>
      <c r="B266" s="591">
        <v>2540</v>
      </c>
      <c r="C266" s="593"/>
      <c r="D266" s="1968">
        <v>62757</v>
      </c>
      <c r="E266" s="593"/>
      <c r="F266" s="593"/>
      <c r="G266" s="593"/>
      <c r="H266" s="593"/>
      <c r="I266" s="593"/>
      <c r="J266" s="593"/>
      <c r="K266" s="1645">
        <f t="shared" si="22"/>
        <v>62757</v>
      </c>
      <c r="L266" s="1990">
        <v>73136</v>
      </c>
    </row>
    <row r="267" spans="1:14" x14ac:dyDescent="0.2">
      <c r="A267" s="1477" t="s">
        <v>953</v>
      </c>
      <c r="B267" s="591">
        <v>2550</v>
      </c>
      <c r="C267" s="593"/>
      <c r="D267" s="1968">
        <v>184</v>
      </c>
      <c r="E267" s="593"/>
      <c r="F267" s="593"/>
      <c r="G267" s="593"/>
      <c r="H267" s="593"/>
      <c r="I267" s="593"/>
      <c r="J267" s="593"/>
      <c r="K267" s="1645">
        <f t="shared" si="22"/>
        <v>184</v>
      </c>
      <c r="L267" s="1990">
        <v>182</v>
      </c>
    </row>
    <row r="268" spans="1:14" x14ac:dyDescent="0.2">
      <c r="A268" s="1477" t="s">
        <v>100</v>
      </c>
      <c r="B268" s="591">
        <v>2560</v>
      </c>
      <c r="C268" s="593"/>
      <c r="D268" s="1968">
        <v>0</v>
      </c>
      <c r="E268" s="593"/>
      <c r="F268" s="593"/>
      <c r="G268" s="593"/>
      <c r="H268" s="593"/>
      <c r="I268" s="593"/>
      <c r="J268" s="593"/>
      <c r="K268" s="1645">
        <f t="shared" si="22"/>
        <v>0</v>
      </c>
      <c r="L268" s="1990">
        <v>0</v>
      </c>
    </row>
    <row r="269" spans="1:14" x14ac:dyDescent="0.2">
      <c r="A269" s="1477" t="s">
        <v>101</v>
      </c>
      <c r="B269" s="591">
        <v>2570</v>
      </c>
      <c r="C269" s="593"/>
      <c r="D269" s="1968">
        <v>0</v>
      </c>
      <c r="E269" s="593"/>
      <c r="F269" s="593"/>
      <c r="G269" s="593"/>
      <c r="H269" s="593"/>
      <c r="I269" s="593"/>
      <c r="J269" s="593"/>
      <c r="K269" s="1645">
        <f t="shared" si="22"/>
        <v>0</v>
      </c>
      <c r="L269" s="1990">
        <v>0</v>
      </c>
    </row>
    <row r="270" spans="1:14" ht="12.75" customHeight="1" thickBot="1" x14ac:dyDescent="0.25">
      <c r="A270" s="1641" t="s">
        <v>719</v>
      </c>
      <c r="B270" s="1648" t="s">
        <v>35</v>
      </c>
      <c r="C270" s="593"/>
      <c r="D270" s="1643">
        <f>SUM(D263:D269)</f>
        <v>102073</v>
      </c>
      <c r="E270" s="593"/>
      <c r="F270" s="593"/>
      <c r="G270" s="593"/>
      <c r="H270" s="593"/>
      <c r="I270" s="593"/>
      <c r="J270" s="593"/>
      <c r="K270" s="1643">
        <f>SUM(K263:K269)</f>
        <v>102073</v>
      </c>
      <c r="L270" s="1643">
        <f>SUM(L263:L269)</f>
        <v>112222</v>
      </c>
    </row>
    <row r="271" spans="1:14" ht="15.75" customHeight="1" thickTop="1" x14ac:dyDescent="0.2">
      <c r="A271" s="644" t="s">
        <v>613</v>
      </c>
      <c r="B271" s="602"/>
      <c r="C271" s="593"/>
      <c r="D271" s="603"/>
      <c r="E271" s="593"/>
      <c r="F271" s="593"/>
      <c r="G271" s="593"/>
      <c r="H271" s="593"/>
      <c r="I271" s="593"/>
      <c r="J271" s="593"/>
      <c r="K271" s="603"/>
      <c r="L271" s="603"/>
    </row>
    <row r="272" spans="1:14" x14ac:dyDescent="0.2">
      <c r="A272" s="1477" t="s">
        <v>1060</v>
      </c>
      <c r="B272" s="591">
        <v>2610</v>
      </c>
      <c r="C272" s="593"/>
      <c r="D272" s="477">
        <v>0</v>
      </c>
      <c r="E272" s="593"/>
      <c r="F272" s="593"/>
      <c r="G272" s="593"/>
      <c r="H272" s="593"/>
      <c r="I272" s="593"/>
      <c r="J272" s="593"/>
      <c r="K272" s="1645">
        <f>D272</f>
        <v>0</v>
      </c>
      <c r="L272" s="477">
        <v>0</v>
      </c>
    </row>
    <row r="273" spans="1:12" x14ac:dyDescent="0.2">
      <c r="A273" s="1477" t="s">
        <v>607</v>
      </c>
      <c r="B273" s="605">
        <v>2620</v>
      </c>
      <c r="C273" s="593"/>
      <c r="D273" s="1968">
        <v>0</v>
      </c>
      <c r="E273" s="593"/>
      <c r="F273" s="593"/>
      <c r="G273" s="593"/>
      <c r="H273" s="593"/>
      <c r="I273" s="593"/>
      <c r="J273" s="593"/>
      <c r="K273" s="1645">
        <f>D273</f>
        <v>0</v>
      </c>
      <c r="L273" s="1990">
        <v>0</v>
      </c>
    </row>
    <row r="274" spans="1:12" ht="12" customHeight="1" x14ac:dyDescent="0.2">
      <c r="A274" s="1477" t="s">
        <v>1061</v>
      </c>
      <c r="B274" s="591">
        <v>2630</v>
      </c>
      <c r="C274" s="593"/>
      <c r="D274" s="1968">
        <v>0</v>
      </c>
      <c r="E274" s="593"/>
      <c r="F274" s="593"/>
      <c r="G274" s="593"/>
      <c r="H274" s="593"/>
      <c r="I274" s="593"/>
      <c r="J274" s="593"/>
      <c r="K274" s="1645">
        <f>D274</f>
        <v>0</v>
      </c>
      <c r="L274" s="1990">
        <v>0</v>
      </c>
    </row>
    <row r="275" spans="1:12" x14ac:dyDescent="0.2">
      <c r="A275" s="1477" t="s">
        <v>403</v>
      </c>
      <c r="B275" s="591">
        <v>2640</v>
      </c>
      <c r="C275" s="593"/>
      <c r="D275" s="1968">
        <v>0</v>
      </c>
      <c r="E275" s="593"/>
      <c r="F275" s="593"/>
      <c r="G275" s="593"/>
      <c r="H275" s="593"/>
      <c r="I275" s="593"/>
      <c r="J275" s="593"/>
      <c r="K275" s="1645">
        <f>D275</f>
        <v>0</v>
      </c>
      <c r="L275" s="1990">
        <v>0</v>
      </c>
    </row>
    <row r="276" spans="1:12" x14ac:dyDescent="0.2">
      <c r="A276" s="1477" t="s">
        <v>404</v>
      </c>
      <c r="B276" s="591">
        <v>2660</v>
      </c>
      <c r="C276" s="593"/>
      <c r="D276" s="1968">
        <v>54504</v>
      </c>
      <c r="E276" s="593"/>
      <c r="F276" s="593"/>
      <c r="G276" s="593"/>
      <c r="H276" s="593"/>
      <c r="I276" s="593"/>
      <c r="J276" s="593"/>
      <c r="K276" s="1645">
        <f>D276</f>
        <v>54504</v>
      </c>
      <c r="L276" s="1990">
        <v>60550</v>
      </c>
    </row>
    <row r="277" spans="1:12" ht="12.75" customHeight="1" thickBot="1" x14ac:dyDescent="0.25">
      <c r="A277" s="1664" t="s">
        <v>37</v>
      </c>
      <c r="B277" s="1642" t="s">
        <v>36</v>
      </c>
      <c r="C277" s="593"/>
      <c r="D277" s="1643">
        <f>SUM(D272:D276)</f>
        <v>54504</v>
      </c>
      <c r="E277" s="593"/>
      <c r="F277" s="593"/>
      <c r="G277" s="593"/>
      <c r="H277" s="593"/>
      <c r="I277" s="593"/>
      <c r="J277" s="593"/>
      <c r="K277" s="1643">
        <f>SUM(K272:K276)</f>
        <v>54504</v>
      </c>
      <c r="L277" s="1643">
        <f>SUM(L272:L276)</f>
        <v>60550</v>
      </c>
    </row>
    <row r="278" spans="1:12" ht="13.5" customHeight="1" thickTop="1" x14ac:dyDescent="0.2">
      <c r="A278" s="1483" t="s">
        <v>980</v>
      </c>
      <c r="B278" s="631" t="s">
        <v>574</v>
      </c>
      <c r="C278" s="593"/>
      <c r="D278" s="1984">
        <v>0</v>
      </c>
      <c r="E278" s="593"/>
      <c r="F278" s="593"/>
      <c r="G278" s="593"/>
      <c r="H278" s="593"/>
      <c r="I278" s="593"/>
      <c r="J278" s="593"/>
      <c r="K278" s="1658">
        <f>D278</f>
        <v>0</v>
      </c>
      <c r="L278" s="2005">
        <v>0</v>
      </c>
    </row>
    <row r="279" spans="1:12" ht="12.75" customHeight="1" thickBot="1" x14ac:dyDescent="0.25">
      <c r="A279" s="1671" t="s">
        <v>811</v>
      </c>
      <c r="B279" s="1654">
        <v>2000</v>
      </c>
      <c r="C279" s="593"/>
      <c r="D279" s="1650">
        <f>SUM(D238,D243,D257,D261,D270,D277,D278)</f>
        <v>321601</v>
      </c>
      <c r="E279" s="593"/>
      <c r="F279" s="593"/>
      <c r="G279" s="593"/>
      <c r="H279" s="593"/>
      <c r="I279" s="593"/>
      <c r="J279" s="593"/>
      <c r="K279" s="1650">
        <f>SUM(K238,K243,K257,K261,K270,K277,K278)</f>
        <v>321601</v>
      </c>
      <c r="L279" s="1650">
        <f>SUM(L238,L243,L257,L261,L270,L277,L278)</f>
        <v>345264</v>
      </c>
    </row>
    <row r="280" spans="1:12" ht="15.75" customHeight="1" thickTop="1" thickBot="1" x14ac:dyDescent="0.25">
      <c r="A280" s="1597" t="s">
        <v>875</v>
      </c>
      <c r="B280" s="1586">
        <v>3000</v>
      </c>
      <c r="C280" s="593"/>
      <c r="D280" s="1981">
        <v>134</v>
      </c>
      <c r="E280" s="593"/>
      <c r="F280" s="593"/>
      <c r="G280" s="593"/>
      <c r="H280" s="593"/>
      <c r="I280" s="593"/>
      <c r="J280" s="593"/>
      <c r="K280" s="1652">
        <f>D280</f>
        <v>134</v>
      </c>
      <c r="L280" s="2003">
        <v>0</v>
      </c>
    </row>
    <row r="281" spans="1:12" ht="15.75" customHeight="1" thickTop="1" x14ac:dyDescent="0.2">
      <c r="A281" s="1587" t="s">
        <v>142</v>
      </c>
      <c r="B281" s="1588" t="s">
        <v>860</v>
      </c>
      <c r="C281" s="593"/>
      <c r="D281" s="554"/>
      <c r="E281" s="593"/>
      <c r="F281" s="593"/>
      <c r="G281" s="593"/>
      <c r="H281" s="593"/>
      <c r="I281" s="593"/>
      <c r="J281" s="593"/>
      <c r="K281" s="593"/>
      <c r="L281" s="593"/>
    </row>
    <row r="282" spans="1:12" ht="15.75" customHeight="1" x14ac:dyDescent="0.2">
      <c r="A282" s="1803" t="s">
        <v>496</v>
      </c>
      <c r="B282" s="665" t="s">
        <v>1842</v>
      </c>
      <c r="C282" s="593"/>
      <c r="D282" s="1969">
        <v>0</v>
      </c>
      <c r="E282" s="593"/>
      <c r="F282" s="593"/>
      <c r="G282" s="593"/>
      <c r="H282" s="593"/>
      <c r="I282" s="593"/>
      <c r="J282" s="593"/>
      <c r="K282" s="1644">
        <f>D282</f>
        <v>0</v>
      </c>
      <c r="L282" s="1991">
        <v>0</v>
      </c>
    </row>
    <row r="283" spans="1:12" x14ac:dyDescent="0.2">
      <c r="A283" s="1477" t="s">
        <v>304</v>
      </c>
      <c r="B283" s="591">
        <v>4120</v>
      </c>
      <c r="C283" s="593"/>
      <c r="D283" s="1968">
        <v>36877</v>
      </c>
      <c r="E283" s="593"/>
      <c r="F283" s="593"/>
      <c r="G283" s="593"/>
      <c r="H283" s="593"/>
      <c r="I283" s="593"/>
      <c r="J283" s="593"/>
      <c r="K283" s="1644">
        <f>D283</f>
        <v>36877</v>
      </c>
      <c r="L283" s="1990">
        <v>36877</v>
      </c>
    </row>
    <row r="284" spans="1:12" x14ac:dyDescent="0.2">
      <c r="A284" s="1477" t="s">
        <v>697</v>
      </c>
      <c r="B284" s="591">
        <v>4140</v>
      </c>
      <c r="C284" s="593"/>
      <c r="D284" s="1969">
        <v>0</v>
      </c>
      <c r="E284" s="593"/>
      <c r="F284" s="593"/>
      <c r="G284" s="593"/>
      <c r="H284" s="593"/>
      <c r="I284" s="593"/>
      <c r="J284" s="593"/>
      <c r="K284" s="1644">
        <f>D284</f>
        <v>0</v>
      </c>
      <c r="L284" s="1990">
        <v>0</v>
      </c>
    </row>
    <row r="285" spans="1:12" ht="12.75" customHeight="1" thickBot="1" x14ac:dyDescent="0.25">
      <c r="A285" s="1641" t="s">
        <v>1487</v>
      </c>
      <c r="B285" s="1642" t="s">
        <v>860</v>
      </c>
      <c r="C285" s="593"/>
      <c r="D285" s="1643">
        <f>SUM(D282:D284)</f>
        <v>36877</v>
      </c>
      <c r="E285" s="593"/>
      <c r="F285" s="593"/>
      <c r="G285" s="593"/>
      <c r="H285" s="593"/>
      <c r="I285" s="593"/>
      <c r="J285" s="593"/>
      <c r="K285" s="1643">
        <f>SUM(K282:K284)</f>
        <v>36877</v>
      </c>
      <c r="L285" s="1643">
        <f>SUM(L282:L284)</f>
        <v>36877</v>
      </c>
    </row>
    <row r="286" spans="1:12" ht="15.75" customHeight="1" thickTop="1" x14ac:dyDescent="0.2">
      <c r="A286" s="1585" t="s">
        <v>876</v>
      </c>
      <c r="B286" s="1582" t="s">
        <v>492</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7" t="s">
        <v>87</v>
      </c>
      <c r="B288" s="591">
        <v>5110</v>
      </c>
      <c r="C288" s="593"/>
      <c r="D288" s="593"/>
      <c r="E288" s="593"/>
      <c r="F288" s="593"/>
      <c r="G288" s="593"/>
      <c r="H288" s="1968">
        <v>0</v>
      </c>
      <c r="I288" s="593"/>
      <c r="J288" s="593"/>
      <c r="K288" s="1644">
        <f>H288</f>
        <v>0</v>
      </c>
      <c r="L288" s="1990">
        <v>0</v>
      </c>
    </row>
    <row r="289" spans="1:14" x14ac:dyDescent="0.2">
      <c r="A289" s="1477" t="s">
        <v>88</v>
      </c>
      <c r="B289" s="591">
        <v>5120</v>
      </c>
      <c r="C289" s="593"/>
      <c r="D289" s="593"/>
      <c r="E289" s="593"/>
      <c r="F289" s="593"/>
      <c r="G289" s="593"/>
      <c r="H289" s="1968">
        <v>0</v>
      </c>
      <c r="I289" s="593"/>
      <c r="J289" s="593"/>
      <c r="K289" s="1644">
        <f>H289</f>
        <v>0</v>
      </c>
      <c r="L289" s="1990">
        <v>0</v>
      </c>
    </row>
    <row r="290" spans="1:14" ht="12.75" customHeight="1" x14ac:dyDescent="0.2">
      <c r="A290" s="1477" t="s">
        <v>1170</v>
      </c>
      <c r="B290" s="605" t="s">
        <v>617</v>
      </c>
      <c r="C290" s="593"/>
      <c r="D290" s="593"/>
      <c r="E290" s="593"/>
      <c r="F290" s="593"/>
      <c r="G290" s="593"/>
      <c r="H290" s="1968">
        <v>0</v>
      </c>
      <c r="I290" s="593"/>
      <c r="J290" s="593"/>
      <c r="K290" s="1644">
        <f>H290</f>
        <v>0</v>
      </c>
      <c r="L290" s="1990">
        <v>0</v>
      </c>
    </row>
    <row r="291" spans="1:14" x14ac:dyDescent="0.2">
      <c r="A291" s="1477" t="s">
        <v>89</v>
      </c>
      <c r="B291" s="591" t="s">
        <v>589</v>
      </c>
      <c r="C291" s="593"/>
      <c r="D291" s="593"/>
      <c r="E291" s="593"/>
      <c r="F291" s="593"/>
      <c r="G291" s="593"/>
      <c r="H291" s="1968">
        <v>0</v>
      </c>
      <c r="I291" s="593"/>
      <c r="J291" s="593"/>
      <c r="K291" s="1644">
        <f>H291</f>
        <v>0</v>
      </c>
      <c r="L291" s="1990">
        <v>0</v>
      </c>
    </row>
    <row r="292" spans="1:14" x14ac:dyDescent="0.2">
      <c r="A292" s="1477" t="s">
        <v>762</v>
      </c>
      <c r="B292" s="591" t="s">
        <v>618</v>
      </c>
      <c r="C292" s="593"/>
      <c r="D292" s="593"/>
      <c r="E292" s="593"/>
      <c r="F292" s="593"/>
      <c r="G292" s="593"/>
      <c r="H292" s="1968">
        <v>0</v>
      </c>
      <c r="I292" s="593"/>
      <c r="J292" s="593"/>
      <c r="K292" s="1644">
        <f>H292</f>
        <v>0</v>
      </c>
      <c r="L292" s="1990">
        <v>0</v>
      </c>
    </row>
    <row r="293" spans="1:14" ht="12.75" customHeight="1" thickBot="1" x14ac:dyDescent="0.25">
      <c r="A293" s="1641" t="s">
        <v>484</v>
      </c>
      <c r="B293" s="1642" t="s">
        <v>492</v>
      </c>
      <c r="C293" s="593"/>
      <c r="D293" s="593"/>
      <c r="E293" s="593"/>
      <c r="F293" s="593"/>
      <c r="G293" s="593"/>
      <c r="H293" s="1643">
        <f>SUM(H288:H292)</f>
        <v>0</v>
      </c>
      <c r="I293" s="593"/>
      <c r="J293" s="593"/>
      <c r="K293" s="1643">
        <f>SUM(K288:K292)</f>
        <v>0</v>
      </c>
      <c r="L293" s="1643">
        <f>SUM(L288:L292)</f>
        <v>0</v>
      </c>
    </row>
    <row r="294" spans="1:14" ht="15.75" customHeight="1" thickTop="1" thickBot="1" x14ac:dyDescent="0.25">
      <c r="A294" s="1598" t="s">
        <v>877</v>
      </c>
      <c r="B294" s="1586" t="s">
        <v>861</v>
      </c>
      <c r="C294" s="593"/>
      <c r="D294" s="600"/>
      <c r="E294" s="593"/>
      <c r="F294" s="593"/>
      <c r="G294" s="593"/>
      <c r="H294" s="661"/>
      <c r="I294" s="593"/>
      <c r="J294" s="593"/>
      <c r="K294" s="661"/>
      <c r="L294" s="2004">
        <v>0</v>
      </c>
    </row>
    <row r="295" spans="1:14" ht="12.75" customHeight="1" thickTop="1" thickBot="1" x14ac:dyDescent="0.25">
      <c r="A295" s="2251" t="s">
        <v>505</v>
      </c>
      <c r="B295" s="2252"/>
      <c r="C295" s="593"/>
      <c r="D295" s="1643">
        <f>SUM(D229,D279,D280,D285)</f>
        <v>668058</v>
      </c>
      <c r="E295" s="593"/>
      <c r="F295" s="593"/>
      <c r="G295" s="593"/>
      <c r="H295" s="1643">
        <f>H293</f>
        <v>0</v>
      </c>
      <c r="I295" s="593"/>
      <c r="J295" s="593"/>
      <c r="K295" s="1643">
        <f>SUM(K229,K279,K280,K285,K293,K294)</f>
        <v>668058</v>
      </c>
      <c r="L295" s="1643">
        <f>SUM(L229,L279,L280,L285,L293,L294)</f>
        <v>704599</v>
      </c>
    </row>
    <row r="296" spans="1:14" ht="13.5" thickTop="1" x14ac:dyDescent="0.2">
      <c r="A296" s="2233" t="s">
        <v>996</v>
      </c>
      <c r="B296" s="2234"/>
      <c r="C296" s="593"/>
      <c r="D296" s="595"/>
      <c r="E296" s="593"/>
      <c r="F296" s="593"/>
      <c r="G296" s="593"/>
      <c r="H296" s="662"/>
      <c r="I296" s="593"/>
      <c r="J296" s="593"/>
      <c r="K296" s="1657">
        <f>'Revenues 9-14'!G268-'Expenditures 15-22'!K295</f>
        <v>75128</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43" t="s">
        <v>143</v>
      </c>
      <c r="B298" s="2237"/>
      <c r="C298" s="1524"/>
      <c r="D298" s="1525"/>
      <c r="E298" s="1525"/>
      <c r="F298" s="1525"/>
      <c r="G298" s="1525"/>
      <c r="H298" s="1525"/>
      <c r="I298" s="1525"/>
      <c r="J298" s="1525"/>
      <c r="K298" s="1525"/>
      <c r="L298" s="1526"/>
    </row>
    <row r="299" spans="1:14" ht="15.75" customHeight="1" x14ac:dyDescent="0.2">
      <c r="A299" s="1585" t="s">
        <v>144</v>
      </c>
      <c r="B299" s="1588" t="s">
        <v>569</v>
      </c>
      <c r="C299" s="593"/>
      <c r="D299" s="593"/>
      <c r="E299" s="593"/>
      <c r="F299" s="593"/>
      <c r="G299" s="593"/>
      <c r="H299" s="593"/>
      <c r="I299" s="593"/>
      <c r="J299" s="593"/>
      <c r="K299" s="593"/>
      <c r="L299" s="593"/>
    </row>
    <row r="300" spans="1:14" ht="15.75" customHeight="1" x14ac:dyDescent="0.2">
      <c r="A300" s="663" t="s">
        <v>612</v>
      </c>
      <c r="B300" s="608"/>
      <c r="C300" s="600"/>
      <c r="D300" s="600"/>
      <c r="E300" s="600"/>
      <c r="F300" s="600"/>
      <c r="G300" s="600"/>
      <c r="H300" s="600"/>
      <c r="I300" s="593"/>
      <c r="J300" s="593"/>
      <c r="K300" s="600"/>
      <c r="L300" s="600"/>
    </row>
    <row r="301" spans="1:14" x14ac:dyDescent="0.2">
      <c r="A301" s="1490" t="s">
        <v>608</v>
      </c>
      <c r="B301" s="664">
        <v>2530</v>
      </c>
      <c r="C301" s="1968">
        <v>0</v>
      </c>
      <c r="D301" s="1968">
        <v>0</v>
      </c>
      <c r="E301" s="1968">
        <v>0</v>
      </c>
      <c r="F301" s="1968">
        <v>0</v>
      </c>
      <c r="G301" s="1968">
        <v>1113233</v>
      </c>
      <c r="H301" s="1968">
        <v>0</v>
      </c>
      <c r="I301" s="1969">
        <v>0</v>
      </c>
      <c r="J301" s="1969">
        <v>0</v>
      </c>
      <c r="K301" s="1644">
        <f>SUM(C301:J301)</f>
        <v>1113233</v>
      </c>
      <c r="L301" s="1991">
        <v>1123242</v>
      </c>
    </row>
    <row r="302" spans="1:14" ht="13.5" customHeight="1" x14ac:dyDescent="0.2">
      <c r="A302" s="1490" t="s">
        <v>980</v>
      </c>
      <c r="B302" s="591" t="s">
        <v>574</v>
      </c>
      <c r="C302" s="1968">
        <v>0</v>
      </c>
      <c r="D302" s="1968">
        <v>0</v>
      </c>
      <c r="E302" s="1968">
        <v>0</v>
      </c>
      <c r="F302" s="1968">
        <v>0</v>
      </c>
      <c r="G302" s="1968">
        <v>0</v>
      </c>
      <c r="H302" s="1968">
        <v>0</v>
      </c>
      <c r="I302" s="1969">
        <v>0</v>
      </c>
      <c r="J302" s="1969">
        <v>0</v>
      </c>
      <c r="K302" s="1644">
        <f>SUM(C302:J302)</f>
        <v>0</v>
      </c>
      <c r="L302" s="1990">
        <v>0</v>
      </c>
    </row>
    <row r="303" spans="1:14" ht="12.75" customHeight="1" thickBot="1" x14ac:dyDescent="0.25">
      <c r="A303" s="1641" t="s">
        <v>811</v>
      </c>
      <c r="B303" s="1642" t="s">
        <v>569</v>
      </c>
      <c r="C303" s="1650">
        <f>SUM(C301:C302)</f>
        <v>0</v>
      </c>
      <c r="D303" s="1650">
        <f t="shared" ref="D303:L303" si="23">SUM(D301:D302)</f>
        <v>0</v>
      </c>
      <c r="E303" s="1650">
        <f t="shared" si="23"/>
        <v>0</v>
      </c>
      <c r="F303" s="1650">
        <f t="shared" si="23"/>
        <v>0</v>
      </c>
      <c r="G303" s="1650">
        <f t="shared" si="23"/>
        <v>1113233</v>
      </c>
      <c r="H303" s="1650">
        <f t="shared" si="23"/>
        <v>0</v>
      </c>
      <c r="I303" s="1650">
        <f t="shared" si="23"/>
        <v>0</v>
      </c>
      <c r="J303" s="1650">
        <f t="shared" si="23"/>
        <v>0</v>
      </c>
      <c r="K303" s="1650">
        <f t="shared" si="23"/>
        <v>1113233</v>
      </c>
      <c r="L303" s="1650">
        <f t="shared" si="23"/>
        <v>1123242</v>
      </c>
    </row>
    <row r="304" spans="1:14" ht="15.75" customHeight="1" thickTop="1" x14ac:dyDescent="0.2">
      <c r="A304" s="1585" t="s">
        <v>145</v>
      </c>
      <c r="B304" s="1586" t="s">
        <v>860</v>
      </c>
      <c r="C304" s="593"/>
      <c r="D304" s="593"/>
      <c r="E304" s="593"/>
      <c r="F304" s="593"/>
      <c r="G304" s="593"/>
      <c r="H304" s="593"/>
      <c r="I304" s="593"/>
      <c r="J304" s="593"/>
      <c r="K304" s="593"/>
      <c r="L304" s="593"/>
    </row>
    <row r="305" spans="1:14" ht="15.75" customHeight="1" x14ac:dyDescent="0.2">
      <c r="A305" s="629" t="s">
        <v>897</v>
      </c>
      <c r="B305" s="599"/>
      <c r="C305" s="593"/>
      <c r="D305" s="593"/>
      <c r="E305" s="593"/>
      <c r="F305" s="593"/>
      <c r="G305" s="593"/>
      <c r="H305" s="593"/>
      <c r="I305" s="593"/>
      <c r="J305" s="593"/>
      <c r="K305" s="593"/>
      <c r="L305" s="593"/>
    </row>
    <row r="306" spans="1:14" x14ac:dyDescent="0.2">
      <c r="A306" s="1491" t="s">
        <v>1847</v>
      </c>
      <c r="B306" s="665" t="s">
        <v>1842</v>
      </c>
      <c r="C306" s="593"/>
      <c r="D306" s="593"/>
      <c r="E306" s="1969">
        <v>0</v>
      </c>
      <c r="F306" s="593"/>
      <c r="G306" s="593"/>
      <c r="H306" s="1969">
        <v>0</v>
      </c>
      <c r="I306" s="593"/>
      <c r="J306" s="593"/>
      <c r="K306" s="1644">
        <f>SUM(E306,H306)</f>
        <v>0</v>
      </c>
      <c r="L306" s="1991">
        <v>0</v>
      </c>
    </row>
    <row r="307" spans="1:14" x14ac:dyDescent="0.2">
      <c r="A307" s="1477" t="s">
        <v>304</v>
      </c>
      <c r="B307" s="591">
        <v>4120</v>
      </c>
      <c r="C307" s="593"/>
      <c r="D307" s="593"/>
      <c r="E307" s="1969">
        <v>0</v>
      </c>
      <c r="F307" s="593"/>
      <c r="G307" s="593"/>
      <c r="H307" s="1969">
        <v>0</v>
      </c>
      <c r="I307" s="473"/>
      <c r="J307" s="593"/>
      <c r="K307" s="1644">
        <f>SUM(E307,H307)</f>
        <v>0</v>
      </c>
      <c r="L307" s="1990">
        <v>0</v>
      </c>
    </row>
    <row r="308" spans="1:14" x14ac:dyDescent="0.2">
      <c r="A308" s="1477" t="s">
        <v>697</v>
      </c>
      <c r="B308" s="591">
        <v>4140</v>
      </c>
      <c r="C308" s="593"/>
      <c r="D308" s="593"/>
      <c r="E308" s="1969">
        <v>0</v>
      </c>
      <c r="F308" s="593"/>
      <c r="G308" s="593"/>
      <c r="H308" s="1969">
        <v>0</v>
      </c>
      <c r="I308" s="473"/>
      <c r="J308" s="593"/>
      <c r="K308" s="1644">
        <f>SUM(E308,H308)</f>
        <v>0</v>
      </c>
      <c r="L308" s="1990">
        <v>0</v>
      </c>
    </row>
    <row r="309" spans="1:14" ht="12.75" customHeight="1" x14ac:dyDescent="0.2">
      <c r="A309" s="1481" t="s">
        <v>698</v>
      </c>
      <c r="B309" s="605">
        <v>4190</v>
      </c>
      <c r="C309" s="593"/>
      <c r="D309" s="593"/>
      <c r="E309" s="1969">
        <v>0</v>
      </c>
      <c r="F309" s="593"/>
      <c r="G309" s="593"/>
      <c r="H309" s="1969">
        <v>0</v>
      </c>
      <c r="I309" s="473"/>
      <c r="J309" s="593"/>
      <c r="K309" s="1644">
        <f>SUM(E309,H309)</f>
        <v>0</v>
      </c>
      <c r="L309" s="1990">
        <v>0</v>
      </c>
    </row>
    <row r="310" spans="1:14" ht="12.75" customHeight="1" thickBot="1" x14ac:dyDescent="0.25">
      <c r="A310" s="1641" t="s">
        <v>1487</v>
      </c>
      <c r="B310" s="1648" t="s">
        <v>860</v>
      </c>
      <c r="C310" s="593"/>
      <c r="D310" s="593"/>
      <c r="E310" s="1643">
        <f>SUM(E306:E309)</f>
        <v>0</v>
      </c>
      <c r="F310" s="593"/>
      <c r="G310" s="593"/>
      <c r="H310" s="1643">
        <f>SUM(H306:H309)</f>
        <v>0</v>
      </c>
      <c r="I310" s="473"/>
      <c r="J310" s="593"/>
      <c r="K310" s="1643">
        <f>SUM(K306:K309)</f>
        <v>0</v>
      </c>
      <c r="L310" s="1650">
        <f>SUM(L306:L309)</f>
        <v>0</v>
      </c>
    </row>
    <row r="311" spans="1:14" ht="15.75" customHeight="1" thickTop="1" thickBot="1" x14ac:dyDescent="0.25">
      <c r="A311" s="1592" t="s">
        <v>895</v>
      </c>
      <c r="B311" s="1584" t="s">
        <v>861</v>
      </c>
      <c r="C311" s="600"/>
      <c r="D311" s="600"/>
      <c r="E311" s="600"/>
      <c r="F311" s="600"/>
      <c r="G311" s="600"/>
      <c r="H311" s="600"/>
      <c r="I311" s="600"/>
      <c r="J311" s="593"/>
      <c r="K311" s="600"/>
      <c r="L311" s="2003">
        <v>0</v>
      </c>
    </row>
    <row r="312" spans="1:14" s="649" customFormat="1" ht="12.75" customHeight="1" thickTop="1" thickBot="1" x14ac:dyDescent="0.25">
      <c r="A312" s="2248" t="s">
        <v>277</v>
      </c>
      <c r="B312" s="2249"/>
      <c r="C312" s="1643">
        <f>SUM(C303)</f>
        <v>0</v>
      </c>
      <c r="D312" s="1643">
        <f>SUM(D303)</f>
        <v>0</v>
      </c>
      <c r="E312" s="1643">
        <f>SUM(E303,E310)</f>
        <v>0</v>
      </c>
      <c r="F312" s="1643">
        <f>SUM(F303)</f>
        <v>0</v>
      </c>
      <c r="G312" s="1643">
        <f>SUM(G303)</f>
        <v>1113233</v>
      </c>
      <c r="H312" s="1643">
        <f>SUM(H303,H310)</f>
        <v>0</v>
      </c>
      <c r="I312" s="1643">
        <f>SUM(I303)</f>
        <v>0</v>
      </c>
      <c r="J312" s="1643">
        <f>SUM(J303)</f>
        <v>0</v>
      </c>
      <c r="K312" s="1643">
        <f>SUM(K303,K310,K311)</f>
        <v>1113233</v>
      </c>
      <c r="L312" s="1643">
        <f>SUM(L303,L310,L311)</f>
        <v>1123242</v>
      </c>
      <c r="M312" s="640"/>
      <c r="N312" s="640"/>
    </row>
    <row r="313" spans="1:14" ht="13.5" thickTop="1" x14ac:dyDescent="0.2">
      <c r="A313" s="2244" t="s">
        <v>996</v>
      </c>
      <c r="B313" s="2245"/>
      <c r="C313" s="603"/>
      <c r="D313" s="603"/>
      <c r="E313" s="603"/>
      <c r="F313" s="603"/>
      <c r="G313" s="603"/>
      <c r="H313" s="603"/>
      <c r="I313" s="603"/>
      <c r="J313" s="603"/>
      <c r="K313" s="1658">
        <f>'Revenues 9-14'!H268-'Expenditures 15-22'!K312</f>
        <v>-1111921</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57" t="s">
        <v>149</v>
      </c>
      <c r="B315" s="2258"/>
      <c r="C315" s="1529"/>
      <c r="D315" s="1530"/>
      <c r="E315" s="1530"/>
      <c r="F315" s="1530"/>
      <c r="G315" s="1530"/>
      <c r="H315" s="1530"/>
      <c r="I315" s="1530"/>
      <c r="J315" s="1530"/>
      <c r="K315" s="1530"/>
      <c r="L315" s="1531"/>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59" t="s">
        <v>898</v>
      </c>
      <c r="B317" s="2258"/>
      <c r="C317" s="1529"/>
      <c r="D317" s="1530"/>
      <c r="E317" s="1530"/>
      <c r="F317" s="1530"/>
      <c r="G317" s="1530"/>
      <c r="H317" s="1530"/>
      <c r="I317" s="1530"/>
      <c r="J317" s="1530"/>
      <c r="K317" s="1530"/>
      <c r="L317" s="1531"/>
    </row>
    <row r="318" spans="1:14" s="649" customFormat="1" ht="15.75" customHeight="1" x14ac:dyDescent="0.2">
      <c r="A318" s="670" t="s">
        <v>610</v>
      </c>
      <c r="B318" s="671"/>
      <c r="C318" s="615"/>
      <c r="D318" s="615"/>
      <c r="E318" s="615"/>
      <c r="F318" s="615"/>
      <c r="G318" s="615"/>
      <c r="H318" s="615"/>
      <c r="I318" s="615"/>
      <c r="J318" s="615"/>
      <c r="K318" s="615"/>
      <c r="L318" s="615"/>
      <c r="M318" s="640"/>
      <c r="N318" s="640"/>
    </row>
    <row r="319" spans="1:14" s="649" customFormat="1" x14ac:dyDescent="0.2">
      <c r="A319" s="1492" t="s">
        <v>299</v>
      </c>
      <c r="B319" s="672" t="s">
        <v>281</v>
      </c>
      <c r="C319" s="1969">
        <v>0</v>
      </c>
      <c r="D319" s="1969">
        <v>0</v>
      </c>
      <c r="E319" s="1969">
        <v>0</v>
      </c>
      <c r="F319" s="1969">
        <v>0</v>
      </c>
      <c r="G319" s="1969">
        <v>0</v>
      </c>
      <c r="H319" s="1969">
        <v>0</v>
      </c>
      <c r="I319" s="1969">
        <v>0</v>
      </c>
      <c r="J319" s="1969">
        <v>0</v>
      </c>
      <c r="K319" s="1644">
        <f>SUM(C319:J319)</f>
        <v>0</v>
      </c>
      <c r="L319" s="1991">
        <v>0</v>
      </c>
      <c r="M319" s="640"/>
      <c r="N319" s="640"/>
    </row>
    <row r="320" spans="1:14" s="649" customFormat="1" x14ac:dyDescent="0.2">
      <c r="A320" s="1496" t="s">
        <v>1802</v>
      </c>
      <c r="B320" s="673" t="s">
        <v>282</v>
      </c>
      <c r="C320" s="1969">
        <v>0</v>
      </c>
      <c r="D320" s="1969">
        <v>0</v>
      </c>
      <c r="E320" s="1969">
        <v>52592</v>
      </c>
      <c r="F320" s="1969">
        <v>0</v>
      </c>
      <c r="G320" s="1969">
        <v>0</v>
      </c>
      <c r="H320" s="1969">
        <v>0</v>
      </c>
      <c r="I320" s="1969">
        <v>0</v>
      </c>
      <c r="J320" s="1969">
        <v>0</v>
      </c>
      <c r="K320" s="1644">
        <f t="shared" ref="K320:K327" si="24">SUM(C320:J320)</f>
        <v>52592</v>
      </c>
      <c r="L320" s="1991">
        <v>52592</v>
      </c>
      <c r="M320" s="640"/>
      <c r="N320" s="640"/>
    </row>
    <row r="321" spans="1:14" s="649" customFormat="1" x14ac:dyDescent="0.2">
      <c r="A321" s="1492" t="s">
        <v>300</v>
      </c>
      <c r="B321" s="672" t="s">
        <v>283</v>
      </c>
      <c r="C321" s="1969">
        <v>0</v>
      </c>
      <c r="D321" s="1969">
        <v>0</v>
      </c>
      <c r="E321" s="1969">
        <v>0</v>
      </c>
      <c r="F321" s="1969">
        <v>0</v>
      </c>
      <c r="G321" s="1969">
        <v>0</v>
      </c>
      <c r="H321" s="1969">
        <v>0</v>
      </c>
      <c r="I321" s="1969">
        <v>0</v>
      </c>
      <c r="J321" s="1969">
        <v>0</v>
      </c>
      <c r="K321" s="1644">
        <f t="shared" si="24"/>
        <v>0</v>
      </c>
      <c r="L321" s="1991">
        <v>0</v>
      </c>
      <c r="M321" s="640"/>
      <c r="N321" s="640"/>
    </row>
    <row r="322" spans="1:14" s="649" customFormat="1" x14ac:dyDescent="0.2">
      <c r="A322" s="1492" t="s">
        <v>238</v>
      </c>
      <c r="B322" s="672" t="s">
        <v>284</v>
      </c>
      <c r="C322" s="1969">
        <v>0</v>
      </c>
      <c r="D322" s="1969">
        <v>0</v>
      </c>
      <c r="E322" s="1969">
        <v>77041</v>
      </c>
      <c r="F322" s="1969">
        <v>0</v>
      </c>
      <c r="G322" s="1969">
        <v>0</v>
      </c>
      <c r="H322" s="1969">
        <v>0</v>
      </c>
      <c r="I322" s="1969">
        <v>0</v>
      </c>
      <c r="J322" s="1969">
        <v>0</v>
      </c>
      <c r="K322" s="1644">
        <f t="shared" si="24"/>
        <v>77041</v>
      </c>
      <c r="L322" s="1991">
        <v>77041</v>
      </c>
      <c r="M322" s="640"/>
      <c r="N322" s="640"/>
    </row>
    <row r="323" spans="1:14" s="649" customFormat="1" x14ac:dyDescent="0.2">
      <c r="A323" s="1492" t="s">
        <v>702</v>
      </c>
      <c r="B323" s="672" t="s">
        <v>285</v>
      </c>
      <c r="C323" s="1969">
        <v>0</v>
      </c>
      <c r="D323" s="1969">
        <v>0</v>
      </c>
      <c r="E323" s="1969">
        <v>0</v>
      </c>
      <c r="F323" s="1969">
        <v>0</v>
      </c>
      <c r="G323" s="1969">
        <v>0</v>
      </c>
      <c r="H323" s="1969">
        <v>0</v>
      </c>
      <c r="I323" s="1969">
        <v>0</v>
      </c>
      <c r="J323" s="1969">
        <v>0</v>
      </c>
      <c r="K323" s="1644">
        <f t="shared" si="24"/>
        <v>0</v>
      </c>
      <c r="L323" s="1991">
        <v>0</v>
      </c>
      <c r="M323" s="640"/>
      <c r="N323" s="640"/>
    </row>
    <row r="324" spans="1:14" s="649" customFormat="1" x14ac:dyDescent="0.2">
      <c r="A324" s="1492" t="s">
        <v>239</v>
      </c>
      <c r="B324" s="672" t="s">
        <v>286</v>
      </c>
      <c r="C324" s="1969">
        <v>0</v>
      </c>
      <c r="D324" s="1969">
        <v>0</v>
      </c>
      <c r="E324" s="1969">
        <v>0</v>
      </c>
      <c r="F324" s="1969">
        <v>0</v>
      </c>
      <c r="G324" s="1969">
        <v>0</v>
      </c>
      <c r="H324" s="1969">
        <v>0</v>
      </c>
      <c r="I324" s="1969">
        <v>0</v>
      </c>
      <c r="J324" s="1969">
        <v>0</v>
      </c>
      <c r="K324" s="1644">
        <f t="shared" si="24"/>
        <v>0</v>
      </c>
      <c r="L324" s="1991">
        <v>0</v>
      </c>
      <c r="M324" s="640"/>
      <c r="N324" s="640"/>
    </row>
    <row r="325" spans="1:14" s="649" customFormat="1" ht="22.5" x14ac:dyDescent="0.2">
      <c r="A325" s="1492" t="s">
        <v>1029</v>
      </c>
      <c r="B325" s="673" t="s">
        <v>287</v>
      </c>
      <c r="C325" s="1969">
        <v>0</v>
      </c>
      <c r="D325" s="1969">
        <v>0</v>
      </c>
      <c r="E325" s="1969">
        <v>0</v>
      </c>
      <c r="F325" s="1969">
        <v>0</v>
      </c>
      <c r="G325" s="1969">
        <v>0</v>
      </c>
      <c r="H325" s="1969">
        <v>0</v>
      </c>
      <c r="I325" s="1969">
        <v>0</v>
      </c>
      <c r="J325" s="1969">
        <v>0</v>
      </c>
      <c r="K325" s="1644">
        <f t="shared" si="24"/>
        <v>0</v>
      </c>
      <c r="L325" s="1991">
        <v>0</v>
      </c>
      <c r="M325" s="640"/>
      <c r="N325" s="640"/>
    </row>
    <row r="326" spans="1:14" s="649" customFormat="1" x14ac:dyDescent="0.2">
      <c r="A326" s="1492" t="s">
        <v>1030</v>
      </c>
      <c r="B326" s="672" t="s">
        <v>288</v>
      </c>
      <c r="C326" s="1969">
        <v>0</v>
      </c>
      <c r="D326" s="1969">
        <v>0</v>
      </c>
      <c r="E326" s="1969">
        <v>0</v>
      </c>
      <c r="F326" s="1969">
        <v>0</v>
      </c>
      <c r="G326" s="1969">
        <v>0</v>
      </c>
      <c r="H326" s="1969">
        <v>0</v>
      </c>
      <c r="I326" s="1969">
        <v>0</v>
      </c>
      <c r="J326" s="1969">
        <v>0</v>
      </c>
      <c r="K326" s="1644">
        <f t="shared" si="24"/>
        <v>0</v>
      </c>
      <c r="L326" s="1991">
        <v>0</v>
      </c>
      <c r="M326" s="640"/>
      <c r="N326" s="640"/>
    </row>
    <row r="327" spans="1:14" s="649" customFormat="1" x14ac:dyDescent="0.2">
      <c r="A327" s="1492" t="s">
        <v>971</v>
      </c>
      <c r="B327" s="672" t="s">
        <v>289</v>
      </c>
      <c r="C327" s="1969">
        <v>0</v>
      </c>
      <c r="D327" s="1969">
        <v>0</v>
      </c>
      <c r="E327" s="1969">
        <v>0</v>
      </c>
      <c r="F327" s="1969">
        <v>0</v>
      </c>
      <c r="G327" s="1969">
        <v>0</v>
      </c>
      <c r="H327" s="1969">
        <v>0</v>
      </c>
      <c r="I327" s="1969">
        <v>0</v>
      </c>
      <c r="J327" s="1969">
        <v>0</v>
      </c>
      <c r="K327" s="1644">
        <f t="shared" si="24"/>
        <v>0</v>
      </c>
      <c r="L327" s="1991">
        <v>0</v>
      </c>
      <c r="M327" s="640"/>
      <c r="N327" s="640"/>
    </row>
    <row r="328" spans="1:14" s="649" customFormat="1" x14ac:dyDescent="0.2">
      <c r="A328" s="1493" t="s">
        <v>472</v>
      </c>
      <c r="B328" s="665" t="s">
        <v>1132</v>
      </c>
      <c r="C328" s="1971">
        <v>0</v>
      </c>
      <c r="D328" s="1971">
        <v>0</v>
      </c>
      <c r="E328" s="1971">
        <v>0</v>
      </c>
      <c r="F328" s="1971">
        <v>0</v>
      </c>
      <c r="G328" s="1971">
        <v>0</v>
      </c>
      <c r="H328" s="1971">
        <v>0</v>
      </c>
      <c r="I328" s="1971">
        <v>0</v>
      </c>
      <c r="J328" s="1971">
        <v>0</v>
      </c>
      <c r="K328" s="1672">
        <f>SUM(C328:J328)</f>
        <v>0</v>
      </c>
      <c r="L328" s="1993">
        <v>0</v>
      </c>
      <c r="M328" s="640"/>
      <c r="N328" s="640"/>
    </row>
    <row r="329" spans="1:14" s="649" customFormat="1" x14ac:dyDescent="0.2">
      <c r="A329" s="1493" t="s">
        <v>1133</v>
      </c>
      <c r="B329" s="665" t="s">
        <v>1134</v>
      </c>
      <c r="C329" s="1971">
        <v>0</v>
      </c>
      <c r="D329" s="1971">
        <v>0</v>
      </c>
      <c r="E329" s="1971">
        <v>0</v>
      </c>
      <c r="F329" s="1971">
        <v>0</v>
      </c>
      <c r="G329" s="1971">
        <v>0</v>
      </c>
      <c r="H329" s="1971">
        <v>0</v>
      </c>
      <c r="I329" s="1971">
        <v>0</v>
      </c>
      <c r="J329" s="1971">
        <v>0</v>
      </c>
      <c r="K329" s="1672">
        <f>SUM(C329:J329)</f>
        <v>0</v>
      </c>
      <c r="L329" s="1993">
        <v>0</v>
      </c>
      <c r="M329" s="640"/>
      <c r="N329" s="640"/>
    </row>
    <row r="330" spans="1:14" s="649" customFormat="1" ht="12.75" customHeight="1" thickBot="1" x14ac:dyDescent="0.25">
      <c r="A330" s="1673" t="s">
        <v>717</v>
      </c>
      <c r="B330" s="1642" t="s">
        <v>569</v>
      </c>
      <c r="C330" s="1643">
        <f>SUM(C319:C329)</f>
        <v>0</v>
      </c>
      <c r="D330" s="1643">
        <f t="shared" ref="D330:J330" si="25">SUM(D319:D329)</f>
        <v>0</v>
      </c>
      <c r="E330" s="1643">
        <f t="shared" si="25"/>
        <v>129633</v>
      </c>
      <c r="F330" s="1643">
        <f t="shared" si="25"/>
        <v>0</v>
      </c>
      <c r="G330" s="1643">
        <f t="shared" si="25"/>
        <v>0</v>
      </c>
      <c r="H330" s="1643">
        <f t="shared" si="25"/>
        <v>0</v>
      </c>
      <c r="I330" s="1643">
        <f t="shared" si="25"/>
        <v>0</v>
      </c>
      <c r="J330" s="1643">
        <f t="shared" si="25"/>
        <v>0</v>
      </c>
      <c r="K330" s="1643">
        <f>SUM(K319:K329)</f>
        <v>129633</v>
      </c>
      <c r="L330" s="1643">
        <f>SUM(L319:L329)</f>
        <v>129633</v>
      </c>
      <c r="M330" s="640"/>
      <c r="N330" s="640"/>
    </row>
    <row r="331" spans="1:14" s="649" customFormat="1" ht="12.75" customHeight="1" thickTop="1" x14ac:dyDescent="0.2">
      <c r="A331" s="1804" t="s">
        <v>1848</v>
      </c>
      <c r="B331" s="623" t="s">
        <v>860</v>
      </c>
      <c r="C331" s="1806"/>
      <c r="D331" s="1806"/>
      <c r="E331" s="1806"/>
      <c r="F331" s="1806"/>
      <c r="G331" s="1806"/>
      <c r="H331" s="1806"/>
      <c r="I331" s="1806"/>
      <c r="J331" s="1806"/>
      <c r="K331" s="1806"/>
      <c r="L331" s="1806"/>
      <c r="M331" s="640"/>
      <c r="N331" s="640"/>
    </row>
    <row r="332" spans="1:14" s="649" customFormat="1" ht="12.75" customHeight="1" x14ac:dyDescent="0.2">
      <c r="A332" s="1805" t="s">
        <v>496</v>
      </c>
      <c r="B332" s="1800" t="s">
        <v>1842</v>
      </c>
      <c r="C332" s="1806"/>
      <c r="D332" s="1806"/>
      <c r="E332" s="1806"/>
      <c r="F332" s="1806"/>
      <c r="G332" s="1806"/>
      <c r="H332" s="1969">
        <v>0</v>
      </c>
      <c r="I332" s="1806"/>
      <c r="J332" s="1806"/>
      <c r="K332" s="1644">
        <f>H332</f>
        <v>0</v>
      </c>
      <c r="L332" s="1991">
        <v>0</v>
      </c>
      <c r="M332" s="640"/>
      <c r="N332" s="640"/>
    </row>
    <row r="333" spans="1:14" s="649" customFormat="1" ht="12.75" customHeight="1" x14ac:dyDescent="0.2">
      <c r="A333" s="1805" t="s">
        <v>304</v>
      </c>
      <c r="B333" s="1800" t="s">
        <v>1844</v>
      </c>
      <c r="C333" s="1806"/>
      <c r="D333" s="1806"/>
      <c r="E333" s="1806"/>
      <c r="F333" s="1806"/>
      <c r="G333" s="1806"/>
      <c r="H333" s="1969">
        <v>0</v>
      </c>
      <c r="I333" s="1806"/>
      <c r="J333" s="1806"/>
      <c r="K333" s="1644">
        <f>H333</f>
        <v>0</v>
      </c>
      <c r="L333" s="1991">
        <v>0</v>
      </c>
      <c r="M333" s="640"/>
      <c r="N333" s="640"/>
    </row>
    <row r="334" spans="1:14" s="649" customFormat="1" ht="12.75" customHeight="1" thickBot="1" x14ac:dyDescent="0.25">
      <c r="A334" s="1805" t="s">
        <v>1849</v>
      </c>
      <c r="B334" s="1800" t="s">
        <v>860</v>
      </c>
      <c r="C334" s="1806"/>
      <c r="D334" s="1806"/>
      <c r="E334" s="1806"/>
      <c r="F334" s="1806"/>
      <c r="G334" s="1806"/>
      <c r="H334" s="1643">
        <f>SUM(H332:H333)</f>
        <v>0</v>
      </c>
      <c r="I334" s="1806"/>
      <c r="J334" s="1806"/>
      <c r="K334" s="1643">
        <f>SUM(K332:K333)</f>
        <v>0</v>
      </c>
      <c r="L334" s="1643">
        <f>SUM(L332:L333)</f>
        <v>0</v>
      </c>
      <c r="M334" s="640"/>
      <c r="N334" s="640"/>
    </row>
    <row r="335" spans="1:14" ht="15.75" customHeight="1" thickTop="1" x14ac:dyDescent="0.2">
      <c r="A335" s="1589" t="s">
        <v>899</v>
      </c>
      <c r="B335" s="1580" t="s">
        <v>492</v>
      </c>
      <c r="C335" s="593"/>
      <c r="D335" s="593"/>
      <c r="E335" s="593"/>
      <c r="F335" s="593"/>
      <c r="G335" s="593"/>
      <c r="H335" s="593"/>
      <c r="I335" s="593"/>
      <c r="J335" s="593"/>
      <c r="K335" s="593"/>
      <c r="L335" s="593"/>
    </row>
    <row r="336" spans="1:14" ht="15.75" customHeight="1" x14ac:dyDescent="0.2">
      <c r="A336" s="629" t="s">
        <v>615</v>
      </c>
      <c r="B336" s="599"/>
      <c r="C336" s="593"/>
      <c r="D336" s="593"/>
      <c r="E336" s="593"/>
      <c r="F336" s="593"/>
      <c r="G336" s="593"/>
      <c r="H336" s="600"/>
      <c r="I336" s="593"/>
      <c r="J336" s="593"/>
      <c r="K336" s="600"/>
      <c r="L336" s="600"/>
    </row>
    <row r="337" spans="1:14" x14ac:dyDescent="0.2">
      <c r="A337" s="1491" t="s">
        <v>87</v>
      </c>
      <c r="B337" s="665" t="s">
        <v>900</v>
      </c>
      <c r="C337" s="615"/>
      <c r="D337" s="615"/>
      <c r="E337" s="615"/>
      <c r="F337" s="615"/>
      <c r="G337" s="615"/>
      <c r="H337" s="474">
        <v>0</v>
      </c>
      <c r="I337" s="615"/>
      <c r="J337" s="615"/>
      <c r="K337" s="1644">
        <f>H337</f>
        <v>0</v>
      </c>
      <c r="L337" s="474">
        <v>0</v>
      </c>
    </row>
    <row r="338" spans="1:14" ht="12.75" customHeight="1" x14ac:dyDescent="0.2">
      <c r="A338" s="1491" t="s">
        <v>1170</v>
      </c>
      <c r="B338" s="665" t="s">
        <v>617</v>
      </c>
      <c r="C338" s="615"/>
      <c r="D338" s="615"/>
      <c r="E338" s="615"/>
      <c r="F338" s="615"/>
      <c r="G338" s="615"/>
      <c r="H338" s="474">
        <v>0</v>
      </c>
      <c r="I338" s="615"/>
      <c r="J338" s="615"/>
      <c r="K338" s="1644">
        <f>H338</f>
        <v>0</v>
      </c>
      <c r="L338" s="474">
        <v>0</v>
      </c>
    </row>
    <row r="339" spans="1:14" x14ac:dyDescent="0.2">
      <c r="A339" s="1477" t="s">
        <v>901</v>
      </c>
      <c r="B339" s="605">
        <v>5150</v>
      </c>
      <c r="C339" s="615"/>
      <c r="D339" s="615"/>
      <c r="E339" s="615"/>
      <c r="F339" s="615"/>
      <c r="G339" s="615"/>
      <c r="H339" s="1969">
        <v>0</v>
      </c>
      <c r="I339" s="615"/>
      <c r="J339" s="615"/>
      <c r="K339" s="1644">
        <f>H339</f>
        <v>0</v>
      </c>
      <c r="L339" s="1991">
        <v>0</v>
      </c>
    </row>
    <row r="340" spans="1:14" ht="13.5" thickBot="1" x14ac:dyDescent="0.25">
      <c r="A340" s="1667" t="s">
        <v>902</v>
      </c>
      <c r="B340" s="1642" t="s">
        <v>492</v>
      </c>
      <c r="C340" s="593"/>
      <c r="D340" s="593"/>
      <c r="E340" s="593"/>
      <c r="F340" s="593"/>
      <c r="G340" s="593"/>
      <c r="H340" s="1661">
        <f>SUM(H337:H339)</f>
        <v>0</v>
      </c>
      <c r="I340" s="593"/>
      <c r="J340" s="593"/>
      <c r="K340" s="1661">
        <f>SUM(K337:K339)</f>
        <v>0</v>
      </c>
      <c r="L340" s="1661">
        <f>SUM(L337:L339)</f>
        <v>0</v>
      </c>
    </row>
    <row r="341" spans="1:14" ht="15.75" customHeight="1" thickTop="1" thickBot="1" x14ac:dyDescent="0.25">
      <c r="A341" s="1592" t="s">
        <v>903</v>
      </c>
      <c r="B341" s="1584" t="s">
        <v>861</v>
      </c>
      <c r="C341" s="593"/>
      <c r="D341" s="593"/>
      <c r="E341" s="473"/>
      <c r="F341" s="467"/>
      <c r="G341" s="467"/>
      <c r="H341" s="473"/>
      <c r="I341" s="473"/>
      <c r="J341" s="467"/>
      <c r="K341" s="473"/>
      <c r="L341" s="2003">
        <v>0</v>
      </c>
    </row>
    <row r="342" spans="1:14" ht="12.75" customHeight="1" thickTop="1" thickBot="1" x14ac:dyDescent="0.25">
      <c r="A342" s="1659" t="s">
        <v>505</v>
      </c>
      <c r="B342" s="1674"/>
      <c r="C342" s="1643">
        <f>SUM(C330)</f>
        <v>0</v>
      </c>
      <c r="D342" s="1643">
        <f>SUM(D330)</f>
        <v>0</v>
      </c>
      <c r="E342" s="1643">
        <f>SUM(E330)</f>
        <v>129633</v>
      </c>
      <c r="F342" s="1643">
        <f>SUM(F330)</f>
        <v>0</v>
      </c>
      <c r="G342" s="1643">
        <f>SUM(G330)</f>
        <v>0</v>
      </c>
      <c r="H342" s="1643">
        <f>SUM(H330,H334,H340)</f>
        <v>0</v>
      </c>
      <c r="I342" s="1643">
        <f>SUM(I330)</f>
        <v>0</v>
      </c>
      <c r="J342" s="1643">
        <f>SUM(J330)</f>
        <v>0</v>
      </c>
      <c r="K342" s="1643">
        <f>SUM(K330,K334,K340)</f>
        <v>129633</v>
      </c>
      <c r="L342" s="1650">
        <f>SUM(L330,L340,L341)</f>
        <v>129633</v>
      </c>
    </row>
    <row r="343" spans="1:14" ht="12.75" customHeight="1" thickTop="1" x14ac:dyDescent="0.2">
      <c r="A343" s="2246" t="s">
        <v>996</v>
      </c>
      <c r="B343" s="2247"/>
      <c r="C343" s="593"/>
      <c r="D343" s="593"/>
      <c r="E343" s="593"/>
      <c r="F343" s="593"/>
      <c r="G343" s="593"/>
      <c r="H343" s="593"/>
      <c r="I343" s="593"/>
      <c r="J343" s="593"/>
      <c r="K343" s="1657">
        <f>'Revenues 9-14'!J268-'Expenditures 15-22'!K342</f>
        <v>64233</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36" t="s">
        <v>966</v>
      </c>
      <c r="B345" s="2237"/>
      <c r="C345" s="1524"/>
      <c r="D345" s="1525"/>
      <c r="E345" s="1525"/>
      <c r="F345" s="1525"/>
      <c r="G345" s="1525"/>
      <c r="H345" s="1525"/>
      <c r="I345" s="1525"/>
      <c r="J345" s="1525"/>
      <c r="K345" s="1525"/>
      <c r="L345" s="1526"/>
      <c r="M345" s="642"/>
      <c r="N345" s="642"/>
    </row>
    <row r="346" spans="1:14" s="343" customFormat="1" ht="15.75" customHeight="1" x14ac:dyDescent="0.2">
      <c r="A346" s="1596" t="s">
        <v>844</v>
      </c>
      <c r="B346" s="1588" t="s">
        <v>569</v>
      </c>
      <c r="C346" s="593"/>
      <c r="D346" s="593"/>
      <c r="E346" s="593"/>
      <c r="F346" s="593"/>
      <c r="G346" s="593"/>
      <c r="H346" s="593"/>
      <c r="I346" s="593"/>
      <c r="J346" s="593"/>
      <c r="K346" s="593"/>
      <c r="L346" s="593"/>
      <c r="M346" s="586"/>
      <c r="N346" s="586"/>
    </row>
    <row r="347" spans="1:14" ht="15.75" customHeight="1" x14ac:dyDescent="0.2">
      <c r="A347" s="674" t="s">
        <v>612</v>
      </c>
      <c r="B347" s="675"/>
      <c r="C347" s="600"/>
      <c r="D347" s="600"/>
      <c r="E347" s="600"/>
      <c r="F347" s="600"/>
      <c r="G347" s="600"/>
      <c r="H347" s="600"/>
      <c r="I347" s="593"/>
      <c r="J347" s="593"/>
      <c r="K347" s="600"/>
      <c r="L347" s="600"/>
    </row>
    <row r="348" spans="1:14" x14ac:dyDescent="0.2">
      <c r="A348" s="1477" t="s">
        <v>4</v>
      </c>
      <c r="B348" s="591">
        <v>2530</v>
      </c>
      <c r="C348" s="1968">
        <v>0</v>
      </c>
      <c r="D348" s="1968">
        <v>0</v>
      </c>
      <c r="E348" s="1968">
        <v>0</v>
      </c>
      <c r="F348" s="1968">
        <v>0</v>
      </c>
      <c r="G348" s="1968">
        <v>0</v>
      </c>
      <c r="H348" s="1968">
        <v>0</v>
      </c>
      <c r="I348" s="1969">
        <v>0</v>
      </c>
      <c r="J348" s="1969">
        <v>0</v>
      </c>
      <c r="K348" s="1644">
        <f>SUM(C348:J348)</f>
        <v>0</v>
      </c>
      <c r="L348" s="1990">
        <v>0</v>
      </c>
    </row>
    <row r="349" spans="1:14" x14ac:dyDescent="0.2">
      <c r="A349" s="1477" t="s">
        <v>197</v>
      </c>
      <c r="B349" s="591">
        <v>2540</v>
      </c>
      <c r="C349" s="1968">
        <v>0</v>
      </c>
      <c r="D349" s="1968">
        <v>0</v>
      </c>
      <c r="E349" s="1968">
        <v>32169</v>
      </c>
      <c r="F349" s="1968">
        <v>0</v>
      </c>
      <c r="G349" s="1968">
        <v>783638</v>
      </c>
      <c r="H349" s="1968">
        <v>0</v>
      </c>
      <c r="I349" s="1969">
        <v>0</v>
      </c>
      <c r="J349" s="1969">
        <v>0</v>
      </c>
      <c r="K349" s="1644">
        <f>SUM(C349:J349)</f>
        <v>815807</v>
      </c>
      <c r="L349" s="1990">
        <v>868854</v>
      </c>
    </row>
    <row r="350" spans="1:14" ht="12.75" customHeight="1" thickBot="1" x14ac:dyDescent="0.25">
      <c r="A350" s="1641" t="s">
        <v>719</v>
      </c>
      <c r="B350" s="1642" t="s">
        <v>35</v>
      </c>
      <c r="C350" s="1643">
        <f>SUM(C348:C349)</f>
        <v>0</v>
      </c>
      <c r="D350" s="1643">
        <f t="shared" ref="D350:L350" si="26">SUM(D348:D349)</f>
        <v>0</v>
      </c>
      <c r="E350" s="1643">
        <f t="shared" si="26"/>
        <v>32169</v>
      </c>
      <c r="F350" s="1643">
        <f t="shared" si="26"/>
        <v>0</v>
      </c>
      <c r="G350" s="1643">
        <f t="shared" si="26"/>
        <v>783638</v>
      </c>
      <c r="H350" s="1643">
        <f t="shared" si="26"/>
        <v>0</v>
      </c>
      <c r="I350" s="1643">
        <f t="shared" si="26"/>
        <v>0</v>
      </c>
      <c r="J350" s="1643">
        <f t="shared" si="26"/>
        <v>0</v>
      </c>
      <c r="K350" s="1643">
        <f t="shared" si="26"/>
        <v>815807</v>
      </c>
      <c r="L350" s="1643">
        <f t="shared" si="26"/>
        <v>868854</v>
      </c>
    </row>
    <row r="351" spans="1:14" ht="12.75" customHeight="1" thickTop="1" x14ac:dyDescent="0.2">
      <c r="A351" s="1483" t="s">
        <v>980</v>
      </c>
      <c r="B351" s="619" t="s">
        <v>574</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41" t="s">
        <v>624</v>
      </c>
      <c r="B352" s="1648" t="s">
        <v>569</v>
      </c>
      <c r="C352" s="1643">
        <f>SUM(C350:C351)</f>
        <v>0</v>
      </c>
      <c r="D352" s="1643">
        <f t="shared" ref="D352:L352" si="27">SUM(D350:D351)</f>
        <v>0</v>
      </c>
      <c r="E352" s="1643">
        <f t="shared" si="27"/>
        <v>32169</v>
      </c>
      <c r="F352" s="1643">
        <f t="shared" si="27"/>
        <v>0</v>
      </c>
      <c r="G352" s="1643">
        <f t="shared" si="27"/>
        <v>783638</v>
      </c>
      <c r="H352" s="1643">
        <f t="shared" si="27"/>
        <v>0</v>
      </c>
      <c r="I352" s="1643">
        <f t="shared" si="27"/>
        <v>0</v>
      </c>
      <c r="J352" s="1643">
        <f t="shared" si="27"/>
        <v>0</v>
      </c>
      <c r="K352" s="1643">
        <f t="shared" si="27"/>
        <v>815807</v>
      </c>
      <c r="L352" s="1643">
        <f t="shared" si="27"/>
        <v>868854</v>
      </c>
    </row>
    <row r="353" spans="1:14" s="343" customFormat="1" ht="15.75" customHeight="1" thickTop="1" x14ac:dyDescent="0.2">
      <c r="A353" s="1585" t="s">
        <v>625</v>
      </c>
      <c r="B353" s="1582" t="s">
        <v>860</v>
      </c>
      <c r="C353" s="593"/>
      <c r="D353" s="593"/>
      <c r="E353" s="593"/>
      <c r="F353" s="593"/>
      <c r="G353" s="593"/>
      <c r="H353" s="593"/>
      <c r="I353" s="593"/>
      <c r="J353" s="593"/>
      <c r="K353" s="593"/>
      <c r="L353" s="593"/>
      <c r="M353" s="586"/>
      <c r="N353" s="586"/>
    </row>
    <row r="354" spans="1:14" x14ac:dyDescent="0.2">
      <c r="A354" s="1807" t="s">
        <v>1850</v>
      </c>
      <c r="B354" s="658" t="s">
        <v>1842</v>
      </c>
      <c r="C354" s="593"/>
      <c r="D354" s="593"/>
      <c r="E354" s="593"/>
      <c r="F354" s="593"/>
      <c r="G354" s="593"/>
      <c r="H354" s="1971">
        <v>0</v>
      </c>
      <c r="I354" s="676"/>
      <c r="J354" s="593"/>
      <c r="K354" s="1672">
        <f>H354</f>
        <v>0</v>
      </c>
      <c r="L354" s="1992">
        <v>0</v>
      </c>
    </row>
    <row r="355" spans="1:14" ht="12.75" customHeight="1" x14ac:dyDescent="0.2">
      <c r="A355" s="1486" t="s">
        <v>1851</v>
      </c>
      <c r="B355" s="665" t="s">
        <v>1844</v>
      </c>
      <c r="C355" s="593"/>
      <c r="D355" s="593"/>
      <c r="E355" s="593"/>
      <c r="F355" s="593"/>
      <c r="G355" s="593"/>
      <c r="H355" s="1969">
        <v>0</v>
      </c>
      <c r="I355" s="676"/>
      <c r="J355" s="593"/>
      <c r="K355" s="1716">
        <f>H355</f>
        <v>0</v>
      </c>
      <c r="L355" s="1991">
        <v>0</v>
      </c>
    </row>
    <row r="356" spans="1:14" ht="12.75" customHeight="1" x14ac:dyDescent="0.2">
      <c r="A356" s="1807" t="s">
        <v>698</v>
      </c>
      <c r="B356" s="658" t="s">
        <v>558</v>
      </c>
      <c r="C356" s="593"/>
      <c r="D356" s="593"/>
      <c r="E356" s="593"/>
      <c r="F356" s="593"/>
      <c r="G356" s="593"/>
      <c r="H356" s="1973">
        <v>0</v>
      </c>
      <c r="I356" s="676"/>
      <c r="J356" s="593"/>
      <c r="K356" s="1713">
        <f>H356</f>
        <v>0</v>
      </c>
      <c r="L356" s="1995">
        <v>0</v>
      </c>
    </row>
    <row r="357" spans="1:14" ht="12.75" customHeight="1" thickBot="1" x14ac:dyDescent="0.25">
      <c r="A357" s="1641" t="s">
        <v>1487</v>
      </c>
      <c r="B357" s="1642" t="s">
        <v>860</v>
      </c>
      <c r="C357" s="593"/>
      <c r="D357" s="593"/>
      <c r="E357" s="593"/>
      <c r="F357" s="593"/>
      <c r="G357" s="593"/>
      <c r="H357" s="1661">
        <f>SUM(H354:H356)</f>
        <v>0</v>
      </c>
      <c r="I357" s="676"/>
      <c r="J357" s="593"/>
      <c r="K357" s="1661">
        <f>SUM(K354:K356)</f>
        <v>0</v>
      </c>
      <c r="L357" s="1661">
        <f>SUM(L354:L356)</f>
        <v>0</v>
      </c>
    </row>
    <row r="358" spans="1:14" s="343" customFormat="1" ht="15.75" customHeight="1" thickTop="1" x14ac:dyDescent="0.2">
      <c r="A358" s="1585" t="s">
        <v>948</v>
      </c>
      <c r="B358" s="1582" t="s">
        <v>492</v>
      </c>
      <c r="C358" s="593"/>
      <c r="D358" s="593"/>
      <c r="E358" s="593"/>
      <c r="F358" s="593"/>
      <c r="G358" s="593"/>
      <c r="H358" s="593"/>
      <c r="I358" s="593"/>
      <c r="J358" s="593"/>
      <c r="K358" s="593"/>
      <c r="L358" s="593"/>
      <c r="M358" s="586"/>
      <c r="N358" s="586"/>
    </row>
    <row r="359" spans="1:14" s="343" customFormat="1" ht="15.75" customHeight="1" x14ac:dyDescent="0.2">
      <c r="A359" s="629" t="s">
        <v>627</v>
      </c>
      <c r="B359" s="599"/>
      <c r="C359" s="593"/>
      <c r="D359" s="593"/>
      <c r="E359" s="593"/>
      <c r="F359" s="593"/>
      <c r="G359" s="593"/>
      <c r="H359" s="593"/>
      <c r="I359" s="593"/>
      <c r="J359" s="593"/>
      <c r="K359" s="600"/>
      <c r="L359" s="600"/>
      <c r="M359" s="586"/>
      <c r="N359" s="586"/>
    </row>
    <row r="360" spans="1:14" x14ac:dyDescent="0.2">
      <c r="A360" s="1477" t="s">
        <v>87</v>
      </c>
      <c r="B360" s="591">
        <v>5110</v>
      </c>
      <c r="C360" s="593"/>
      <c r="D360" s="593"/>
      <c r="E360" s="593"/>
      <c r="F360" s="593"/>
      <c r="G360" s="593"/>
      <c r="H360" s="1985">
        <v>0</v>
      </c>
      <c r="I360" s="593"/>
      <c r="J360" s="593"/>
      <c r="K360" s="1644">
        <f>SUM(C360:J360)</f>
        <v>0</v>
      </c>
      <c r="L360" s="1990">
        <v>0</v>
      </c>
    </row>
    <row r="361" spans="1:14" ht="12.75" customHeight="1" x14ac:dyDescent="0.2">
      <c r="A361" s="1478" t="s">
        <v>619</v>
      </c>
      <c r="B361" s="579" t="s">
        <v>618</v>
      </c>
      <c r="C361" s="593"/>
      <c r="D361" s="593"/>
      <c r="E361" s="593"/>
      <c r="F361" s="593"/>
      <c r="G361" s="593"/>
      <c r="H361" s="1985">
        <v>0</v>
      </c>
      <c r="I361" s="593"/>
      <c r="J361" s="593"/>
      <c r="K361" s="1644">
        <f>SUM(C361:J361)</f>
        <v>0</v>
      </c>
      <c r="L361" s="1990">
        <v>0</v>
      </c>
    </row>
    <row r="362" spans="1:14" ht="12.75" customHeight="1" thickBot="1" x14ac:dyDescent="0.25">
      <c r="A362" s="1641" t="s">
        <v>626</v>
      </c>
      <c r="B362" s="1642" t="s">
        <v>718</v>
      </c>
      <c r="C362" s="593"/>
      <c r="D362" s="593"/>
      <c r="E362" s="593"/>
      <c r="F362" s="593"/>
      <c r="G362" s="593"/>
      <c r="H362" s="1676">
        <f>SUM(H360:H361)</f>
        <v>0</v>
      </c>
      <c r="I362" s="593"/>
      <c r="J362" s="593"/>
      <c r="K362" s="1676">
        <f>SUM(K360:K361)</f>
        <v>0</v>
      </c>
      <c r="L362" s="1676">
        <f>SUM(L360:L361)</f>
        <v>0</v>
      </c>
    </row>
    <row r="363" spans="1:14" s="649" customFormat="1" ht="15.75" customHeight="1" thickTop="1" x14ac:dyDescent="0.2">
      <c r="A363" s="635" t="s">
        <v>83</v>
      </c>
      <c r="B363" s="636" t="s">
        <v>38</v>
      </c>
      <c r="C363" s="615"/>
      <c r="D363" s="615"/>
      <c r="E363" s="615"/>
      <c r="F363" s="615"/>
      <c r="G363" s="615"/>
      <c r="H363" s="1986">
        <v>0</v>
      </c>
      <c r="I363" s="615"/>
      <c r="J363" s="615"/>
      <c r="K363" s="1672">
        <f>SUM(C363:J363)</f>
        <v>0</v>
      </c>
      <c r="L363" s="1995">
        <v>0</v>
      </c>
      <c r="M363" s="640"/>
      <c r="N363" s="640"/>
    </row>
    <row r="364" spans="1:14" s="681" customFormat="1" ht="29.25" customHeight="1" x14ac:dyDescent="0.2">
      <c r="A364" s="677" t="s">
        <v>1672</v>
      </c>
      <c r="B364" s="678">
        <v>5300</v>
      </c>
      <c r="C364" s="679"/>
      <c r="D364" s="680"/>
      <c r="E364" s="680"/>
      <c r="F364" s="679"/>
      <c r="G364" s="680"/>
      <c r="H364" s="1989">
        <v>0</v>
      </c>
      <c r="I364" s="680"/>
      <c r="J364" s="680"/>
      <c r="K364" s="1644">
        <f>SUM(C364:J364)</f>
        <v>0</v>
      </c>
      <c r="L364" s="2006">
        <v>0</v>
      </c>
    </row>
    <row r="365" spans="1:14" s="649" customFormat="1" ht="12.75" customHeight="1" thickBot="1" x14ac:dyDescent="0.25">
      <c r="A365" s="1494" t="s">
        <v>590</v>
      </c>
      <c r="B365" s="634" t="s">
        <v>492</v>
      </c>
      <c r="C365" s="615"/>
      <c r="D365" s="615"/>
      <c r="E365" s="615"/>
      <c r="F365" s="615"/>
      <c r="G365" s="615"/>
      <c r="H365" s="1676">
        <f>SUM(H362,H363,H364)</f>
        <v>0</v>
      </c>
      <c r="I365" s="615"/>
      <c r="J365" s="615"/>
      <c r="K365" s="1676">
        <f>SUM(K362,K363,K364)</f>
        <v>0</v>
      </c>
      <c r="L365" s="1676">
        <f>SUM(L362,L363,L364)</f>
        <v>0</v>
      </c>
      <c r="M365" s="640"/>
      <c r="N365" s="640"/>
    </row>
    <row r="366" spans="1:14" s="343" customFormat="1" ht="15.75" customHeight="1" thickTop="1" thickBot="1" x14ac:dyDescent="0.25">
      <c r="A366" s="1579" t="s">
        <v>949</v>
      </c>
      <c r="B366" s="1586" t="s">
        <v>861</v>
      </c>
      <c r="C366" s="600"/>
      <c r="D366" s="600"/>
      <c r="E366" s="600"/>
      <c r="F366" s="600"/>
      <c r="G366" s="600"/>
      <c r="H366" s="600"/>
      <c r="I366" s="600"/>
      <c r="J366" s="593"/>
      <c r="K366" s="600"/>
      <c r="L366" s="2002">
        <v>0</v>
      </c>
      <c r="M366" s="586"/>
      <c r="N366" s="586"/>
    </row>
    <row r="367" spans="1:14" ht="12.75" customHeight="1" thickTop="1" thickBot="1" x14ac:dyDescent="0.25">
      <c r="A367" s="1665" t="s">
        <v>505</v>
      </c>
      <c r="B367" s="1677"/>
      <c r="C367" s="1643">
        <f t="shared" ref="C367:L367" si="28">SUM(C352,C357,C365,C366)</f>
        <v>0</v>
      </c>
      <c r="D367" s="1643">
        <f t="shared" si="28"/>
        <v>0</v>
      </c>
      <c r="E367" s="1643">
        <f t="shared" si="28"/>
        <v>32169</v>
      </c>
      <c r="F367" s="1643">
        <f t="shared" si="28"/>
        <v>0</v>
      </c>
      <c r="G367" s="1643">
        <f t="shared" si="28"/>
        <v>783638</v>
      </c>
      <c r="H367" s="1643">
        <f t="shared" si="28"/>
        <v>0</v>
      </c>
      <c r="I367" s="1643">
        <f t="shared" si="28"/>
        <v>0</v>
      </c>
      <c r="J367" s="1643">
        <f t="shared" si="28"/>
        <v>0</v>
      </c>
      <c r="K367" s="1643">
        <f t="shared" si="28"/>
        <v>815807</v>
      </c>
      <c r="L367" s="1643">
        <f t="shared" si="28"/>
        <v>868854</v>
      </c>
    </row>
    <row r="368" spans="1:14" ht="13.5" thickTop="1" x14ac:dyDescent="0.2">
      <c r="A368" s="2233" t="s">
        <v>996</v>
      </c>
      <c r="B368" s="2234"/>
      <c r="C368" s="630"/>
      <c r="D368" s="630"/>
      <c r="E368" s="603"/>
      <c r="F368" s="603"/>
      <c r="G368" s="603"/>
      <c r="H368" s="603"/>
      <c r="I368" s="603"/>
      <c r="J368" s="600"/>
      <c r="K368" s="1644">
        <f>'Revenues 9-14'!K268-'Expenditures 15-22'!K367</f>
        <v>-796664</v>
      </c>
      <c r="L368" s="630"/>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9"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documentManagement/types"/>
    <ds:schemaRef ds:uri="http://www.w3.org/XML/1998/namespace"/>
    <ds:schemaRef ds:uri="http://schemas.microsoft.com/sharepoint/v3"/>
    <ds:schemaRef ds:uri="http://purl.org/dc/dcmitype/"/>
    <ds:schemaRef ds:uri="http://purl.org/dc/elements/1.1/"/>
    <ds:schemaRef ds:uri="http://purl.org/dc/terms/"/>
    <ds:schemaRef ds:uri="6ce3111e-7420-4802-b50a-75d4e9a0b980"/>
    <ds:schemaRef ds:uri="http://schemas.microsoft.com/office/infopath/2007/PartnerControls"/>
    <ds:schemaRef ds:uri="4d435f69-8686-490b-bd6d-b153bf22ab50"/>
    <ds:schemaRef ds:uri="d21dc803-237d-4c68-8692-8d731fd29118"/>
    <ds:schemaRef ds:uri="http://schemas.microsoft.com/office/2006/metadata/propertie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2019-10-03T16:22:40Z</cp:lastPrinted>
  <dcterms:created xsi:type="dcterms:W3CDTF">2003-10-29T19:06:34Z</dcterms:created>
  <dcterms:modified xsi:type="dcterms:W3CDTF">2019-11-15T19:19:24Z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2a</vt:lpwstr>
  </property>
</Properties>
</file>