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46F58D8-1C11-46CA-BDE0-CF38A3189441}"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8" l="1"/>
  <c r="D215" i="29" l="1"/>
  <c r="C74" i="5"/>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G26" i="108"/>
  <c r="D27" i="108"/>
  <c r="E27" i="108"/>
  <c r="F27" i="108"/>
  <c r="G27" i="108"/>
  <c r="F31" i="108"/>
  <c r="F36" i="108"/>
  <c r="G28" i="108"/>
  <c r="G30" i="108"/>
  <c r="D31" i="108"/>
  <c r="D36"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B5752" i="106"/>
  <c r="D5752" i="106" s="1"/>
  <c r="G39" i="108" l="1"/>
  <c r="G29" i="108"/>
  <c r="F28" i="108"/>
  <c r="D54" i="36"/>
  <c r="B6289" i="106"/>
  <c r="D6289" i="106" s="1"/>
  <c r="J77" i="4"/>
  <c r="B6262" i="106" s="1"/>
  <c r="D6262" i="106" s="1"/>
  <c r="E34" i="108"/>
  <c r="B7047" i="106"/>
  <c r="D7047" i="106" s="1"/>
  <c r="J41" i="3"/>
  <c r="B6216" i="106" s="1"/>
  <c r="D6216" i="106" s="1"/>
  <c r="B2724" i="106"/>
  <c r="D2724" i="106" s="1"/>
  <c r="D24" i="37"/>
  <c r="B4270" i="106" s="1"/>
  <c r="D4270" i="106" s="1"/>
  <c r="D6103" i="106"/>
  <c r="H33" i="118"/>
  <c r="L22" i="37"/>
  <c r="F77" i="4"/>
  <c r="B3255" i="106" s="1"/>
  <c r="D3255" i="106" s="1"/>
  <c r="D69" i="36"/>
  <c r="H76" i="4"/>
  <c r="B3298" i="106" s="1"/>
  <c r="D3298" i="106" s="1"/>
  <c r="H365" i="29"/>
  <c r="B7242" i="106" s="1"/>
  <c r="D7242" i="106" s="1"/>
  <c r="I129" i="29"/>
  <c r="B7037" i="106" s="1"/>
  <c r="D7037" i="106" s="1"/>
  <c r="K76" i="4"/>
  <c r="B3586" i="106" s="1"/>
  <c r="D3586" i="106" s="1"/>
  <c r="B6261" i="106"/>
  <c r="D6261" i="106" s="1"/>
  <c r="L13" i="11"/>
  <c r="B2060" i="106" s="1"/>
  <c r="D2060" i="106" s="1"/>
  <c r="K184" i="29"/>
  <c r="F13" i="4" s="1"/>
  <c r="B2596" i="106" s="1"/>
  <c r="D2596" i="106" s="1"/>
  <c r="E38" i="108"/>
  <c r="E26" i="108"/>
  <c r="J352" i="29"/>
  <c r="J367" i="29" s="1"/>
  <c r="B7245" i="106" s="1"/>
  <c r="D7245" i="106" s="1"/>
  <c r="F38" i="34"/>
  <c r="B1274" i="106"/>
  <c r="D1274" i="106" s="1"/>
  <c r="L5" i="11"/>
  <c r="B2056" i="106" s="1"/>
  <c r="D2056" i="106" s="1"/>
  <c r="G210" i="29"/>
  <c r="F34" i="34"/>
  <c r="I210" i="29"/>
  <c r="B7071" i="106" s="1"/>
  <c r="D7071" i="106" s="1"/>
  <c r="B3647" i="106"/>
  <c r="D3647" i="106" s="1"/>
  <c r="E29" i="108"/>
  <c r="F50" i="34"/>
  <c r="F46" i="34"/>
  <c r="F19" i="7"/>
  <c r="B1807" i="106" s="1"/>
  <c r="D1807" i="106" s="1"/>
  <c r="L367" i="29"/>
  <c r="L342" i="29"/>
  <c r="C342" i="29"/>
  <c r="B7216" i="106" s="1"/>
  <c r="D7216" i="106" s="1"/>
  <c r="C352" i="29"/>
  <c r="B3621" i="106" s="1"/>
  <c r="D3621" i="106" s="1"/>
  <c r="H342" i="29"/>
  <c r="B7221" i="106" s="1"/>
  <c r="D7221" i="106" s="1"/>
  <c r="J210" i="29"/>
  <c r="B7072" i="106" s="1"/>
  <c r="D7072" i="106" s="1"/>
  <c r="J129" i="29"/>
  <c r="B7038" i="106" s="1"/>
  <c r="D7038" i="106" s="1"/>
  <c r="H112" i="29"/>
  <c r="B7018" i="106" s="1"/>
  <c r="D7018" i="106" s="1"/>
  <c r="G15" i="145"/>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B1328" i="106"/>
  <c r="D1328" i="106" s="1"/>
  <c r="D7254" i="106"/>
  <c r="D7250" i="106"/>
  <c r="D7256" i="106"/>
  <c r="D7251" i="106"/>
  <c r="I151" i="29"/>
  <c r="F59" i="34" s="1"/>
  <c r="D44" i="36"/>
  <c r="K77" i="4"/>
  <c r="B3587" i="106" s="1"/>
  <c r="D3587" i="106" s="1"/>
  <c r="I7" i="4"/>
  <c r="B4444" i="106" s="1"/>
  <c r="D4444" i="106" s="1"/>
  <c r="H77" i="4"/>
  <c r="B3299" i="106" s="1"/>
  <c r="D3299" i="106" s="1"/>
  <c r="F41" i="108"/>
  <c r="G43" i="108" s="1"/>
  <c r="C367" i="29"/>
  <c r="B3622" i="106" s="1"/>
  <c r="D3622" i="106" s="1"/>
  <c r="K365" i="29"/>
  <c r="B1381" i="106"/>
  <c r="D1381" i="106" s="1"/>
  <c r="K342" i="29"/>
  <c r="F13" i="34" s="1"/>
  <c r="B7215" i="106"/>
  <c r="D7215" i="106" s="1"/>
  <c r="L114" i="29"/>
  <c r="L16" i="11"/>
  <c r="B2061" i="106" s="1"/>
  <c r="D2061" i="106" s="1"/>
  <c r="B5778" i="106"/>
  <c r="D5778" i="106" s="1"/>
  <c r="G6" i="4"/>
  <c r="B2604" i="106" s="1"/>
  <c r="D2604" i="106" s="1"/>
  <c r="B5770" i="106"/>
  <c r="D5770" i="106" s="1"/>
  <c r="B1365" i="106"/>
  <c r="D1365" i="106" s="1"/>
  <c r="F65" i="34"/>
  <c r="C114" i="29"/>
  <c r="B757" i="106" s="1"/>
  <c r="D757" i="106" s="1"/>
  <c r="B5527" i="106"/>
  <c r="D5527" i="106" s="1"/>
  <c r="N23" i="3"/>
  <c r="B284" i="106" s="1"/>
  <c r="D284"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20" i="4"/>
  <c r="J78" i="4" s="1"/>
  <c r="J19" i="4"/>
  <c r="B6229" i="106" s="1"/>
  <c r="D6229" i="106" s="1"/>
  <c r="B6223" i="106"/>
  <c r="D6223" i="106" s="1"/>
  <c r="F8" i="4"/>
  <c r="B2595" i="106" s="1"/>
  <c r="D2595" i="106" s="1"/>
  <c r="J10" i="4"/>
  <c r="B6225" i="106" s="1"/>
  <c r="D62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10" i="146"/>
  <c r="D78" i="4"/>
  <c r="D81" i="4" s="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<sst xmlns="http://schemas.openxmlformats.org/spreadsheetml/2006/main" count="5083" uniqueCount="2092">
  <si>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</si>
  <si>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</si>
  <si>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</si>
  <si>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</si>
  <si>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</si>
  <si>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</si>
  <si>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</si>
  <si>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</si>
  <si>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</si>
  <si>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</si>
  <si>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</si>
  <si>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</si>
  <si>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</si>
  <si>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</si>
  <si>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</si>
  <si>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</si>
  <si>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</si>
  <si>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</si>
  <si>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</si>
  <si>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</si>
  <si>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</si>
  <si>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</si>
  <si>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</si>
  <si>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</si>
  <si>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</si>
  <si>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</si>
  <si>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</si>
  <si>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</si>
  <si>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</si>
  <si>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</si>
  <si>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</si>
  <si>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</si>
  <si>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</si>
  <si>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</si>
  <si>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</si>
  <si>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</si>
  <si>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</si>
  <si>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</si>
  <si>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</si>
  <si>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</si>
  <si>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</si>
  <si>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</si>
  <si>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</si>
  <si>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</si>
  <si>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</si>
  <si>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</si>
  <si>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</si>
  <si>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</si>
  <si>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</si>
  <si>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</si>
  <si>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</si>
  <si>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</si>
  <si>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</si>
  <si>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</si>
  <si>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</si>
  <si>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</si>
  <si>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</si>
  <si>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</si>
  <si>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</si>
  <si>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</si>
  <si>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</si>
  <si>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</si>
  <si>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</si>
  <si>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</si>
  <si>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</si>
  <si>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</si>
  <si>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</si>
  <si>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</si>
  <si>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</si>
  <si>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</si>
  <si>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</si>
  <si>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</si>
  <si>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</si>
  <si>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</si>
  <si>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</si>
  <si>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</si>
  <si>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</si>
  <si>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</si>
  <si>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</si>
  <si>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</si>
  <si>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</si>
  <si>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</si>
  <si>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</si>
  <si>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</si>
  <si>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</si>
  <si>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</si>
  <si>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</si>
  <si>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</si>
  <si>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</si>
  <si>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</si>
  <si>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</si>
  <si>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</si>
  <si>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</si>
  <si>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</si>
  <si>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</si>
  <si>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</si>
  <si>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</si>
  <si>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</si>
  <si>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</si>
  <si>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</si>
  <si>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</si>
  <si>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</si>
  <si>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</si>
  <si>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</si>
  <si>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</si>
  <si>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</si>
  <si>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</si>
  <si>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</si>
  <si>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</si>
  <si>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</si>
  <si>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</si>
  <si>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</si>
  <si>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</si>
  <si>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</si>
  <si>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</si>
  <si>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</si>
  <si>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</si>
  <si>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</si>
  <si>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</si>
  <si>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</si>
  <si>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</si>
  <si>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</si>
  <si>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</si>
  <si>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</si>
  <si>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</si>
  <si>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</si>
  <si>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</si>
  <si>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</si>
  <si>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</si>
  <si>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</si>
  <si>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</si>
  <si>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</si>
  <si>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</si>
  <si>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</si>
  <si>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</si>
  <si>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</si>
  <si>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</si>
  <si>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</si>
  <si>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</si>
  <si>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</si>
  <si>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</si>
  <si>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</si>
  <si>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</si>
  <si>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</si>
  <si>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</si>
  <si>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</si>
  <si>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</si>
  <si>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</si>
  <si>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</si>
  <si>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</si>
  <si>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</si>
  <si>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</si>
  <si>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</si>
  <si>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</si>
  <si>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</si>
  <si>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</si>
  <si>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</si>
  <si>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</si>
  <si>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</si>
  <si>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</si>
  <si>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</si>
  <si>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</si>
  <si>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</si>
  <si>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</si>
  <si>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</si>
  <si>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</si>
  <si>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</si>
  <si>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</si>
  <si>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</si>
  <si>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</si>
  <si>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</si>
  <si>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</si>
  <si>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</si>
  <si>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</si>
  <si>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</si>
  <si>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</si>
  <si>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</si>
  <si>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</si>
  <si>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</si>
  <si>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</si>
  <si>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</si>
  <si>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</si>
  <si>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</si>
  <si>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</si>
  <si>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</si>
  <si>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</si>
  <si>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</si>
  <si>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</si>
  <si>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</si>
  <si>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</si>
  <si>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</si>
  <si>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</si>
  <si>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</si>
  <si>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</si>
  <si>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</si>
  <si>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</si>
  <si>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</si>
  <si>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</si>
  <si>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</si>
  <si>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</si>
  <si>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</si>
  <si>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</si>
  <si>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</si>
  <si>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</si>
  <si>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</si>
  <si>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</si>
  <si>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</si>
  <si>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</si>
  <si>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</si>
  <si>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</si>
  <si>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</si>
  <si>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</si>
  <si>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</si>
  <si>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</si>
  <si>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</si>
  <si>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</si>
  <si>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</si>
  <si>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</si>
  <si>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</si>
  <si>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</si>
  <si>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</si>
  <si>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</si>
  <si>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</si>
  <si>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</si>
  <si>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</si>
  <si>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</si>
  <si>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</si>
  <si>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</si>
  <si>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</si>
  <si>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</si>
  <si>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</si>
  <si>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</si>
  <si>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</si>
  <si>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</si>
  <si>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</si>
  <si>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</si>
  <si>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</si>
  <si>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</si>
  <si>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</si>
  <si>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</si>
  <si>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</si>
  <si>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</si>
  <si>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</si>
  <si>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</si>
  <si>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</si>
  <si>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</si>
  <si>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</si>
  <si>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</si>
  <si>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</si>
  <si>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</si>
  <si>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</si>
  <si>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</si>
  <si>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</si>
  <si>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</si>
  <si>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</si>
  <si>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</si>
  <si>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</si>
  <si>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</si>
  <si>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</si>
  <si>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</si>
  <si>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</si>
  <si>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</si>
  <si>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</si>
  <si>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</si>
  <si>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</si>
  <si>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</si>
  <si>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</si>
  <si>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</si>
  <si>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</si>
  <si>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</si>
  <si>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</si>
  <si>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</si>
  <si>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</si>
  <si>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</si>
  <si>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</si>
  <si>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</si>
  <si>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</si>
  <si>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</si>
  <si>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</si>
  <si>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</si>
  <si>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</si>
  <si>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</si>
  <si>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</si>
  <si>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</si>
  <si>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</si>
  <si>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</si>
  <si>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</si>
  <si>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</si>
  <si>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</si>
  <si>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</si>
  <si>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</si>
  <si>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</si>
  <si>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</si>
  <si>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</si>
  <si>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</si>
  <si>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</si>
  <si>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</si>
  <si>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</si>
  <si>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</si>
  <si>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</si>
  <si>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</si>
  <si>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</si>
  <si>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</si>
  <si>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</si>
  <si>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</si>
  <si>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</si>
  <si>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</si>
  <si>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</si>
  <si>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</si>
  <si>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</si>
  <si>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</si>
  <si>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</si>
  <si>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</si>
  <si>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</si>
  <si>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</si>
  <si>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</si>
  <si>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</si>
  <si>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</si>
  <si>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</si>
  <si>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</si>
  <si>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</si>
  <si>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</si>
  <si>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</si>
  <si>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</si>
  <si>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</si>
  <si>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</si>
  <si>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</si>
  <si>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</si>
  <si>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</si>
  <si>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</si>
  <si>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</si>
  <si>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</si>
  <si>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</si>
  <si>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</si>
  <si>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</si>
  <si>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</si>
  <si>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</si>
  <si>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</si>
  <si>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</si>
  <si>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</si>
  <si>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</si>
  <si>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</si>
  <si>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</si>
  <si>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</si>
  <si>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</si>
  <si>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</si>
  <si>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</si>
  <si>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</si>
  <si>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</si>
  <si>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</si>
  <si>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</si>
  <si>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</si>
  <si>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</si>
  <si>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</si>
  <si>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</si>
  <si>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</si>
  <si>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</si>
  <si>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</si>
  <si>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</si>
  <si>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</si>
  <si>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</si>
  <si>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</si>
  <si>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</si>
  <si>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</si>
  <si>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</si>
  <si>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</si>
  <si>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</si>
  <si>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</si>
  <si>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</si>
  <si>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</si>
  <si>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</si>
  <si>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</si>
  <si>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</si>
  <si>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</si>
  <si>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</si>
  <si>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</si>
  <si>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</si>
  <si>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</si>
  <si>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</si>
  <si>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</si>
  <si>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</si>
  <si>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</si>
  <si>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</si>
  <si>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</si>
  <si>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</si>
  <si>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</si>
  <si>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</si>
  <si>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</si>
  <si>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</si>
  <si>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</si>
  <si>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</si>
  <si>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</si>
  <si>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</si>
  <si>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</si>
  <si>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</si>
  <si>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</si>
  <si>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</si>
  <si>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</si>
  <si>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</si>
  <si>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</si>
  <si>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</si>
  <si>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</si>
  <si>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</si>
  <si>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</si>
  <si>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</si>
  <si>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</si>
  <si>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</si>
  <si>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</si>
  <si>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</si>
  <si>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</si>
  <si>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</si>
  <si>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</si>
  <si>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</si>
  <si>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</si>
  <si>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</si>
  <si>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</si>
  <si>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</si>
  <si>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</si>
  <si>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</si>
  <si>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</si>
  <si>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</si>
  <si>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</si>
  <si>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</si>
  <si>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</si>
  <si>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</si>
  <si>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</si>
  <si>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</si>
  <si>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</si>
  <si>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</si>
  <si>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</si>
  <si>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</si>
  <si>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</si>
  <si>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</si>
  <si>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</si>
  <si>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</si>
  <si>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</si>
  <si>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</si>
  <si>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</si>
  <si>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</si>
  <si>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</si>
  <si>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</si>
  <si>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</si>
  <si>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</si>
  <si>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</si>
  <si>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</si>
  <si>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</si>
  <si>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</si>
  <si>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</si>
  <si>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</si>
  <si>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</si>
  <si>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</si>
  <si>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</si>
  <si>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</si>
  <si>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</si>
  <si>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</si>
  <si>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</si>
  <si>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</si>
  <si>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</si>
  <si>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</si>
  <si>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</si>
  <si>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</si>
  <si>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</si>
  <si>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</si>
  <si>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</si>
  <si>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</si>
  <si>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</si>
  <si>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</si>
  <si>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</si>
  <si>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</si>
  <si>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</si>
  <si>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</si>
  <si>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</si>
  <si>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</si>
  <si>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</si>
  <si>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</si>
  <si>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</si>
  <si>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</si>
  <si>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</si>
  <si>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</si>
  <si>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</si>
  <si>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</si>
  <si>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</si>
  <si>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</si>
  <si>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</si>
  <si>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</si>
  <si>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</si>
  <si>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</si>
  <si>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</si>
  <si>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</si>
  <si>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</si>
  <si>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</si>
  <si>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</si>
  <si>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</si>
  <si>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</si>
  <si>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</si>
  <si>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</si>
  <si>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</si>
  <si>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</si>
  <si>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</si>
  <si>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</si>
  <si>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</si>
  <si>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</si>
  <si>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</si>
  <si>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</si>
  <si>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</si>
  <si>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</si>
  <si>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</si>
  <si>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</si>
  <si>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</si>
  <si>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</si>
  <si>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</si>
  <si>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</si>
  <si>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</si>
  <si>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</si>
  <si>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</si>
  <si>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</si>
  <si>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</si>
  <si>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</si>
  <si>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</si>
  <si>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</si>
  <si>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</si>
  <si>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</si>
  <si>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</si>
  <si>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</si>
  <si>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</si>
  <si>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</si>
  <si>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</si>
  <si>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</si>
  <si>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</si>
  <si>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</si>
  <si>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</si>
  <si>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</si>
  <si>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</si>
  <si>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</si>
  <si>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</si>
  <si>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</si>
  <si>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</si>
  <si>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</si>
  <si>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</si>
  <si>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</si>
  <si>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</si>
  <si>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</si>
  <si>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</si>
  <si>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</si>
  <si>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</si>
  <si>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</si>
  <si>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</si>
  <si>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</si>
  <si>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</si>
  <si>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</si>
  <si>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</si>
  <si>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</si>
  <si>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</si>
  <si>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</si>
  <si>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</si>
  <si>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</si>
  <si>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</si>
  <si>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</si>
  <si>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</si>
  <si>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</si>
  <si>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</si>
  <si>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</si>
  <si>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</si>
  <si>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</si>
  <si>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</si>
  <si>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</si>
  <si>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</si>
  <si>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</si>
  <si>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</si>
  <si>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</si>
  <si>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</si>
  <si>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</si>
  <si>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</si>
  <si>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</si>
  <si>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</si>
  <si>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</si>
  <si>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</si>
  <si>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</si>
  <si>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</si>
  <si>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</si>
  <si>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</si>
  <si>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</si>
  <si>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</si>
  <si>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</si>
  <si>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</si>
  <si>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</si>
  <si>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</si>
  <si>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</si>
  <si>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</si>
  <si>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</si>
  <si>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</si>
  <si>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</si>
  <si>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</si>
  <si>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</si>
  <si>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</si>
  <si>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</si>
  <si>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</si>
  <si>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</si>
  <si>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</si>
  <si>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</si>
  <si>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</si>
  <si>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</si>
  <si>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</si>
  <si>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</si>
  <si>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</si>
  <si>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</si>
  <si>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</si>
  <si>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</si>
  <si>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</si>
  <si>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</si>
  <si>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</si>
  <si>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</si>
  <si>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</si>
  <si>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</si>
  <si>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</si>
  <si>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</si>
  <si>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</si>
  <si>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</si>
  <si>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</si>
  <si>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</si>
  <si>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</si>
  <si>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</si>
  <si>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</si>
  <si>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</si>
  <si>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</si>
  <si>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</si>
  <si>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</si>
  <si>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</si>
  <si>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</si>
  <si>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</si>
  <si>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</si>
  <si>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</si>
  <si>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</si>
  <si>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</si>
  <si>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</si>
  <si>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</si>
  <si>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</si>
  <si>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</si>
  <si>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</si>
  <si>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</si>
  <si>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</si>
  <si>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</si>
  <si>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</si>
  <si>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</si>
  <si>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</si>
  <si>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</si>
  <si>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</si>
  <si>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</si>
  <si>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</si>
  <si>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</si>
  <si>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</si>
  <si>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</si>
  <si>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</si>
  <si>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</si>
  <si>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</si>
  <si>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</si>
  <si>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</si>
  <si>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</si>
  <si>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</si>
  <si>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</si>
  <si>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</si>
  <si>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</si>
  <si>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</si>
  <si>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</si>
  <si>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</si>
  <si>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</si>
  <si>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</si>
  <si>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</si>
  <si>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</si>
  <si>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</si>
  <si>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</si>
  <si>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</si>
  <si>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</si>
  <si>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</si>
  <si>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</si>
  <si>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</si>
  <si>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</si>
  <si>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</si>
  <si>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</si>
  <si>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</si>
  <si>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</si>
  <si>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</si>
  <si>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</si>
  <si>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</si>
  <si>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</si>
  <si>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</si>
  <si>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</si>
  <si>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</si>
  <si>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</si>
  <si>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</si>
  <si>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</si>
  <si>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</si>
  <si>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</si>
  <si>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</si>
  <si>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</si>
  <si>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</si>
  <si>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</si>
  <si>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</si>
  <si>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</si>
  <si>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</si>
  <si>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</si>
  <si>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</si>
  <si>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</si>
  <si>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</si>
  <si>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</si>
  <si>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</si>
  <si>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</si>
  <si>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</si>
  <si>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</si>
  <si>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</si>
  <si>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</si>
  <si>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</si>
  <si>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</si>
  <si>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</si>
  <si>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</si>
  <si>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</si>
  <si>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</si>
  <si>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</si>
  <si>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</si>
  <si>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</si>
  <si>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</si>
  <si>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</si>
  <si>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</si>
  <si>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</si>
  <si>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</si>
  <si>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</si>
  <si>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</si>
  <si>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</si>
  <si>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</si>
  <si>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</si>
  <si>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</si>
  <si>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</si>
  <si>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</si>
  <si>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</si>
  <si>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</si>
  <si>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</si>
  <si>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</si>
  <si>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</si>
  <si>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</si>
  <si>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</si>
  <si>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</si>
  <si>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</si>
  <si>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</si>
  <si>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</si>
  <si>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</si>
  <si>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</si>
  <si>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</si>
  <si>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</si>
  <si>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</si>
  <si>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</si>
  <si>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</si>
  <si>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</si>
  <si>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</si>
  <si>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</si>
  <si>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</si>
  <si>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</si>
  <si>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</si>
  <si>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</si>
  <si>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</si>
  <si>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</si>
  <si>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</si>
  <si>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</si>
  <si>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</si>
  <si>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</si>
  <si>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</si>
  <si>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</si>
  <si>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</si>
  <si>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</si>
  <si>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</si>
  <si>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</si>
  <si>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</si>
  <si>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</si>
  <si>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</si>
  <si>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</si>
  <si>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</si>
  <si>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</si>
  <si>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</si>
  <si>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</si>
  <si>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</si>
  <si>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</si>
  <si>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</si>
  <si>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</si>
  <si>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</si>
  <si>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</si>
  <si>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</si>
  <si>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</si>
  <si>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</si>
  <si>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</si>
  <si>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</si>
  <si>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</si>
  <si>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</si>
  <si>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</si>
  <si>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</si>
  <si>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</si>
  <si>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</si>
  <si>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</si>
  <si>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</si>
  <si>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</si>
  <si>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</si>
  <si>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</si>
  <si>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</si>
  <si>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</si>
  <si>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</si>
  <si>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</si>
  <si>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</si>
  <si>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</si>
  <si>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</si>
  <si>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</si>
  <si>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</si>
  <si>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</si>
  <si>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</si>
  <si>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</si>
  <si>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</si>
  <si>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</si>
  <si>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</si>
  <si>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</si>
  <si>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</si>
  <si>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</si>
  <si>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</si>
  <si>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</si>
  <si>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</si>
  <si>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</si>
  <si>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</si>
  <si>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</si>
  <si>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</si>
  <si>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</si>
  <si>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</si>
  <si>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</si>
  <si>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</si>
  <si>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</si>
  <si>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</si>
  <si>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</si>
  <si>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</si>
  <si>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</si>
  <si>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</si>
  <si>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</si>
  <si>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</si>
  <si>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</si>
  <si>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</si>
  <si>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</si>
  <si>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</si>
  <si>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</si>
  <si>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</si>
  <si>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</si>
  <si>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</si>
  <si>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</si>
  <si>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</si>
  <si>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</si>
  <si>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</si>
  <si>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</si>
  <si>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</si>
  <si>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</si>
  <si>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</si>
  <si>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</si>
  <si>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</si>
  <si>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</si>
  <si>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</si>
  <si>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</si>
  <si>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</si>
  <si>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</si>
  <si>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</si>
  <si>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</si>
  <si>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</si>
  <si>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</si>
  <si>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</si>
  <si>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</si>
  <si>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</si>
  <si>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</si>
  <si>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</si>
  <si>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</si>
  <si>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</si>
  <si>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</si>
  <si>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</si>
  <si>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</si>
  <si>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</si>
  <si>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</si>
  <si>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</si>
  <si>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</si>
  <si>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</si>
  <si>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</si>
  <si>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</si>
  <si>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</si>
  <si>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</si>
  <si>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</si>
  <si>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</si>
  <si>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</si>
  <si>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</si>
  <si>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</si>
  <si>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</si>
  <si>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</si>
  <si>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</si>
  <si>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</si>
  <si>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</si>
  <si>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</si>
  <si>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</si>
  <si>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</si>
  <si>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</si>
  <si>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</si>
  <si>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</si>
  <si>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</si>
  <si>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</si>
  <si>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</si>
  <si>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</si>
  <si>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</si>
  <si>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</si>
  <si>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</si>
  <si>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</si>
  <si>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</si>
  <si>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</si>
  <si>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</si>
  <si>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</si>
  <si>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</si>
  <si>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</si>
  <si>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</si>
  <si>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</si>
  <si>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</si>
  <si>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</si>
  <si>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</si>
  <si>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</si>
  <si>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</si>
  <si>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</si>
  <si>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</si>
  <si>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</si>
  <si>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</si>
  <si>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</si>
  <si>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</si>
  <si>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</si>
  <si>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</si>
  <si>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</si>
  <si>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</si>
  <si>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</si>
  <si>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</si>
  <si>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</si>
  <si>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</si>
  <si>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</si>
  <si>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</si>
  <si>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</si>
  <si>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</si>
  <si>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</si>
  <si>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</si>
  <si>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</si>
  <si>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</si>
  <si>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</si>
  <si>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</si>
  <si>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</si>
  <si>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</si>
  <si>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</si>
  <si>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</si>
  <si>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</si>
  <si>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</si>
  <si>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</si>
  <si>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</si>
  <si>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</si>
  <si>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</si>
  <si>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</si>
  <si>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</si>
  <si>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</si>
  <si>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</si>
  <si>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</si>
  <si>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</si>
  <si>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</si>
  <si>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</si>
  <si>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</si>
  <si>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</si>
  <si>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</si>
  <si>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</si>
  <si>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</si>
  <si>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</si>
  <si>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</si>
  <si>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</si>
  <si>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</si>
  <si>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</si>
  <si>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</si>
  <si>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</si>
  <si>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</si>
  <si>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</si>
  <si>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</si>
  <si>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</si>
  <si>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</si>
  <si>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</si>
  <si>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</si>
  <si>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</si>
  <si>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</si>
  <si>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</si>
  <si>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</si>
  <si>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</si>
  <si>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</si>
  <si>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</si>
  <si>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</si>
  <si>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</si>
  <si>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</si>
  <si>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</si>
  <si>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</si>
  <si>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</si>
  <si>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</si>
  <si>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</si>
  <si>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</si>
  <si>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</si>
  <si>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</si>
  <si>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</si>
  <si>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</si>
  <si>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</si>
  <si>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</si>
  <si>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</si>
  <si>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</si>
  <si>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</si>
  <si>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</si>
  <si>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</si>
  <si>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</si>
  <si>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</si>
  <si>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</si>
  <si>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</si>
  <si>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</si>
  <si>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</si>
  <si>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</si>
  <si>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</si>
  <si>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</si>
  <si>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</si>
  <si>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</si>
  <si>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</si>
  <si>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</si>
  <si>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</si>
  <si>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</si>
  <si>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</si>
  <si>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</si>
  <si>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</si>
  <si>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</si>
  <si>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</si>
  <si>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</si>
  <si>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</si>
  <si>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</si>
  <si>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</si>
  <si>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</si>
  <si>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</si>
  <si>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</si>
  <si>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</si>
  <si>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</si>
  <si>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</si>
  <si>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</si>
  <si>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</si>
  <si>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</si>
  <si>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</si>
  <si>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</si>
  <si>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</si>
  <si>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</si>
  <si>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</si>
  <si>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</si>
  <si>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</si>
  <si>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</si>
  <si>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</si>
  <si>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</si>
  <si>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</si>
  <si>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</si>
  <si>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</si>
  <si>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</si>
  <si>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</si>
  <si>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</si>
  <si>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</si>
  <si>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</si>
  <si>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</si>
  <si>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</si>
  <si>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</si>
  <si>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</si>
  <si>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</si>
  <si>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</si>
  <si>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</si>
  <si>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</si>
  <si>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</si>
  <si>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</si>
  <si>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</si>
  <si>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</si>
  <si>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</si>
  <si>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</si>
  <si>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</si>
  <si>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</si>
  <si>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</si>
  <si>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</si>
  <si>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</si>
  <si>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</si>
  <si>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</si>
  <si>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</si>
  <si>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</si>
  <si>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</si>
  <si>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</si>
  <si>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</si>
  <si>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</si>
  <si>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</si>
  <si>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</si>
  <si>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</si>
  <si>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</si>
  <si>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</si>
  <si>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</si>
  <si>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</si>
  <si>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</si>
  <si>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</si>
  <si>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</si>
  <si>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</si>
  <si>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</si>
  <si>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</si>
  <si>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</si>
  <si>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</si>
  <si>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</si>
  <si>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</si>
  <si>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</si>
  <si>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</si>
  <si>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</si>
  <si>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</si>
  <si>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</si>
  <si>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</si>
  <si>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</si>
  <si>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</si>
  <si>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</si>
  <si>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</si>
  <si>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</si>
  <si>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</si>
  <si>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</si>
  <si>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</si>
  <si>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</si>
  <si>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</si>
  <si>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</si>
  <si>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</si>
  <si>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</si>
  <si>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</si>
  <si>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</si>
  <si>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</si>
  <si>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</si>
  <si>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</si>
  <si>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</si>
  <si>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</si>
  <si>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</si>
  <si>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</si>
  <si>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</si>
  <si>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</si>
  <si>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</si>
  <si>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</si>
  <si>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</si>
  <si>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</si>
  <si>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</si>
  <si>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</si>
  <si>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</si>
  <si>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</si>
  <si>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</si>
  <si>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</si>
  <si>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</si>
  <si>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</si>
  <si>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</si>
  <si>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</si>
  <si>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</si>
  <si>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</si>
  <si>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</si>
  <si>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</si>
  <si>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</si>
  <si>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</si>
  <si>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</si>
  <si>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</si>
  <si>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</si>
  <si>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</si>
  <si>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</si>
  <si>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</si>
  <si>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</si>
  <si>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</si>
  <si>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</si>
  <si>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</si>
  <si>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</si>
  <si>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</si>
  <si>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</si>
  <si>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</si>
  <si>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</si>
  <si>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</si>
  <si>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</si>
  <si>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</si>
  <si>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</si>
  <si>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</si>
  <si>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</si>
  <si>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</si>
  <si>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</si>
  <si>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</si>
  <si>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</si>
  <si>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</si>
  <si>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</si>
  <si>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</si>
  <si>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</si>
  <si>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</si>
  <si>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</si>
  <si>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</si>
  <si>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</si>
  <si>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</si>
  <si>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</si>
  <si>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</si>
  <si>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</si>
  <si>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</si>
  <si>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</si>
  <si>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</si>
  <si>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</si>
  <si>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</si>
  <si>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</si>
  <si>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</si>
  <si>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</si>
  <si>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</si>
  <si>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</si>
  <si>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</si>
  <si>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</si>
  <si>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</si>
  <si>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</si>
  <si>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</si>
  <si>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</si>
  <si>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</si>
  <si>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</si>
  <si>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</si>
  <si>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</si>
  <si>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</si>
  <si>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</si>
  <si>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</si>
  <si>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</si>
  <si>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</si>
  <si>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</si>
  <si>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</si>
  <si>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</si>
  <si>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</si>
  <si>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</si>
  <si>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</si>
  <si>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</si>
  <si>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</si>
  <si>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</si>
  <si>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</si>
  <si>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</si>
  <si>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</si>
  <si>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</si>
  <si>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</si>
  <si>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</si>
  <si>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</si>
  <si>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</si>
  <si>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</si>
  <si>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</si>
  <si>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</si>
  <si>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</si>
  <si>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</si>
  <si>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</si>
  <si>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</si>
  <si>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</si>
  <si>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</si>
  <si>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</si>
  <si>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</si>
  <si>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</si>
  <si>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</si>
  <si>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</si>
  <si>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</si>
  <si>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</si>
  <si>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</si>
  <si>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</si>
  <si>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</si>
  <si>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</si>
  <si>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</si>
  <si>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</si>
  <si>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</si>
  <si>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</si>
  <si>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</si>
  <si>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</si>
  <si>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</si>
  <si>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</si>
  <si>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</si>
  <si>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</si>
  <si>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</si>
  <si>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</si>
  <si>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</si>
  <si>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</si>
  <si>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</si>
  <si>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</si>
  <si>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</si>
  <si>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</si>
  <si>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</si>
  <si>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</si>
  <si>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</si>
  <si>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</si>
  <si>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</si>
  <si>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</si>
  <si>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</si>
  <si>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</si>
  <si>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</si>
  <si>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</si>
  <si>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</si>
  <si>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</si>
  <si>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</si>
  <si>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</si>
  <si>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</si>
  <si>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</si>
  <si>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</si>
  <si>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</si>
  <si>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</si>
  <si>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</si>
  <si>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</si>
  <si>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</si>
  <si>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</si>
  <si>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</si>
  <si>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</si>
  <si>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</si>
  <si>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</si>
  <si>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</si>
  <si>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</si>
  <si>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</si>
  <si>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</si>
  <si>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</si>
  <si>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</si>
  <si>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</si>
  <si>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</si>
  <si>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</si>
  <si>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</si>
  <si>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</si>
  <si>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</si>
  <si>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</si>
  <si>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</si>
  <si>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</si>
  <si>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</si>
  <si>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</si>
  <si>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</si>
  <si>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</si>
  <si>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</si>
  <si>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</si>
  <si>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</si>
  <si>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</si>
  <si>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</si>
  <si>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</si>
  <si>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</si>
  <si>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</si>
  <si>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</si>
  <si>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</si>
  <si>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</si>
  <si>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</si>
  <si>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</si>
  <si>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</si>
  <si>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</si>
  <si>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</si>
  <si>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</si>
  <si>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</si>
  <si>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</si>
  <si>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</si>
  <si>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</si>
  <si>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</si>
  <si>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</si>
  <si>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</si>
  <si>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</si>
  <si>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</si>
  <si>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</si>
  <si>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</si>
  <si>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</si>
  <si>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</si>
  <si>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</si>
  <si>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</si>
  <si>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</si>
  <si>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</si>
  <si>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</si>
  <si>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</si>
  <si>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</si>
  <si>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</si>
  <si>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</si>
  <si>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</si>
  <si>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</si>
  <si>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</si>
  <si>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</si>
  <si>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</si>
  <si>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</si>
  <si>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</si>
  <si>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</si>
  <si>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</si>
  <si>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</si>
  <si>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</si>
  <si>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</si>
  <si>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</si>
  <si>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</si>
  <si>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</si>
  <si>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</si>
  <si>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</si>
  <si>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</si>
  <si>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</si>
  <si>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</si>
  <si>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</si>
  <si>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</si>
  <si>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</si>
  <si>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</si>
  <si>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</si>
  <si>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</si>
  <si>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</si>
  <si>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</si>
  <si>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</si>
  <si>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</si>
  <si>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</si>
  <si>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</si>
  <si>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</si>
  <si>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</si>
  <si>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</si>
  <si>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</si>
  <si>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</si>
  <si>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</si>
  <si>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</si>
  <si>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</si>
  <si>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</si>
  <si>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</si>
  <si>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</si>
  <si>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</si>
  <si>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</si>
  <si>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</si>
  <si>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</si>
  <si>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</si>
  <si>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</si>
  <si>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</si>
  <si>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</si>
  <si>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</si>
  <si>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</si>
  <si>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</si>
  <si>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</si>
  <si>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</si>
  <si>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</si>
  <si>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</si>
  <si>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</si>
  <si>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</si>
  <si>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</si>
  <si>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</si>
  <si>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</si>
  <si>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</si>
  <si>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</si>
  <si>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</si>
  <si>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</si>
  <si>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</si>
  <si>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</si>
  <si>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</si>
  <si>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</si>
  <si>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</si>
  <si>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</si>
  <si>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</si>
  <si>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</si>
  <si>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</si>
  <si>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</si>
  <si>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</si>
  <si>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</si>
  <si>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</si>
  <si>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</si>
  <si>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</si>
  <si>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</si>
  <si>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</si>
  <si>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</si>
  <si>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</si>
  <si>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</si>
  <si>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</si>
  <si>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</si>
  <si>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</si>
  <si>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</si>
  <si>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</si>
  <si>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</si>
  <si>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</si>
  <si>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</si>
  <si>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</si>
  <si>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</si>
  <si>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</si>
  <si>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</si>
  <si>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</si>
  <si>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</si>
  <si>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</si>
  <si>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</si>
  <si>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</si>
  <si>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</si>
  <si>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</si>
  <si>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</si>
  <si>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</si>
  <si>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</si>
  <si>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</si>
  <si>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</si>
  <si>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</si>
  <si>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</si>
  <si>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</si>
  <si>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</si>
  <si>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</si>
  <si>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</si>
  <si>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</si>
  <si>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</si>
  <si>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</si>
  <si>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</si>
  <si>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</si>
  <si>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</si>
  <si>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</si>
  <si>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</si>
  <si>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</si>
  <si>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</si>
  <si>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</si>
  <si>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</si>
  <si>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</si>
  <si>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</si>
  <si>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</si>
  <si>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</si>
  <si>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</si>
  <si>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</si>
  <si>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</si>
  <si>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</si>
  <si>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</si>
  <si>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</si>
  <si>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</si>
  <si>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</si>
  <si>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</si>
  <si>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</si>
  <si>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</si>
  <si>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</si>
  <si>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</si>
  <si>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</si>
  <si>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</si>
  <si>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</si>
  <si>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</si>
  <si>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</si>
  <si>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</si>
  <si>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</si>
  <si>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</si>
  <si>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</si>
  <si>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</si>
  <si>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</si>
  <si>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</si>
  <si>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</si>
  <si>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</si>
  <si>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</si>
  <si>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</si>
  <si>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</si>
  <si>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</si>
  <si>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</si>
  <si>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</si>
  <si>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</si>
  <si>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</si>
  <si>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</si>
  <si>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</si>
  <si>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</si>
  <si>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</si>
  <si>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</si>
  <si>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</si>
  <si>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</si>
  <si>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</si>
  <si>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</si>
  <si>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</si>
  <si>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</si>
  <si>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</si>
  <si>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</si>
  <si>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</si>
  <si>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</si>
  <si>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</si>
  <si>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</si>
  <si>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</si>
  <si>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</si>
  <si>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</si>
  <si>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</si>
  <si>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</si>
  <si>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</si>
  <si>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</si>
  <si>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</si>
  <si>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</si>
  <si>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</si>
  <si>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</si>
  <si>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</si>
  <si>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</si>
  <si>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</si>
  <si>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</si>
  <si>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</si>
  <si>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</si>
  <si>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</si>
  <si>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</si>
  <si>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</si>
  <si>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</si>
  <si>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</si>
  <si>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</si>
  <si>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</si>
  <si>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</si>
  <si>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</si>
  <si>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</si>
  <si>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</si>
  <si>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</si>
  <si>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</si>
  <si>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</si>
  <si>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</si>
  <si>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</si>
  <si>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</si>
  <si>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</si>
  <si>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</si>
  <si>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</si>
  <si>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</si>
  <si>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</si>
  <si>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</si>
  <si>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</si>
  <si>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</si>
  <si>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</si>
  <si>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</si>
  <si>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</si>
  <si>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</si>
  <si>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</si>
  <si>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</si>
  <si>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</si>
  <si>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</si>
  <si>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</si>
  <si>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</si>
  <si>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</si>
  <si>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</si>
  <si>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</si>
  <si>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</si>
  <si>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</si>
  <si>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</si>
  <si>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</si>
  <si>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</si>
  <si>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</si>
  <si>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</si>
  <si>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</si>
  <si>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</si>
  <si>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</si>
  <si>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</si>
  <si>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</si>
  <si>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</si>
  <si>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</si>
  <si>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</si>
  <si>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</si>
  <si>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</si>
  <si>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</si>
  <si>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</si>
  <si>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</si>
  <si>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</si>
  <si>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</si>
  <si>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</si>
  <si>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</si>
  <si>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</si>
  <si>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</si>
  <si>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</si>
  <si>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</si>
  <si>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</si>
  <si>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</si>
  <si>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</si>
  <si>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</si>
  <si>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</si>
  <si>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</si>
  <si>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</si>
  <si>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</si>
  <si>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</si>
  <si>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</si>
  <si>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</si>
  <si>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</si>
  <si>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</si>
  <si>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</si>
  <si>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</si>
  <si>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</si>
  <si>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</si>
  <si>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</si>
  <si>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</si>
  <si>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</si>
  <si>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</si>
  <si>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</si>
  <si>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</si>
  <si>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</si>
  <si>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</si>
  <si>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</si>
  <si>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</si>
  <si>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</si>
  <si>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</si>
  <si>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</si>
  <si>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</si>
  <si>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</si>
  <si>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</si>
  <si>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</si>
  <si>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</si>
  <si>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</si>
  <si>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</si>
  <si>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</si>
  <si>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</si>
  <si>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</si>
  <si>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</si>
  <si>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</si>
  <si>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</si>
  <si>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</si>
  <si>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</si>
  <si>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</si>
  <si>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</si>
  <si>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</si>
  <si>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</si>
  <si>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</si>
  <si>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</si>
  <si>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</si>
  <si>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</si>
  <si>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</si>
  <si>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</si>
  <si>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</si>
  <si>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</si>
  <si>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</si>
  <si>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</si>
  <si>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</si>
  <si>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</si>
  <si>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</si>
  <si>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</si>
  <si>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</si>
  <si>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</si>
  <si>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</si>
  <si>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</si>
  <si>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</si>
  <si>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</si>
  <si>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</si>
  <si>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</si>
  <si>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</si>
  <si>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</si>
  <si>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</si>
  <si>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</si>
  <si>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</si>
  <si>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</si>
  <si>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</si>
  <si>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</si>
  <si>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</si>
  <si>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</si>
  <si>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</si>
  <si>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</si>
  <si>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</si>
  <si>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</si>
  <si>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</si>
  <si>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</si>
  <si>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</si>
  <si>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</si>
  <si>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</si>
  <si>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</si>
  <si>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</si>
  <si>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</si>
  <si>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</si>
  <si>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</si>
  <si>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</si>
  <si>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</si>
  <si>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</si>
  <si>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</si>
  <si>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</si>
  <si>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</si>
  <si>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</si>
  <si>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</si>
  <si>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</si>
  <si>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</si>
  <si>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</si>
  <si>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</si>
  <si>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</si>
  <si>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</si>
  <si>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</si>
  <si>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</si>
  <si>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</si>
  <si>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</si>
  <si>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</si>
  <si>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</si>
  <si>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</si>
  <si>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</si>
  <si>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</si>
  <si>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</si>
  <si>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</si>
  <si>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</si>
  <si>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</si>
  <si>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</si>
  <si>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</si>
  <si>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</si>
  <si>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</si>
  <si>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</si>
  <si>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</si>
  <si>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</si>
  <si>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</si>
  <si>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</si>
  <si>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</si>
  <si>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</si>
  <si>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</si>
  <si>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</si>
  <si>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</si>
  <si>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</si>
  <si>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</si>
  <si>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</si>
  <si>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</si>
  <si>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</si>
  <si>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</si>
  <si>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</si>
  <si>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</si>
  <si>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</si>
  <si>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</si>
  <si>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</si>
  <si>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</si>
  <si>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</si>
  <si>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</si>
  <si>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</si>
  <si>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</si>
  <si>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</si>
  <si>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</si>
  <si>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</si>
  <si>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</si>
  <si>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</si>
  <si>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</si>
  <si>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</si>
  <si>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</si>
  <si>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</si>
  <si>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</si>
  <si>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</si>
  <si>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</si>
  <si>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</si>
  <si>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</si>
  <si>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</si>
  <si>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</si>
  <si>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</si>
  <si>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</si>
  <si>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</si>
  <si>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</si>
  <si>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</si>
  <si>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</si>
  <si>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</si>
  <si>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</si>
  <si>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</si>
  <si>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</si>
  <si>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</si>
  <si>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</si>
  <si>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</si>
  <si>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</si>
  <si>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</si>
  <si>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</si>
  <si>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</si>
  <si>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</si>
  <si>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</si>
  <si>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</si>
  <si>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</si>
  <si>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</si>
  <si>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</si>
  <si>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</si>
  <si>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</si>
  <si>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</si>
  <si>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</si>
  <si>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</si>
  <si>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</si>
  <si>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</si>
  <si>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</si>
  <si>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</si>
  <si>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</si>
  <si>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</si>
  <si>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</si>
  <si>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</si>
  <si>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</si>
  <si>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</si>
  <si>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</si>
  <si>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</si>
  <si>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</si>
  <si>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</si>
  <si>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</si>
  <si>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</si>
  <si>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</si>
  <si>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</si>
  <si>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</si>
  <si>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</si>
  <si>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</si>
  <si>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</si>
  <si>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</si>
  <si>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</si>
  <si>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</si>
  <si>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</si>
  <si>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</si>
  <si>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</si>
  <si>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</si>
  <si>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</si>
  <si>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</si>
  <si>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</si>
  <si>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</si>
  <si>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</si>
  <si>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</si>
  <si>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</si>
  <si>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</si>
  <si>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</si>
  <si>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</si>
  <si>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</si>
  <si>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</si>
  <si>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</si>
  <si>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</si>
  <si>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</si>
  <si>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</si>
  <si>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</si>
  <si>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</si>
  <si>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</si>
  <si>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</si>
  <si>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</si>
  <si>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</si>
  <si>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</si>
  <si>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</si>
  <si>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</si>
  <si>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</si>
  <si>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</si>
  <si>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</si>
  <si>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</si>
  <si>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</si>
  <si>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</si>
  <si>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</si>
  <si>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</si>
  <si>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</si>
  <si>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</si>
  <si>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</si>
  <si>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</si>
  <si>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</si>
  <si>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</si>
  <si>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</si>
  <si>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</si>
  <si>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</si>
  <si>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</si>
  <si>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</si>
  <si>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</si>
  <si>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</si>
  <si>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</si>
  <si>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</si>
  <si>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</si>
  <si>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</si>
  <si>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</si>
  <si>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</si>
  <si>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</si>
  <si>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</si>
  <si>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</si>
  <si>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</si>
  <si>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</si>
  <si>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</si>
  <si>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</si>
  <si>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</si>
  <si>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</si>
  <si>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</si>
  <si>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</si>
  <si>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</si>
  <si>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</si>
  <si>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</si>
  <si>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</si>
  <si>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</si>
  <si>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</si>
  <si>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</si>
  <si>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</si>
  <si>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</si>
  <si>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</si>
  <si>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</si>
  <si>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</si>
  <si>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</si>
  <si>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</si>
  <si>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</si>
  <si>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</si>
  <si>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</si>
  <si>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</si>
  <si>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</si>
  <si>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</si>
  <si>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</si>
  <si>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</si>
  <si>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</si>
  <si>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</si>
  <si>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</si>
  <si>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</si>
  <si>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</si>
  <si>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</si>
  <si>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</si>
  <si>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</si>
  <si>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</si>
  <si>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</si>
  <si>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</si>
  <si>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</si>
  <si>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</si>
  <si>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</si>
  <si>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</si>
  <si>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</si>
  <si>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</si>
  <si>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</si>
  <si>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</si>
  <si>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</si>
  <si>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</si>
  <si>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</si>
  <si>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</si>
  <si>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</si>
  <si>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</si>
  <si>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</si>
  <si>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</si>
  <si>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</si>
  <si>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</si>
  <si>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</si>
  <si>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</si>
  <si>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</si>
  <si>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</si>
  <si>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</si>
  <si>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</si>
  <si>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</si>
  <si>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</si>
  <si>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</si>
  <si>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</si>
  <si>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</si>
  <si>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</si>
  <si>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</si>
  <si>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</si>
  <si>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</si>
  <si>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</si>
  <si>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</si>
  <si>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</si>
  <si>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</si>
  <si>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</si>
  <si>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</si>
  <si>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</si>
  <si>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</si>
  <si>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</si>
  <si>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</si>
  <si>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</si>
  <si>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</si>
  <si>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</si>
  <si>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</si>
  <si>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</si>
  <si>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</si>
  <si>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</si>
  <si>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</si>
  <si>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</si>
  <si>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</si>
  <si>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</si>
  <si>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</si>
  <si>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</si>
  <si>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</si>
  <si>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</si>
  <si>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</si>
  <si>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</si>
  <si>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</si>
  <si>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</si>
  <si>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</si>
  <si>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</si>
  <si>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</si>
  <si>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</si>
  <si>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</si>
  <si>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</si>
  <si>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</si>
  <si>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</si>
  <si>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</si>
  <si>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</si>
  <si>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</si>
  <si>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</si>
  <si>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</si>
  <si>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</si>
  <si>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</si>
  <si>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</si>
  <si>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</si>
  <si>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</si>
  <si>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</si>
  <si>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</si>
  <si>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</si>
  <si>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</si>
  <si>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</si>
  <si>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</si>
  <si>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</si>
  <si>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</si>
  <si>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</si>
  <si>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</si>
  <si>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</si>
  <si>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</si>
  <si>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</si>
  <si>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</si>
  <si>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</si>
  <si>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</si>
  <si>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</si>
  <si>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</si>
  <si>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</si>
  <si>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</si>
  <si>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</si>
  <si>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</si>
  <si>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</si>
  <si>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</si>
  <si>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</si>
  <si>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</si>
  <si>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</si>
  <si>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</si>
  <si>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</si>
  <si>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</si>
  <si>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</si>
  <si>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</si>
  <si>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</si>
  <si>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</si>
  <si>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</si>
  <si>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</si>
  <si>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</si>
  <si>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</si>
  <si>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</si>
  <si>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</si>
  <si>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</si>
  <si>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</si>
  <si>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EVANS, MARSHALL AND PEASE, P.C.</t>
  </si>
  <si>
    <t>LAKE</t>
  </si>
  <si>
    <t>JEFFERY M. ROLLEFSON</t>
  </si>
  <si>
    <t>1875 HICKS ROAD</t>
  </si>
  <si>
    <t>25775 W. HIGHWAY 134</t>
  </si>
  <si>
    <t>ROLLING MEADOWS</t>
  </si>
  <si>
    <t>IL</t>
  </si>
  <si>
    <t>INGLESIDE</t>
  </si>
  <si>
    <t>847-221-5700</t>
  </si>
  <si>
    <t>847-221-5701</t>
  </si>
  <si>
    <t>JEFF@EMPCPA.COM</t>
  </si>
  <si>
    <t>REFUNDING GENERAL OBLIGATION BOND 2014</t>
  </si>
  <si>
    <t>REFUNDING GENERAL OBLIGATION BOND 2017</t>
  </si>
  <si>
    <t>REFUNDING GENERAL OBLIGATION BOND 2018A</t>
  </si>
  <si>
    <t>LIBERTYVILLE</t>
  </si>
  <si>
    <t>NIHIP</t>
  </si>
  <si>
    <t>IUPC</t>
  </si>
  <si>
    <t>ARBOR MANAGEMENT</t>
  </si>
  <si>
    <t>CLIC</t>
  </si>
  <si>
    <t>PMA</t>
  </si>
  <si>
    <t>HODGES, LOIZZI, ET AL.</t>
  </si>
  <si>
    <t>SEDOL</t>
  </si>
  <si>
    <t>DURHAM, CHAIN O' LAKES</t>
  </si>
  <si>
    <t>NONE</t>
  </si>
  <si>
    <t>066-005340</t>
  </si>
  <si>
    <t>Gavin 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</si>
</sst>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1" fillId="0" borderId="157" xfId="17" quotePrefix="1" applyNumberFormat="1" applyFont="1" applyBorder="1" applyAlignment="1" applyProtection="1">
      <alignment horizontal="right" vertical="top"/>
      <protection locked="0"/>
    </xf>
    <xf numFmtId="49" fontId="1" fillId="0" borderId="157" xfId="17" quotePrefix="1" applyNumberFormat="1" applyFont="1" applyBorder="1" applyAlignment="1" applyProtection="1">
      <alignment horizontal="center" vertical="top"/>
      <protection locked="0"/>
    </xf>
    <xf numFmtId="0" fontId="1" fillId="0" borderId="157" xfId="17" quotePrefix="1" applyFont="1" applyBorder="1" applyAlignment="1" applyProtection="1">
      <alignment horizontal="center" vertical="top"/>
      <protection locked="0"/>
    </xf>
    <xf numFmtId="0" fontId="2" fillId="0" borderId="157" xfId="17" applyFont="1" applyBorder="1" applyAlignment="1" applyProtection="1">
      <alignment horizontal="center"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xdr:row>
          <xdr:rowOff>0</xdr:rowOff>
        </xdr:from>
        <xdr:to>
          <xdr:col>1</xdr:col>
          <xdr:colOff>1101437</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1359478</xdr:colOff>
          <xdr:row>2</xdr:row>
          <xdr:rowOff>1</xdr:rowOff>
        </xdr:from>
        <xdr:to>
          <xdr:col>1</xdr:col>
          <xdr:colOff>2270414</xdr:colOff>
          <xdr:row>6</xdr:row>
          <xdr:rowOff>38101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405</v>
      </c>
      <c r="J1" s="2020"/>
      <c r="K1" s="2020"/>
      <c r="L1" s="2020"/>
      <c r="M1" s="2020"/>
      <c r="N1" s="2020"/>
      <c r="O1" s="2020"/>
      <c r="P1" s="2020"/>
      <c r="Q1" s="2020"/>
      <c r="R1" s="2020"/>
      <c r="S1" s="2020"/>
    </row>
    <row r="2" spans="1:28" ht="12" customHeight="1" x14ac:dyDescent="0.2">
      <c r="A2" s="47" t="s">
        <v>1991</v>
      </c>
      <c r="D2" s="48"/>
      <c r="I2" s="2021" t="s">
        <v>979</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2065</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2065</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34049037002</v>
      </c>
      <c r="B13" s="1990"/>
      <c r="C13" s="1990"/>
      <c r="D13" s="1990"/>
      <c r="E13" s="1990"/>
      <c r="F13" s="1990"/>
      <c r="G13" s="1990"/>
      <c r="H13" s="1991"/>
      <c r="I13" s="31"/>
      <c r="J13" s="30"/>
      <c r="K13" s="28"/>
      <c r="L13" s="30"/>
      <c r="M13" s="30"/>
      <c r="N13" s="30"/>
      <c r="O13" s="30"/>
      <c r="P13" s="30"/>
      <c r="Q13" s="30"/>
      <c r="R13" s="30"/>
      <c r="S13" s="30"/>
      <c r="T13" s="1994" t="s">
        <v>2066</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2067</v>
      </c>
      <c r="B15" s="1992"/>
      <c r="C15" s="1992"/>
      <c r="D15" s="1992"/>
      <c r="E15" s="1992"/>
      <c r="F15" s="1992"/>
      <c r="G15" s="1992"/>
      <c r="H15" s="1993"/>
      <c r="T15" s="1955" t="s">
        <v>2068</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2091</v>
      </c>
      <c r="B17" s="2017"/>
      <c r="C17" s="2017"/>
      <c r="D17" s="2017"/>
      <c r="E17" s="2017"/>
      <c r="F17" s="2017"/>
      <c r="G17" s="2017"/>
      <c r="H17" s="2018"/>
      <c r="T17" s="2004" t="s">
        <v>2069</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2070</v>
      </c>
      <c r="B19" s="1988"/>
      <c r="C19" s="1988"/>
      <c r="D19" s="1988"/>
      <c r="E19" s="1988"/>
      <c r="F19" s="1988"/>
      <c r="G19" s="1988"/>
      <c r="H19" s="1986"/>
      <c r="I19" s="30"/>
      <c r="J19" s="99"/>
      <c r="K19" s="40"/>
      <c r="L19" s="38"/>
      <c r="M19" s="112" t="s">
        <v>315</v>
      </c>
      <c r="P19" s="27"/>
      <c r="Q19" s="27"/>
      <c r="R19" s="27"/>
      <c r="S19" s="31"/>
      <c r="T19" s="1987" t="s">
        <v>2071</v>
      </c>
      <c r="U19" s="1985"/>
      <c r="V19" s="1985"/>
      <c r="W19" s="1986"/>
      <c r="X19" s="2002" t="s">
        <v>2072</v>
      </c>
      <c r="Y19" s="2003"/>
      <c r="Z19" s="2000">
        <v>60008</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2073</v>
      </c>
      <c r="B21" s="1985"/>
      <c r="C21" s="1985"/>
      <c r="D21" s="1985"/>
      <c r="E21" s="1985"/>
      <c r="F21" s="1985"/>
      <c r="G21" s="1985"/>
      <c r="H21" s="1986"/>
      <c r="I21" s="2010" t="s">
        <v>678</v>
      </c>
      <c r="J21" s="1973"/>
      <c r="K21" s="1973"/>
      <c r="L21" s="1973"/>
      <c r="M21" s="1973"/>
      <c r="N21" s="1973"/>
      <c r="O21" s="1973"/>
      <c r="P21" s="1973"/>
      <c r="Q21" s="1973"/>
      <c r="R21" s="1973"/>
      <c r="S21" s="1974"/>
      <c r="T21" s="1952" t="s">
        <v>2074</v>
      </c>
      <c r="U21" s="1953"/>
      <c r="V21" s="1953"/>
      <c r="W21" s="1953"/>
      <c r="X21" s="1966" t="s">
        <v>2075</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2090</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60041</v>
      </c>
      <c r="B25" s="1985"/>
      <c r="C25" s="1985"/>
      <c r="D25" s="1985"/>
      <c r="E25" s="1985"/>
      <c r="F25" s="1985"/>
      <c r="G25" s="1985"/>
      <c r="H25" s="1986"/>
      <c r="I25" s="113"/>
      <c r="J25" s="2051"/>
      <c r="K25" s="2051"/>
      <c r="L25" s="2051"/>
      <c r="M25" s="2051"/>
      <c r="N25" s="2051"/>
      <c r="O25" s="2051"/>
      <c r="P25" s="2051"/>
      <c r="Q25" s="2051"/>
      <c r="R25" s="2051"/>
      <c r="S25" s="2052"/>
      <c r="T25" s="1944" t="s">
        <v>2076</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c r="B42" s="2034"/>
      <c r="C42" s="2035"/>
      <c r="D42" s="2048"/>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T25" sqref="T25:AA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T25" sqref="T25:AA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2066</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T25" sqref="T25:AA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175200099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2.5822999999999999E-2</v>
      </c>
      <c r="E10" s="356" t="s">
        <v>1005</v>
      </c>
      <c r="F10" s="355">
        <v>4.1240000000000001E-3</v>
      </c>
      <c r="G10" s="356" t="s">
        <v>1005</v>
      </c>
      <c r="H10" s="355">
        <v>3.9899999999999999E-4</v>
      </c>
      <c r="I10" s="356" t="s">
        <v>1006</v>
      </c>
      <c r="J10" s="1732">
        <f>ROUND(D10+F10+H10,5)</f>
        <v>3.0349999999999999E-2</v>
      </c>
      <c r="K10" s="222"/>
      <c r="L10" s="355">
        <v>1.5999999999999999E-5</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8819792</v>
      </c>
      <c r="E16" s="356"/>
      <c r="F16" s="1733">
        <f>SUM('Acct Summary 7-8'!C17,'Acct Summary 7-8'!D17,'Acct Summary 7-8'!F17)</f>
        <v>8482178</v>
      </c>
      <c r="G16" s="356"/>
      <c r="H16" s="1733">
        <f>SUM(D16-F16)</f>
        <v>337614</v>
      </c>
      <c r="I16" s="222"/>
      <c r="J16" s="1733">
        <f>SUM('Acct Summary 7-8'!C81,'Acct Summary 7-8'!D81,'Acct Summary 7-8'!F81,'Acct Summary 7-8'!I81)</f>
        <v>2769157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12088806.831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5980000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8" zoomScale="110" zoomScaleNormal="110" workbookViewId="0">
      <selection activeCell="T25" sqref="T25:AA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Gavin SD 37</v>
      </c>
      <c r="E7" s="391"/>
      <c r="G7" s="252"/>
      <c r="H7" s="387"/>
      <c r="I7" s="387"/>
      <c r="J7" s="387"/>
      <c r="K7" s="387"/>
      <c r="L7" s="329"/>
      <c r="M7" s="329"/>
      <c r="N7" s="329"/>
      <c r="O7" s="329"/>
      <c r="P7" s="329"/>
    </row>
    <row r="8" spans="1:18" ht="12.75" x14ac:dyDescent="0.2">
      <c r="A8" s="329"/>
      <c r="B8" s="329"/>
      <c r="C8" s="389" t="s">
        <v>1125</v>
      </c>
      <c r="D8" s="392">
        <f>COVER!A13</f>
        <v>34049037002</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2769157</v>
      </c>
      <c r="I12" s="404"/>
      <c r="J12" s="404"/>
      <c r="K12" s="405">
        <f>TRUNC((H12/H13*100000),5)/100000</f>
        <v>0.31397078290000002</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8819792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8482178</v>
      </c>
      <c r="I17" s="404"/>
      <c r="J17" s="416"/>
      <c r="K17" s="405">
        <f>TRUNC((H17/H18*100000),5)/100000</f>
        <v>0.96172086590000005</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8819792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2779109</v>
      </c>
      <c r="I24" s="422"/>
      <c r="J24" s="422"/>
      <c r="K24" s="423">
        <f>TRUNC(((H24/H25*100000)/100000),2)</f>
        <v>117.95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23561.60556</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4519724.5539499996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5980000</v>
      </c>
      <c r="I32" s="420"/>
      <c r="J32" s="420"/>
      <c r="K32" s="423">
        <f>TRUNC(100-((((H32/H33*100))*100)/100),2)</f>
        <v>50.53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12088806.831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25" sqref="T25:AA25"/>
      <selection pane="bottomLeft" activeCell="T25" sqref="T25:AA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1711198</v>
      </c>
      <c r="D4" s="466">
        <v>185132</v>
      </c>
      <c r="E4" s="466">
        <v>206145</v>
      </c>
      <c r="F4" s="466">
        <v>743569</v>
      </c>
      <c r="G4" s="466">
        <v>147195</v>
      </c>
      <c r="H4" s="466">
        <v>5100809</v>
      </c>
      <c r="I4" s="466">
        <v>139210</v>
      </c>
      <c r="J4" s="467">
        <v>19708</v>
      </c>
      <c r="K4" s="466"/>
      <c r="L4" s="466">
        <v>85282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50000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1711198</v>
      </c>
      <c r="D13" s="1737">
        <f t="shared" ref="D13:L13" si="0">SUM(D4:D12)</f>
        <v>185132</v>
      </c>
      <c r="E13" s="1737">
        <f t="shared" si="0"/>
        <v>206145</v>
      </c>
      <c r="F13" s="1737">
        <f t="shared" si="0"/>
        <v>743569</v>
      </c>
      <c r="G13" s="1737">
        <f t="shared" si="0"/>
        <v>147195</v>
      </c>
      <c r="H13" s="1737">
        <f t="shared" si="0"/>
        <v>5100809</v>
      </c>
      <c r="I13" s="1737">
        <f t="shared" si="0"/>
        <v>189210</v>
      </c>
      <c r="J13" s="1737">
        <f t="shared" si="0"/>
        <v>19708</v>
      </c>
      <c r="K13" s="1737">
        <f t="shared" si="0"/>
        <v>0</v>
      </c>
      <c r="L13" s="1737">
        <f t="shared" si="0"/>
        <v>85282</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158453</v>
      </c>
      <c r="N16" s="484"/>
    </row>
    <row r="17" spans="1:14" s="485" customFormat="1" ht="12.75" customHeight="1" x14ac:dyDescent="0.2">
      <c r="A17" s="482" t="s">
        <v>1403</v>
      </c>
      <c r="B17" s="483">
        <v>230</v>
      </c>
      <c r="C17" s="477"/>
      <c r="D17" s="477"/>
      <c r="E17" s="477"/>
      <c r="F17" s="477"/>
      <c r="G17" s="477"/>
      <c r="H17" s="477"/>
      <c r="I17" s="477"/>
      <c r="J17" s="477"/>
      <c r="K17" s="477"/>
      <c r="L17" s="477"/>
      <c r="M17" s="467">
        <v>10248918</v>
      </c>
      <c r="N17" s="484"/>
    </row>
    <row r="18" spans="1:14" s="485" customFormat="1" ht="12.75" customHeight="1" x14ac:dyDescent="0.2">
      <c r="A18" s="482" t="s">
        <v>1404</v>
      </c>
      <c r="B18" s="483">
        <v>240</v>
      </c>
      <c r="C18" s="477"/>
      <c r="D18" s="477"/>
      <c r="E18" s="477"/>
      <c r="F18" s="477"/>
      <c r="G18" s="477"/>
      <c r="H18" s="477"/>
      <c r="I18" s="477"/>
      <c r="J18" s="477"/>
      <c r="K18" s="477"/>
      <c r="L18" s="477"/>
      <c r="M18" s="467">
        <v>198005</v>
      </c>
      <c r="N18" s="484"/>
    </row>
    <row r="19" spans="1:14" s="485" customFormat="1" ht="12.75" customHeight="1" x14ac:dyDescent="0.2">
      <c r="A19" s="482" t="s">
        <v>1405</v>
      </c>
      <c r="B19" s="483">
        <v>250</v>
      </c>
      <c r="C19" s="477"/>
      <c r="D19" s="477"/>
      <c r="E19" s="477"/>
      <c r="F19" s="477"/>
      <c r="G19" s="477"/>
      <c r="H19" s="477"/>
      <c r="I19" s="477"/>
      <c r="J19" s="477"/>
      <c r="K19" s="477"/>
      <c r="L19" s="477"/>
      <c r="M19" s="467">
        <v>1612647</v>
      </c>
      <c r="N19" s="484"/>
    </row>
    <row r="20" spans="1:14" s="485" customFormat="1" ht="12.75" customHeight="1" x14ac:dyDescent="0.2">
      <c r="A20" s="482" t="s">
        <v>1406</v>
      </c>
      <c r="B20" s="483">
        <v>260</v>
      </c>
      <c r="C20" s="477"/>
      <c r="D20" s="477"/>
      <c r="E20" s="477"/>
      <c r="F20" s="477"/>
      <c r="G20" s="477"/>
      <c r="H20" s="477"/>
      <c r="I20" s="477"/>
      <c r="J20" s="477"/>
      <c r="K20" s="477"/>
      <c r="L20" s="477"/>
      <c r="M20" s="467">
        <v>932690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5980000</v>
      </c>
    </row>
    <row r="23" spans="1:14" ht="13.5" customHeight="1" thickBot="1" x14ac:dyDescent="0.25">
      <c r="A23" s="1736" t="s">
        <v>643</v>
      </c>
      <c r="B23" s="1741"/>
      <c r="C23" s="468"/>
      <c r="D23" s="468"/>
      <c r="E23" s="468"/>
      <c r="F23" s="468"/>
      <c r="G23" s="468"/>
      <c r="H23" s="468"/>
      <c r="I23" s="468"/>
      <c r="J23" s="468"/>
      <c r="K23" s="468"/>
      <c r="L23" s="468"/>
      <c r="M23" s="1688">
        <f>SUM(M15:M22)</f>
        <v>13150713</v>
      </c>
      <c r="N23" s="1688">
        <f>SUM(N21:N22)</f>
        <v>5980000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v>50000</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9330</v>
      </c>
      <c r="D31" s="467">
        <v>346</v>
      </c>
      <c r="E31" s="467"/>
      <c r="F31" s="466">
        <v>276</v>
      </c>
      <c r="G31" s="467">
        <v>60</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85282</v>
      </c>
      <c r="M33" s="468"/>
      <c r="N33" s="469"/>
    </row>
    <row r="34" spans="1:14" ht="13.5" customHeight="1" thickBot="1" x14ac:dyDescent="0.25">
      <c r="A34" s="1738" t="s">
        <v>654</v>
      </c>
      <c r="B34" s="1739"/>
      <c r="C34" s="1740">
        <f>SUM(C25:C33)</f>
        <v>9330</v>
      </c>
      <c r="D34" s="1740">
        <f t="shared" ref="D34:K34" si="1">SUM(D25:D33)</f>
        <v>50346</v>
      </c>
      <c r="E34" s="1740">
        <f t="shared" si="1"/>
        <v>0</v>
      </c>
      <c r="F34" s="1740">
        <f t="shared" si="1"/>
        <v>276</v>
      </c>
      <c r="G34" s="1740">
        <f t="shared" si="1"/>
        <v>60</v>
      </c>
      <c r="H34" s="1740">
        <f t="shared" si="1"/>
        <v>0</v>
      </c>
      <c r="I34" s="1740">
        <f t="shared" si="1"/>
        <v>0</v>
      </c>
      <c r="J34" s="1740">
        <f t="shared" si="1"/>
        <v>0</v>
      </c>
      <c r="K34" s="1740">
        <f t="shared" si="1"/>
        <v>0</v>
      </c>
      <c r="L34" s="1721">
        <f>SUM(L33)</f>
        <v>85282</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5980000</v>
      </c>
    </row>
    <row r="37" spans="1:14" ht="13.5" thickBot="1" x14ac:dyDescent="0.25">
      <c r="A37" s="1736" t="s">
        <v>653</v>
      </c>
      <c r="B37" s="1741"/>
      <c r="C37" s="477"/>
      <c r="D37" s="477"/>
      <c r="E37" s="477"/>
      <c r="F37" s="477"/>
      <c r="G37" s="477"/>
      <c r="H37" s="477"/>
      <c r="I37" s="477"/>
      <c r="J37" s="477"/>
      <c r="K37" s="477"/>
      <c r="L37" s="480"/>
      <c r="M37" s="468"/>
      <c r="N37" s="1688">
        <f>SUM(N36:N36)</f>
        <v>5980000</v>
      </c>
    </row>
    <row r="38" spans="1:14" s="329" customFormat="1" ht="13.5" customHeight="1" thickTop="1" x14ac:dyDescent="0.2">
      <c r="A38" s="496" t="s">
        <v>420</v>
      </c>
      <c r="B38" s="483">
        <v>714</v>
      </c>
      <c r="C38" s="466"/>
      <c r="D38" s="466">
        <v>134786</v>
      </c>
      <c r="E38" s="466">
        <v>206145</v>
      </c>
      <c r="F38" s="466">
        <v>743293</v>
      </c>
      <c r="G38" s="466">
        <v>147135</v>
      </c>
      <c r="H38" s="466">
        <v>5100809</v>
      </c>
      <c r="I38" s="466"/>
      <c r="J38" s="467">
        <v>19708</v>
      </c>
      <c r="K38" s="466"/>
      <c r="L38" s="481"/>
      <c r="M38" s="497"/>
      <c r="N38" s="497"/>
    </row>
    <row r="39" spans="1:14" s="329" customFormat="1" ht="13.5" customHeight="1" x14ac:dyDescent="0.2">
      <c r="A39" s="496" t="s">
        <v>342</v>
      </c>
      <c r="B39" s="483">
        <v>730</v>
      </c>
      <c r="C39" s="466">
        <v>1701868</v>
      </c>
      <c r="D39" s="466"/>
      <c r="E39" s="466"/>
      <c r="F39" s="466"/>
      <c r="G39" s="466"/>
      <c r="H39" s="466"/>
      <c r="I39" s="466">
        <v>189210</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13150713</v>
      </c>
      <c r="N40" s="497"/>
    </row>
    <row r="41" spans="1:14" ht="13.5" customHeight="1" thickBot="1" x14ac:dyDescent="0.25">
      <c r="A41" s="1736" t="s">
        <v>655</v>
      </c>
      <c r="B41" s="1706"/>
      <c r="C41" s="1688">
        <f>(SUM(C34,C37,C38,C39))</f>
        <v>1711198</v>
      </c>
      <c r="D41" s="1688">
        <f t="shared" ref="D41:L41" si="2">SUM(D34,D37,D38:D39)</f>
        <v>185132</v>
      </c>
      <c r="E41" s="1688">
        <f t="shared" si="2"/>
        <v>206145</v>
      </c>
      <c r="F41" s="1688">
        <f t="shared" si="2"/>
        <v>743569</v>
      </c>
      <c r="G41" s="1688">
        <f t="shared" si="2"/>
        <v>147195</v>
      </c>
      <c r="H41" s="1688">
        <f t="shared" si="2"/>
        <v>5100809</v>
      </c>
      <c r="I41" s="1688">
        <f t="shared" si="2"/>
        <v>189210</v>
      </c>
      <c r="J41" s="1688">
        <f t="shared" si="2"/>
        <v>19708</v>
      </c>
      <c r="K41" s="1688">
        <f t="shared" si="2"/>
        <v>0</v>
      </c>
      <c r="L41" s="1688">
        <f t="shared" si="2"/>
        <v>85282</v>
      </c>
      <c r="M41" s="1688">
        <f>SUM(M40)</f>
        <v>13150713</v>
      </c>
      <c r="N41" s="1688">
        <f>SUM(N37)</f>
        <v>5980000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5" zoomScaleNormal="115" zoomScaleSheetLayoutView="100" workbookViewId="0">
      <pane ySplit="2" topLeftCell="A30" activePane="bottomLeft" state="frozen"/>
      <selection activeCell="T25" sqref="T25:AA25"/>
      <selection pane="bottomLeft" activeCell="T25" sqref="T25:AA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4611181</v>
      </c>
      <c r="D4" s="1742">
        <f>'Revenues 9-14'!D109</f>
        <v>707252</v>
      </c>
      <c r="E4" s="1742">
        <f>'Revenues 9-14'!E109</f>
        <v>443369</v>
      </c>
      <c r="F4" s="1742">
        <f>'Revenues 9-14'!F109</f>
        <v>75459</v>
      </c>
      <c r="G4" s="1742">
        <f>'Revenues 9-14'!G109</f>
        <v>251490</v>
      </c>
      <c r="H4" s="1742">
        <f>'Revenues 9-14'!H109</f>
        <v>39885</v>
      </c>
      <c r="I4" s="1742">
        <f>'Revenues 9-14'!I109</f>
        <v>3689</v>
      </c>
      <c r="J4" s="1742">
        <f>'Revenues 9-14'!J109</f>
        <v>99708</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2461488</v>
      </c>
      <c r="D6" s="1743">
        <f>'Revenues 9-14'!D170</f>
        <v>0</v>
      </c>
      <c r="E6" s="1743">
        <f>'Revenues 9-14'!E170</f>
        <v>0</v>
      </c>
      <c r="F6" s="1743">
        <f>'Revenues 9-14'!F170</f>
        <v>316858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643865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7716534</v>
      </c>
      <c r="D8" s="1688">
        <f t="shared" ref="D8:K8" si="0">SUM(D4:D7)</f>
        <v>707252</v>
      </c>
      <c r="E8" s="1688">
        <f t="shared" si="0"/>
        <v>443369</v>
      </c>
      <c r="F8" s="1688">
        <f t="shared" si="0"/>
        <v>392317</v>
      </c>
      <c r="G8" s="1688">
        <f t="shared" si="0"/>
        <v>251490</v>
      </c>
      <c r="H8" s="1688">
        <f t="shared" si="0"/>
        <v>39885</v>
      </c>
      <c r="I8" s="1688">
        <f t="shared" si="0"/>
        <v>3689</v>
      </c>
      <c r="J8" s="1688">
        <f t="shared" si="0"/>
        <v>99708</v>
      </c>
      <c r="K8" s="1688">
        <f t="shared" si="0"/>
        <v>0</v>
      </c>
      <c r="L8" s="347"/>
    </row>
    <row r="9" spans="1:13" ht="15.75" thickTop="1" x14ac:dyDescent="0.2">
      <c r="A9" s="514" t="s">
        <v>1653</v>
      </c>
      <c r="B9" s="515">
        <v>3998</v>
      </c>
      <c r="C9" s="481">
        <v>2972968</v>
      </c>
      <c r="D9" s="516"/>
      <c r="E9" s="481"/>
      <c r="F9" s="481"/>
      <c r="G9" s="517"/>
      <c r="H9" s="481"/>
      <c r="I9" s="509" t="s">
        <v>1169</v>
      </c>
      <c r="J9" s="478"/>
      <c r="K9" s="481"/>
      <c r="L9" s="347"/>
    </row>
    <row r="10" spans="1:13" s="519" customFormat="1" ht="13.5" thickBot="1" x14ac:dyDescent="0.25">
      <c r="A10" s="1736" t="s">
        <v>1173</v>
      </c>
      <c r="B10" s="1709"/>
      <c r="C10" s="1688">
        <f>SUM(C8:C9)</f>
        <v>10689502</v>
      </c>
      <c r="D10" s="1688">
        <f t="shared" ref="D10:K10" si="1">SUM(D8:D9)</f>
        <v>707252</v>
      </c>
      <c r="E10" s="1688">
        <f t="shared" si="1"/>
        <v>443369</v>
      </c>
      <c r="F10" s="1688">
        <f t="shared" si="1"/>
        <v>392317</v>
      </c>
      <c r="G10" s="1688">
        <f t="shared" si="1"/>
        <v>251490</v>
      </c>
      <c r="H10" s="1688">
        <f t="shared" si="1"/>
        <v>39885</v>
      </c>
      <c r="I10" s="1688">
        <f t="shared" si="1"/>
        <v>3689</v>
      </c>
      <c r="J10" s="1688">
        <f t="shared" si="1"/>
        <v>99708</v>
      </c>
      <c r="K10" s="1688">
        <f t="shared" si="1"/>
        <v>0</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4581015</v>
      </c>
      <c r="D12" s="520" t="s">
        <v>1169</v>
      </c>
      <c r="E12" s="468" t="s">
        <v>1169</v>
      </c>
      <c r="F12" s="468" t="s">
        <v>1169</v>
      </c>
      <c r="G12" s="1742">
        <f>'Expenditures 15-22'!K229</f>
        <v>97726</v>
      </c>
      <c r="H12" s="521"/>
      <c r="I12" s="468" t="s">
        <v>1169</v>
      </c>
      <c r="J12" s="468" t="s">
        <v>1169</v>
      </c>
      <c r="K12" s="521" t="s">
        <v>1169</v>
      </c>
      <c r="L12" s="347"/>
    </row>
    <row r="13" spans="1:13" ht="15.75" customHeight="1" x14ac:dyDescent="0.2">
      <c r="A13" s="1576" t="s">
        <v>457</v>
      </c>
      <c r="B13" s="1578">
        <v>2000</v>
      </c>
      <c r="C13" s="1743">
        <f>'Expenditures 15-22'!K74</f>
        <v>2224787</v>
      </c>
      <c r="D13" s="1743">
        <f>'Expenditures 15-22'!K129</f>
        <v>680999</v>
      </c>
      <c r="E13" s="469" t="s">
        <v>1169</v>
      </c>
      <c r="F13" s="1743">
        <f>'Expenditures 15-22'!K184</f>
        <v>510827</v>
      </c>
      <c r="G13" s="1743">
        <f>'Expenditures 15-22'!K279</f>
        <v>180738</v>
      </c>
      <c r="H13" s="1743">
        <f>'Expenditures 15-22'!K303</f>
        <v>1061276</v>
      </c>
      <c r="I13" s="468" t="s">
        <v>1169</v>
      </c>
      <c r="J13" s="1743">
        <f>'Expenditures 15-22'!K330</f>
        <v>82949</v>
      </c>
      <c r="K13" s="1747">
        <f>'Expenditures 15-22'!K352</f>
        <v>0</v>
      </c>
      <c r="L13" s="347"/>
    </row>
    <row r="14" spans="1:13" ht="15.75" customHeight="1" x14ac:dyDescent="0.2">
      <c r="A14" s="1576" t="s">
        <v>449</v>
      </c>
      <c r="B14" s="1578">
        <v>3000</v>
      </c>
      <c r="C14" s="1743">
        <f>'Expenditures 15-22'!K75</f>
        <v>12755</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471795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869885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7290352</v>
      </c>
      <c r="D17" s="1688">
        <f t="shared" si="2"/>
        <v>680999</v>
      </c>
      <c r="E17" s="1688">
        <f t="shared" si="2"/>
        <v>869885</v>
      </c>
      <c r="F17" s="1688">
        <f t="shared" si="2"/>
        <v>510827</v>
      </c>
      <c r="G17" s="1688">
        <f t="shared" si="2"/>
        <v>278464</v>
      </c>
      <c r="H17" s="1688">
        <f t="shared" si="2"/>
        <v>1061276</v>
      </c>
      <c r="I17" s="468"/>
      <c r="J17" s="1688">
        <f>SUM(J12:J16)</f>
        <v>82949</v>
      </c>
      <c r="K17" s="1688">
        <f>SUM(K12:K16)</f>
        <v>0</v>
      </c>
      <c r="L17" s="347"/>
    </row>
    <row r="18" spans="1:12" ht="15" customHeight="1" thickTop="1" x14ac:dyDescent="0.2">
      <c r="A18" s="1744" t="s">
        <v>1654</v>
      </c>
      <c r="B18" s="1745">
        <v>4180</v>
      </c>
      <c r="C18" s="1742">
        <f t="shared" ref="C18:H18" si="3">C9</f>
        <v>2972968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10263320</v>
      </c>
      <c r="D19" s="1688">
        <f t="shared" si="4"/>
        <v>680999</v>
      </c>
      <c r="E19" s="1688">
        <f t="shared" si="4"/>
        <v>869885</v>
      </c>
      <c r="F19" s="1688">
        <f t="shared" si="4"/>
        <v>510827</v>
      </c>
      <c r="G19" s="1688">
        <f t="shared" si="4"/>
        <v>278464</v>
      </c>
      <c r="H19" s="1688">
        <f t="shared" si="4"/>
        <v>1061276</v>
      </c>
      <c r="I19" s="468"/>
      <c r="J19" s="1688">
        <f>SUM(J17:J18)</f>
        <v>82949</v>
      </c>
      <c r="K19" s="1688">
        <f>SUM(K17:K18)</f>
        <v>0</v>
      </c>
      <c r="L19" s="347"/>
    </row>
    <row r="20" spans="1:12" ht="16.5" thickTop="1" thickBot="1" x14ac:dyDescent="0.25">
      <c r="A20" s="2129" t="s">
        <v>1655</v>
      </c>
      <c r="B20" s="2130"/>
      <c r="C20" s="1746">
        <f>C8-C17</f>
        <v>426182</v>
      </c>
      <c r="D20" s="1746">
        <f t="shared" ref="D20:K20" si="5">D8-D17</f>
        <v>26253</v>
      </c>
      <c r="E20" s="1746">
        <f t="shared" si="5"/>
        <v>-426516</v>
      </c>
      <c r="F20" s="1746">
        <f t="shared" si="5"/>
        <v>-118510</v>
      </c>
      <c r="G20" s="1746">
        <f t="shared" si="5"/>
        <v>-26974</v>
      </c>
      <c r="H20" s="1746">
        <f t="shared" si="5"/>
        <v>-1021391</v>
      </c>
      <c r="I20" s="1746">
        <f t="shared" si="5"/>
        <v>3689</v>
      </c>
      <c r="J20" s="1746">
        <f t="shared" si="5"/>
        <v>16759</v>
      </c>
      <c r="K20" s="1746">
        <f t="shared" si="5"/>
        <v>0</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350588</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v>7412</v>
      </c>
      <c r="F33" s="467"/>
      <c r="G33" s="477"/>
      <c r="H33" s="467">
        <v>5980000</v>
      </c>
      <c r="I33" s="467">
        <v>350588</v>
      </c>
      <c r="J33" s="467"/>
      <c r="K33" s="467"/>
      <c r="L33" s="524"/>
    </row>
    <row r="34" spans="1:12" s="485" customFormat="1" x14ac:dyDescent="0.2">
      <c r="A34" s="1489" t="s">
        <v>1001</v>
      </c>
      <c r="B34" s="525">
        <v>7220</v>
      </c>
      <c r="C34" s="467"/>
      <c r="D34" s="467"/>
      <c r="E34" s="467"/>
      <c r="F34" s="467"/>
      <c r="G34" s="477"/>
      <c r="H34" s="478">
        <v>142200</v>
      </c>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350588</v>
      </c>
      <c r="D44" s="1703">
        <f t="shared" ref="D44:K44" si="6">SUM(D24:D43)</f>
        <v>0</v>
      </c>
      <c r="E44" s="1703">
        <f t="shared" si="6"/>
        <v>7412</v>
      </c>
      <c r="F44" s="1703">
        <f t="shared" si="6"/>
        <v>0</v>
      </c>
      <c r="G44" s="1703">
        <f t="shared" si="6"/>
        <v>0</v>
      </c>
      <c r="H44" s="1703">
        <f t="shared" si="6"/>
        <v>6122200</v>
      </c>
      <c r="I44" s="1703">
        <f t="shared" si="6"/>
        <v>350588</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350588</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350588</v>
      </c>
      <c r="J76" s="1703">
        <f t="shared" si="7"/>
        <v>0</v>
      </c>
      <c r="K76" s="1703">
        <f t="shared" si="7"/>
        <v>0</v>
      </c>
      <c r="L76" s="524"/>
    </row>
    <row r="77" spans="1:12" ht="14.25" thickTop="1" thickBot="1" x14ac:dyDescent="0.25">
      <c r="A77" s="2121" t="s">
        <v>1177</v>
      </c>
      <c r="B77" s="2122"/>
      <c r="C77" s="1703">
        <f t="shared" ref="C77:K77" si="8">C44-C76</f>
        <v>350588</v>
      </c>
      <c r="D77" s="1703">
        <f t="shared" si="8"/>
        <v>0</v>
      </c>
      <c r="E77" s="1703">
        <f t="shared" si="8"/>
        <v>7412</v>
      </c>
      <c r="F77" s="1703">
        <f t="shared" si="8"/>
        <v>0</v>
      </c>
      <c r="G77" s="1703">
        <f t="shared" si="8"/>
        <v>0</v>
      </c>
      <c r="H77" s="1703">
        <f t="shared" si="8"/>
        <v>6122200</v>
      </c>
      <c r="I77" s="1703">
        <f t="shared" si="8"/>
        <v>0</v>
      </c>
      <c r="J77" s="1703">
        <f t="shared" si="8"/>
        <v>0</v>
      </c>
      <c r="K77" s="1703">
        <f t="shared" si="8"/>
        <v>0</v>
      </c>
      <c r="L77" s="347"/>
    </row>
    <row r="78" spans="1:12" ht="21.75" customHeight="1" thickTop="1" thickBot="1" x14ac:dyDescent="0.25">
      <c r="A78" s="2125" t="s">
        <v>597</v>
      </c>
      <c r="B78" s="2126"/>
      <c r="C78" s="1702">
        <f t="shared" ref="C78:K78" si="9">C20+C77</f>
        <v>776770</v>
      </c>
      <c r="D78" s="1702">
        <f t="shared" si="9"/>
        <v>26253</v>
      </c>
      <c r="E78" s="1702">
        <f t="shared" si="9"/>
        <v>-419104</v>
      </c>
      <c r="F78" s="1702">
        <f t="shared" si="9"/>
        <v>-118510</v>
      </c>
      <c r="G78" s="1702">
        <f t="shared" si="9"/>
        <v>-26974</v>
      </c>
      <c r="H78" s="1702">
        <f t="shared" si="9"/>
        <v>5100809</v>
      </c>
      <c r="I78" s="1702">
        <f t="shared" si="9"/>
        <v>3689</v>
      </c>
      <c r="J78" s="1702">
        <f t="shared" si="9"/>
        <v>16759</v>
      </c>
      <c r="K78" s="1702">
        <f t="shared" si="9"/>
        <v>0</v>
      </c>
      <c r="L78" s="533"/>
    </row>
    <row r="79" spans="1:12" ht="13.5" thickTop="1" x14ac:dyDescent="0.2">
      <c r="A79" s="1494" t="s">
        <v>1947</v>
      </c>
      <c r="B79" s="534"/>
      <c r="C79" s="478">
        <v>925098</v>
      </c>
      <c r="D79" s="535">
        <v>108533</v>
      </c>
      <c r="E79" s="535">
        <v>625249</v>
      </c>
      <c r="F79" s="535">
        <v>861803</v>
      </c>
      <c r="G79" s="535">
        <v>174109</v>
      </c>
      <c r="H79" s="535">
        <v>0</v>
      </c>
      <c r="I79" s="535">
        <v>185521</v>
      </c>
      <c r="J79" s="535">
        <v>2949</v>
      </c>
      <c r="K79" s="535"/>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1701868</v>
      </c>
      <c r="D81" s="1688">
        <f>SUM(D78:D80)</f>
        <v>134786</v>
      </c>
      <c r="E81" s="1688">
        <f t="shared" ref="E81:K81" si="10">SUM(E78:E80)</f>
        <v>206145</v>
      </c>
      <c r="F81" s="1688">
        <f t="shared" si="10"/>
        <v>743293</v>
      </c>
      <c r="G81" s="1688">
        <f t="shared" si="10"/>
        <v>147135</v>
      </c>
      <c r="H81" s="1688">
        <f t="shared" si="10"/>
        <v>5100809</v>
      </c>
      <c r="I81" s="1688">
        <f t="shared" si="10"/>
        <v>189210</v>
      </c>
      <c r="J81" s="1688">
        <f t="shared" si="10"/>
        <v>19708</v>
      </c>
      <c r="K81" s="1688">
        <f t="shared" si="10"/>
        <v>0</v>
      </c>
      <c r="L81" s="347"/>
    </row>
    <row r="82" spans="1:12" ht="0.75" customHeight="1" thickTop="1" thickBot="1" x14ac:dyDescent="0.25">
      <c r="A82" s="536" t="s">
        <v>343</v>
      </c>
      <c r="B82" s="537"/>
      <c r="C82" s="538">
        <f>(C81-C79)</f>
        <v>776770</v>
      </c>
      <c r="D82" s="538">
        <f t="shared" ref="D82:K82" si="11">(D81-D79)</f>
        <v>26253</v>
      </c>
      <c r="E82" s="538">
        <f t="shared" si="11"/>
        <v>-419104</v>
      </c>
      <c r="F82" s="538">
        <f t="shared" si="11"/>
        <v>-118510</v>
      </c>
      <c r="G82" s="538">
        <f t="shared" si="11"/>
        <v>-26974</v>
      </c>
      <c r="H82" s="538">
        <f t="shared" si="11"/>
        <v>5100809</v>
      </c>
      <c r="I82" s="538">
        <f t="shared" si="11"/>
        <v>3689</v>
      </c>
      <c r="J82" s="538">
        <f t="shared" si="11"/>
        <v>16759</v>
      </c>
      <c r="K82" s="538">
        <f t="shared" si="11"/>
        <v>0</v>
      </c>
    </row>
    <row r="83" spans="1:12" ht="14.25" hidden="1" thickTop="1" thickBot="1" x14ac:dyDescent="0.25">
      <c r="A83" s="539" t="s">
        <v>344</v>
      </c>
      <c r="B83" s="464"/>
      <c r="C83" s="540">
        <f>C82/C81</f>
        <v>0.45642200217643203</v>
      </c>
      <c r="D83" s="540">
        <f t="shared" ref="D83:K83" si="12">D82/D81</f>
        <v>0.19477542177971005</v>
      </c>
      <c r="E83" s="540">
        <f t="shared" si="12"/>
        <v>-2.0330544034538796</v>
      </c>
      <c r="F83" s="540">
        <f t="shared" si="12"/>
        <v>-0.15943914445582025</v>
      </c>
      <c r="G83" s="540">
        <f t="shared" si="12"/>
        <v>-0.1833282359737656</v>
      </c>
      <c r="H83" s="540">
        <f t="shared" si="12"/>
        <v>1</v>
      </c>
      <c r="I83" s="540">
        <f t="shared" si="12"/>
        <v>1.9496855345911949E-2</v>
      </c>
      <c r="J83" s="540">
        <f t="shared" si="12"/>
        <v>0.8503653338745687</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1" activePane="bottomLeft" state="frozen"/>
      <selection activeCell="T25" sqref="T25:AA25"/>
      <selection pane="bottomLeft" activeCell="C102" sqref="C10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4228792</v>
      </c>
      <c r="D5" s="481">
        <v>692459</v>
      </c>
      <c r="E5" s="466">
        <v>443133</v>
      </c>
      <c r="F5" s="548">
        <v>65261</v>
      </c>
      <c r="G5" s="466">
        <v>110982</v>
      </c>
      <c r="H5" s="466">
        <v>0</v>
      </c>
      <c r="I5" s="466">
        <v>2674</v>
      </c>
      <c r="J5" s="467">
        <v>95776</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20180</v>
      </c>
      <c r="D7" s="466"/>
      <c r="E7" s="468"/>
      <c r="F7" s="467"/>
      <c r="G7" s="467"/>
      <c r="H7" s="467"/>
      <c r="I7" s="468"/>
      <c r="J7" s="468"/>
      <c r="K7" s="468"/>
    </row>
    <row r="8" spans="1:12" x14ac:dyDescent="0.2">
      <c r="A8" s="463" t="s">
        <v>413</v>
      </c>
      <c r="B8" s="470">
        <v>1150</v>
      </c>
      <c r="C8" s="475"/>
      <c r="D8" s="475"/>
      <c r="E8" s="477"/>
      <c r="F8" s="477"/>
      <c r="G8" s="481">
        <v>125898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v>10401</v>
      </c>
      <c r="H11" s="466"/>
      <c r="I11" s="466"/>
      <c r="J11" s="467"/>
      <c r="K11" s="466"/>
      <c r="L11" s="552"/>
    </row>
    <row r="12" spans="1:12" ht="12.75" customHeight="1" thickBot="1" x14ac:dyDescent="0.25">
      <c r="A12" s="1705" t="s">
        <v>29</v>
      </c>
      <c r="B12" s="1706"/>
      <c r="C12" s="1707">
        <f t="shared" ref="C12:K12" si="0">SUM(C5:C11)</f>
        <v>4248972</v>
      </c>
      <c r="D12" s="1707">
        <f t="shared" si="0"/>
        <v>692459</v>
      </c>
      <c r="E12" s="1707">
        <f t="shared" si="0"/>
        <v>443133</v>
      </c>
      <c r="F12" s="1707">
        <f t="shared" si="0"/>
        <v>65261</v>
      </c>
      <c r="G12" s="1707">
        <f t="shared" si="0"/>
        <v>247281</v>
      </c>
      <c r="H12" s="1707">
        <f t="shared" si="0"/>
        <v>0</v>
      </c>
      <c r="I12" s="1707">
        <f t="shared" si="0"/>
        <v>2674</v>
      </c>
      <c r="J12" s="1707">
        <f t="shared" si="0"/>
        <v>95776</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29090</v>
      </c>
      <c r="D16" s="466"/>
      <c r="E16" s="466"/>
      <c r="F16" s="466"/>
      <c r="G16" s="466">
        <v>4044</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29090</v>
      </c>
      <c r="D18" s="1710">
        <f t="shared" ref="D18:K18" si="1">SUM(D14:D17)</f>
        <v>0</v>
      </c>
      <c r="E18" s="1710">
        <f t="shared" si="1"/>
        <v>0</v>
      </c>
      <c r="F18" s="1710">
        <f t="shared" si="1"/>
        <v>0</v>
      </c>
      <c r="G18" s="1710">
        <f t="shared" si="1"/>
        <v>4044</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4350</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17400</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21750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214</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214</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43482</v>
      </c>
      <c r="D65" s="466">
        <v>155</v>
      </c>
      <c r="E65" s="466">
        <v>236</v>
      </c>
      <c r="F65" s="467">
        <v>855</v>
      </c>
      <c r="G65" s="466">
        <v>165</v>
      </c>
      <c r="H65" s="466">
        <v>39885</v>
      </c>
      <c r="I65" s="466">
        <v>1015</v>
      </c>
      <c r="J65" s="467">
        <v>21</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43482</v>
      </c>
      <c r="D67" s="1688">
        <f t="shared" ref="D67:K67" si="2">SUM(D65:D66)</f>
        <v>155</v>
      </c>
      <c r="E67" s="1688">
        <f t="shared" si="2"/>
        <v>236</v>
      </c>
      <c r="F67" s="1688">
        <f t="shared" si="2"/>
        <v>855</v>
      </c>
      <c r="G67" s="1688">
        <f t="shared" si="2"/>
        <v>165</v>
      </c>
      <c r="H67" s="1688">
        <f t="shared" si="2"/>
        <v>39885</v>
      </c>
      <c r="I67" s="1688">
        <f t="shared" si="2"/>
        <v>1015</v>
      </c>
      <c r="J67" s="1688">
        <f t="shared" si="2"/>
        <v>21</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93630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f>5102+2541</f>
        <v>7643</v>
      </c>
      <c r="D74" s="468"/>
      <c r="E74" s="468"/>
      <c r="F74" s="468"/>
      <c r="G74" s="468"/>
      <c r="H74" s="468"/>
      <c r="I74" s="468"/>
      <c r="J74" s="468"/>
      <c r="K74" s="468"/>
    </row>
    <row r="75" spans="1:11" ht="12.75" customHeight="1" thickBot="1" x14ac:dyDescent="0.25">
      <c r="A75" s="1708" t="s">
        <v>548</v>
      </c>
      <c r="B75" s="1709"/>
      <c r="C75" s="1688">
        <f>SUM(C69:C74)</f>
        <v>101273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2449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11376</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92</v>
      </c>
      <c r="D81" s="466"/>
      <c r="E81" s="468"/>
      <c r="F81" s="468"/>
      <c r="G81" s="468"/>
      <c r="H81" s="468"/>
      <c r="I81" s="468"/>
      <c r="J81" s="468"/>
      <c r="K81" s="468"/>
    </row>
    <row r="82" spans="1:11" ht="12.75" customHeight="1" thickBot="1" x14ac:dyDescent="0.25">
      <c r="A82" s="1708" t="s">
        <v>241</v>
      </c>
      <c r="B82" s="1709"/>
      <c r="C82" s="1707">
        <f>SUM(C77:C81)</f>
        <v>13917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58344</v>
      </c>
      <c r="D84" s="468"/>
      <c r="E84" s="468"/>
      <c r="F84" s="468"/>
      <c r="G84" s="468"/>
      <c r="H84" s="468"/>
      <c r="I84" s="468"/>
      <c r="J84" s="468"/>
      <c r="K84" s="468"/>
    </row>
    <row r="85" spans="1:11" ht="12.75" customHeight="1" x14ac:dyDescent="0.2">
      <c r="A85" s="463" t="s">
        <v>553</v>
      </c>
      <c r="B85" s="470">
        <v>1812</v>
      </c>
      <c r="C85" s="551">
        <v>2406</v>
      </c>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16416</v>
      </c>
      <c r="D92" s="468"/>
      <c r="E92" s="468"/>
      <c r="F92" s="468"/>
      <c r="G92" s="468"/>
      <c r="H92" s="468"/>
      <c r="I92" s="468"/>
      <c r="J92" s="468"/>
      <c r="K92" s="468"/>
    </row>
    <row r="93" spans="1:11" ht="12.75" customHeight="1" thickBot="1" x14ac:dyDescent="0.25">
      <c r="A93" s="1708" t="s">
        <v>243</v>
      </c>
      <c r="B93" s="1709"/>
      <c r="C93" s="1688">
        <f>SUM(C84:C92)</f>
        <v>77166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1534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v>42949</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31048</v>
      </c>
      <c r="D107" s="466">
        <v>14638</v>
      </c>
      <c r="E107" s="466"/>
      <c r="F107" s="466">
        <v>9129</v>
      </c>
      <c r="G107" s="466"/>
      <c r="H107" s="466"/>
      <c r="I107" s="466"/>
      <c r="J107" s="467">
        <v>3911</v>
      </c>
      <c r="K107" s="466"/>
    </row>
    <row r="108" spans="1:12" ht="12.75" customHeight="1" thickBot="1" x14ac:dyDescent="0.25">
      <c r="A108" s="1708" t="s">
        <v>487</v>
      </c>
      <c r="B108" s="1712"/>
      <c r="C108" s="1707">
        <f>SUM(C95:C107)</f>
        <v>75531</v>
      </c>
      <c r="D108" s="1707">
        <f t="shared" ref="D108:K108" si="3">SUM(D95:D107)</f>
        <v>14638</v>
      </c>
      <c r="E108" s="1707">
        <f t="shared" si="3"/>
        <v>0</v>
      </c>
      <c r="F108" s="1707">
        <f t="shared" si="3"/>
        <v>9129</v>
      </c>
      <c r="G108" s="1707">
        <f t="shared" si="3"/>
        <v>0</v>
      </c>
      <c r="H108" s="1707">
        <f t="shared" si="3"/>
        <v>0</v>
      </c>
      <c r="I108" s="1707">
        <f t="shared" si="3"/>
        <v>0</v>
      </c>
      <c r="J108" s="1707">
        <f t="shared" si="3"/>
        <v>3911</v>
      </c>
      <c r="K108" s="1688">
        <f t="shared" si="3"/>
        <v>0</v>
      </c>
    </row>
    <row r="109" spans="1:12" ht="14.25" thickTop="1" thickBot="1" x14ac:dyDescent="0.25">
      <c r="A109" s="1713" t="s">
        <v>248</v>
      </c>
      <c r="B109" s="1714" t="s">
        <v>570</v>
      </c>
      <c r="C109" s="1715">
        <f t="shared" ref="C109:K109" si="4">SUM(C12,C18,C40,C63,C67,C75,C82,C93,C108,)</f>
        <v>4611181</v>
      </c>
      <c r="D109" s="1715">
        <f t="shared" si="4"/>
        <v>707252</v>
      </c>
      <c r="E109" s="1715">
        <f t="shared" si="4"/>
        <v>443369</v>
      </c>
      <c r="F109" s="1715">
        <f t="shared" si="4"/>
        <v>75459</v>
      </c>
      <c r="G109" s="1715">
        <f t="shared" si="4"/>
        <v>251490</v>
      </c>
      <c r="H109" s="1715">
        <f t="shared" si="4"/>
        <v>39885</v>
      </c>
      <c r="I109" s="1715">
        <f t="shared" si="4"/>
        <v>3689</v>
      </c>
      <c r="J109" s="1715">
        <f t="shared" si="4"/>
        <v>99708</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2219133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2219133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25442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25442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3950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129118</v>
      </c>
      <c r="G152" s="467"/>
      <c r="H152" s="468"/>
      <c r="I152" s="468"/>
      <c r="J152" s="468"/>
      <c r="K152" s="468"/>
    </row>
    <row r="153" spans="1:11" ht="12.75" customHeight="1" x14ac:dyDescent="0.2">
      <c r="A153" s="463" t="s">
        <v>1057</v>
      </c>
      <c r="B153" s="562">
        <v>3510</v>
      </c>
      <c r="C153" s="551"/>
      <c r="D153" s="466"/>
      <c r="E153" s="561"/>
      <c r="F153" s="466">
        <v>187740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316858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212963</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0</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242355</v>
      </c>
      <c r="D169" s="1722">
        <f t="shared" si="6"/>
        <v>0</v>
      </c>
      <c r="E169" s="1722">
        <f t="shared" si="6"/>
        <v>0</v>
      </c>
      <c r="F169" s="1722">
        <f t="shared" si="6"/>
        <v>316858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2461488</v>
      </c>
      <c r="D170" s="1715">
        <f t="shared" si="7"/>
        <v>0</v>
      </c>
      <c r="E170" s="1715">
        <f t="shared" si="7"/>
        <v>0</v>
      </c>
      <c r="F170" s="1715">
        <f t="shared" si="7"/>
        <v>316858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196398</v>
      </c>
      <c r="D191" s="468"/>
      <c r="E191" s="561"/>
      <c r="F191" s="468"/>
      <c r="G191" s="585"/>
      <c r="H191" s="468"/>
      <c r="I191" s="468"/>
      <c r="J191" s="468"/>
      <c r="K191" s="468"/>
    </row>
    <row r="192" spans="1:11" ht="12.75" customHeight="1" x14ac:dyDescent="0.2">
      <c r="A192" s="463" t="s">
        <v>1047</v>
      </c>
      <c r="B192" s="470">
        <v>4215</v>
      </c>
      <c r="C192" s="551">
        <v>1173</v>
      </c>
      <c r="D192" s="468"/>
      <c r="E192" s="561"/>
      <c r="F192" s="468"/>
      <c r="G192" s="585"/>
      <c r="H192" s="468"/>
      <c r="I192" s="468"/>
      <c r="J192" s="468"/>
      <c r="K192" s="468"/>
    </row>
    <row r="193" spans="1:11" ht="12.75" customHeight="1" x14ac:dyDescent="0.2">
      <c r="A193" s="463" t="s">
        <v>1059</v>
      </c>
      <c r="B193" s="470">
        <v>4220</v>
      </c>
      <c r="C193" s="551">
        <v>42801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26125</v>
      </c>
      <c r="D197" s="468"/>
      <c r="E197" s="561"/>
      <c r="F197" s="468"/>
      <c r="G197" s="585"/>
      <c r="H197" s="468"/>
      <c r="I197" s="468"/>
      <c r="J197" s="468"/>
      <c r="K197" s="468"/>
    </row>
    <row r="198" spans="1:11" ht="12.75" customHeight="1" thickBot="1" x14ac:dyDescent="0.25">
      <c r="A198" s="1708" t="s">
        <v>548</v>
      </c>
      <c r="B198" s="1709"/>
      <c r="C198" s="1688">
        <f>SUM(C190:C197)</f>
        <v>266497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140654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3360</v>
      </c>
      <c r="D203" s="466"/>
      <c r="E203" s="468"/>
      <c r="F203" s="466"/>
      <c r="G203" s="466"/>
      <c r="H203" s="468"/>
      <c r="I203" s="468"/>
      <c r="J203" s="468"/>
      <c r="K203" s="468"/>
    </row>
    <row r="204" spans="1:11" ht="12.75" customHeight="1" thickBot="1" x14ac:dyDescent="0.25">
      <c r="A204" s="1708" t="s">
        <v>400</v>
      </c>
      <c r="B204" s="1709"/>
      <c r="C204" s="1707">
        <f>SUM(C200:C203)</f>
        <v>144014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9742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9742</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5061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147357</v>
      </c>
      <c r="D213" s="466"/>
      <c r="E213" s="468"/>
      <c r="F213" s="466"/>
      <c r="G213" s="466"/>
      <c r="H213" s="468"/>
      <c r="I213" s="468"/>
      <c r="J213" s="468"/>
      <c r="K213" s="468"/>
    </row>
    <row r="214" spans="1:11" ht="12.75" customHeight="1" x14ac:dyDescent="0.2">
      <c r="A214" s="463" t="s">
        <v>1054</v>
      </c>
      <c r="B214" s="470">
        <v>4625</v>
      </c>
      <c r="C214" s="551">
        <v>6841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159259</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12741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15059</v>
      </c>
      <c r="D263" s="576"/>
      <c r="E263" s="468"/>
      <c r="F263" s="576"/>
      <c r="G263" s="576"/>
      <c r="H263" s="468"/>
      <c r="I263" s="468"/>
      <c r="J263" s="468"/>
      <c r="K263" s="468"/>
    </row>
    <row r="264" spans="1:11" ht="12.75" customHeight="1" thickTop="1" thickBot="1" x14ac:dyDescent="0.25">
      <c r="A264" s="463" t="s">
        <v>377</v>
      </c>
      <c r="B264" s="470">
        <v>4992</v>
      </c>
      <c r="C264" s="575">
        <v>36553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643865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643865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7716534</v>
      </c>
      <c r="D268" s="1715">
        <f t="shared" si="12"/>
        <v>707252</v>
      </c>
      <c r="E268" s="1715">
        <f t="shared" si="12"/>
        <v>443369</v>
      </c>
      <c r="F268" s="1715">
        <f t="shared" si="12"/>
        <v>392317</v>
      </c>
      <c r="G268" s="1715">
        <f t="shared" si="12"/>
        <v>251490</v>
      </c>
      <c r="H268" s="1715">
        <f t="shared" si="12"/>
        <v>39885</v>
      </c>
      <c r="I268" s="1715">
        <f t="shared" si="12"/>
        <v>3689</v>
      </c>
      <c r="J268" s="1715">
        <f t="shared" si="12"/>
        <v>99708</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1" activePane="bottomLeft" state="frozen"/>
      <selection activeCell="T25" sqref="T25:AA25"/>
      <selection pane="bottomLeft" activeCell="T25" sqref="T25:AA2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2766112</v>
      </c>
      <c r="D5" s="466">
        <v>443101</v>
      </c>
      <c r="E5" s="466">
        <v>21175</v>
      </c>
      <c r="F5" s="466">
        <v>211002</v>
      </c>
      <c r="G5" s="466">
        <v>17638</v>
      </c>
      <c r="H5" s="466"/>
      <c r="I5" s="467"/>
      <c r="J5" s="467"/>
      <c r="K5" s="1671">
        <f>SUM(C5:J5)</f>
        <v>3459028</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824179</v>
      </c>
      <c r="D8" s="466">
        <v>111949</v>
      </c>
      <c r="E8" s="466">
        <v>22976</v>
      </c>
      <c r="F8" s="466">
        <v>16107</v>
      </c>
      <c r="G8" s="466">
        <v>1696</v>
      </c>
      <c r="H8" s="466"/>
      <c r="I8" s="467"/>
      <c r="J8" s="467"/>
      <c r="K8" s="1671">
        <f t="shared" si="0"/>
        <v>976907</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34432</v>
      </c>
      <c r="D10" s="466">
        <v>4938</v>
      </c>
      <c r="E10" s="466"/>
      <c r="F10" s="466">
        <v>1074</v>
      </c>
      <c r="G10" s="466"/>
      <c r="H10" s="466"/>
      <c r="I10" s="467"/>
      <c r="J10" s="467"/>
      <c r="K10" s="1671">
        <f t="shared" si="0"/>
        <v>40444</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36295</v>
      </c>
      <c r="D14" s="466">
        <v>458</v>
      </c>
      <c r="E14" s="466">
        <v>6014</v>
      </c>
      <c r="F14" s="466">
        <v>2152</v>
      </c>
      <c r="G14" s="466"/>
      <c r="H14" s="466"/>
      <c r="I14" s="467"/>
      <c r="J14" s="467"/>
      <c r="K14" s="1671">
        <f t="shared" si="0"/>
        <v>44919</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v>50994</v>
      </c>
      <c r="D18" s="466">
        <v>8723</v>
      </c>
      <c r="E18" s="466"/>
      <c r="F18" s="466"/>
      <c r="G18" s="466"/>
      <c r="H18" s="466"/>
      <c r="I18" s="467"/>
      <c r="J18" s="467"/>
      <c r="K18" s="1671">
        <f t="shared" si="0"/>
        <v>59717</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3712012</v>
      </c>
      <c r="D33" s="1670">
        <f t="shared" ref="D33:L33" si="1">SUM(D5:D32)</f>
        <v>569169</v>
      </c>
      <c r="E33" s="1670">
        <f t="shared" si="1"/>
        <v>50165</v>
      </c>
      <c r="F33" s="1670">
        <f t="shared" si="1"/>
        <v>230335</v>
      </c>
      <c r="G33" s="1670">
        <f t="shared" si="1"/>
        <v>19334</v>
      </c>
      <c r="H33" s="1670">
        <f t="shared" si="1"/>
        <v>0</v>
      </c>
      <c r="I33" s="1670">
        <f t="shared" si="1"/>
        <v>0</v>
      </c>
      <c r="J33" s="1670">
        <f t="shared" si="1"/>
        <v>0</v>
      </c>
      <c r="K33" s="1670">
        <f t="shared" si="1"/>
        <v>4581015</v>
      </c>
      <c r="L33" s="1670">
        <f t="shared" si="1"/>
        <v>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117837</v>
      </c>
      <c r="D36" s="481">
        <v>17726</v>
      </c>
      <c r="E36" s="481"/>
      <c r="F36" s="481"/>
      <c r="G36" s="481"/>
      <c r="H36" s="481"/>
      <c r="I36" s="467"/>
      <c r="J36" s="467"/>
      <c r="K36" s="1671">
        <f t="shared" ref="K36:K41" si="2">SUM(C36:J36)</f>
        <v>135563</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35633</v>
      </c>
      <c r="D38" s="466">
        <v>72</v>
      </c>
      <c r="E38" s="466">
        <v>3584</v>
      </c>
      <c r="F38" s="466">
        <v>2352</v>
      </c>
      <c r="G38" s="466"/>
      <c r="H38" s="466"/>
      <c r="I38" s="467"/>
      <c r="J38" s="467"/>
      <c r="K38" s="1671">
        <f t="shared" si="2"/>
        <v>41641</v>
      </c>
      <c r="L38" s="466"/>
    </row>
    <row r="39" spans="1:14" x14ac:dyDescent="0.2">
      <c r="A39" s="1504" t="s">
        <v>199</v>
      </c>
      <c r="B39" s="614">
        <v>2140</v>
      </c>
      <c r="C39" s="466">
        <v>48990</v>
      </c>
      <c r="D39" s="466">
        <v>8862</v>
      </c>
      <c r="E39" s="466"/>
      <c r="F39" s="466">
        <v>3074</v>
      </c>
      <c r="G39" s="466"/>
      <c r="H39" s="466"/>
      <c r="I39" s="467"/>
      <c r="J39" s="467"/>
      <c r="K39" s="1671">
        <f t="shared" si="2"/>
        <v>60926</v>
      </c>
      <c r="L39" s="466"/>
    </row>
    <row r="40" spans="1:14" x14ac:dyDescent="0.2">
      <c r="A40" s="1504" t="s">
        <v>200</v>
      </c>
      <c r="B40" s="614">
        <v>2150</v>
      </c>
      <c r="C40" s="466">
        <v>106675</v>
      </c>
      <c r="D40" s="466">
        <v>8317</v>
      </c>
      <c r="E40" s="466">
        <v>28016</v>
      </c>
      <c r="F40" s="466"/>
      <c r="G40" s="466"/>
      <c r="H40" s="466"/>
      <c r="I40" s="467"/>
      <c r="J40" s="467"/>
      <c r="K40" s="1671">
        <f t="shared" si="2"/>
        <v>143008</v>
      </c>
      <c r="L40" s="466"/>
    </row>
    <row r="41" spans="1:14" x14ac:dyDescent="0.2">
      <c r="A41" s="1504" t="s">
        <v>1669</v>
      </c>
      <c r="B41" s="614">
        <v>2190</v>
      </c>
      <c r="C41" s="466">
        <v>43659</v>
      </c>
      <c r="D41" s="466">
        <v>154</v>
      </c>
      <c r="E41" s="466"/>
      <c r="F41" s="466"/>
      <c r="G41" s="466"/>
      <c r="H41" s="466"/>
      <c r="I41" s="467"/>
      <c r="J41" s="467"/>
      <c r="K41" s="1671">
        <f t="shared" si="2"/>
        <v>43813</v>
      </c>
      <c r="L41" s="466"/>
    </row>
    <row r="42" spans="1:14" ht="12.75" customHeight="1" thickBot="1" x14ac:dyDescent="0.25">
      <c r="A42" s="1668" t="s">
        <v>560</v>
      </c>
      <c r="B42" s="1669" t="s">
        <v>716</v>
      </c>
      <c r="C42" s="1670">
        <f>SUM(C36:C41)</f>
        <v>352794</v>
      </c>
      <c r="D42" s="1670">
        <f t="shared" ref="D42:L42" si="3">SUM(D36:D41)</f>
        <v>35131</v>
      </c>
      <c r="E42" s="1670">
        <f t="shared" si="3"/>
        <v>31600</v>
      </c>
      <c r="F42" s="1670">
        <f t="shared" si="3"/>
        <v>5426</v>
      </c>
      <c r="G42" s="1670">
        <f t="shared" si="3"/>
        <v>0</v>
      </c>
      <c r="H42" s="1670">
        <f t="shared" si="3"/>
        <v>0</v>
      </c>
      <c r="I42" s="1670">
        <f t="shared" si="3"/>
        <v>0</v>
      </c>
      <c r="J42" s="1670">
        <f t="shared" si="3"/>
        <v>0</v>
      </c>
      <c r="K42" s="1670">
        <f t="shared" si="3"/>
        <v>424951</v>
      </c>
      <c r="L42" s="1670">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9045</v>
      </c>
      <c r="D44" s="481">
        <v>629</v>
      </c>
      <c r="E44" s="481">
        <v>39010</v>
      </c>
      <c r="F44" s="481"/>
      <c r="G44" s="481"/>
      <c r="H44" s="481">
        <v>3083</v>
      </c>
      <c r="I44" s="467"/>
      <c r="J44" s="467"/>
      <c r="K44" s="1672">
        <f>SUM(C44:J44)</f>
        <v>51767</v>
      </c>
      <c r="L44" s="481"/>
    </row>
    <row r="45" spans="1:14" x14ac:dyDescent="0.2">
      <c r="A45" s="1504" t="s">
        <v>815</v>
      </c>
      <c r="B45" s="614">
        <v>2220</v>
      </c>
      <c r="C45" s="466">
        <v>18197</v>
      </c>
      <c r="D45" s="466">
        <v>42</v>
      </c>
      <c r="E45" s="466"/>
      <c r="F45" s="466">
        <v>6644</v>
      </c>
      <c r="G45" s="466"/>
      <c r="H45" s="466"/>
      <c r="I45" s="467"/>
      <c r="J45" s="467"/>
      <c r="K45" s="1672">
        <f>SUM(C45:J45)</f>
        <v>24883</v>
      </c>
      <c r="L45" s="466"/>
    </row>
    <row r="46" spans="1:14" x14ac:dyDescent="0.2">
      <c r="A46" s="1504" t="s">
        <v>816</v>
      </c>
      <c r="B46" s="614">
        <v>2230</v>
      </c>
      <c r="C46" s="466"/>
      <c r="D46" s="466"/>
      <c r="E46" s="466">
        <v>8125</v>
      </c>
      <c r="F46" s="466"/>
      <c r="G46" s="466"/>
      <c r="H46" s="466"/>
      <c r="I46" s="467"/>
      <c r="J46" s="467"/>
      <c r="K46" s="1672">
        <f>SUM(C46:J46)</f>
        <v>8125</v>
      </c>
      <c r="L46" s="466"/>
    </row>
    <row r="47" spans="1:14" ht="12.75" customHeight="1" thickBot="1" x14ac:dyDescent="0.25">
      <c r="A47" s="1668" t="s">
        <v>561</v>
      </c>
      <c r="B47" s="1669" t="s">
        <v>32</v>
      </c>
      <c r="C47" s="1670">
        <f>SUM(C44:C46)</f>
        <v>27242</v>
      </c>
      <c r="D47" s="1670">
        <f t="shared" ref="D47:K47" si="4">SUM(D44:D46)</f>
        <v>671</v>
      </c>
      <c r="E47" s="1670">
        <f t="shared" si="4"/>
        <v>47135</v>
      </c>
      <c r="F47" s="1670">
        <f t="shared" si="4"/>
        <v>6644</v>
      </c>
      <c r="G47" s="1670">
        <f t="shared" si="4"/>
        <v>0</v>
      </c>
      <c r="H47" s="1670">
        <f t="shared" si="4"/>
        <v>3083</v>
      </c>
      <c r="I47" s="1670">
        <f t="shared" si="4"/>
        <v>0</v>
      </c>
      <c r="J47" s="1670">
        <f t="shared" si="4"/>
        <v>0</v>
      </c>
      <c r="K47" s="1670">
        <f t="shared" si="4"/>
        <v>84775</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115575</v>
      </c>
      <c r="F49" s="481">
        <v>5815</v>
      </c>
      <c r="G49" s="481"/>
      <c r="H49" s="481"/>
      <c r="I49" s="467"/>
      <c r="J49" s="467"/>
      <c r="K49" s="1672">
        <f>SUM(C49:J49)</f>
        <v>121390</v>
      </c>
      <c r="L49" s="481"/>
    </row>
    <row r="50" spans="1:14" x14ac:dyDescent="0.2">
      <c r="A50" s="1504" t="s">
        <v>818</v>
      </c>
      <c r="B50" s="614">
        <v>2320</v>
      </c>
      <c r="C50" s="466">
        <v>224899</v>
      </c>
      <c r="D50" s="466">
        <v>54851</v>
      </c>
      <c r="E50" s="466">
        <v>4874</v>
      </c>
      <c r="F50" s="466">
        <v>2171</v>
      </c>
      <c r="G50" s="466"/>
      <c r="H50" s="466">
        <v>856</v>
      </c>
      <c r="I50" s="467"/>
      <c r="J50" s="467"/>
      <c r="K50" s="1672">
        <f>SUM(C50:J50)</f>
        <v>287651</v>
      </c>
      <c r="L50" s="466"/>
    </row>
    <row r="51" spans="1:14" x14ac:dyDescent="0.2">
      <c r="A51" s="1504" t="s">
        <v>42</v>
      </c>
      <c r="B51" s="614">
        <v>2330</v>
      </c>
      <c r="C51" s="466">
        <v>117468</v>
      </c>
      <c r="D51" s="466">
        <v>27017</v>
      </c>
      <c r="E51" s="466"/>
      <c r="F51" s="466"/>
      <c r="G51" s="466"/>
      <c r="H51" s="466"/>
      <c r="I51" s="467"/>
      <c r="J51" s="467"/>
      <c r="K51" s="1672">
        <f>SUM(C51:J51)</f>
        <v>144485</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342367</v>
      </c>
      <c r="D53" s="1670">
        <f t="shared" ref="D53:L53" si="5">SUM(D49:D52)</f>
        <v>81868</v>
      </c>
      <c r="E53" s="1670">
        <f t="shared" si="5"/>
        <v>120449</v>
      </c>
      <c r="F53" s="1670">
        <f t="shared" si="5"/>
        <v>7986</v>
      </c>
      <c r="G53" s="1670">
        <f t="shared" si="5"/>
        <v>0</v>
      </c>
      <c r="H53" s="1670">
        <f t="shared" si="5"/>
        <v>856</v>
      </c>
      <c r="I53" s="1670">
        <f t="shared" si="5"/>
        <v>0</v>
      </c>
      <c r="J53" s="1670">
        <f t="shared" si="5"/>
        <v>0</v>
      </c>
      <c r="K53" s="1670">
        <f t="shared" si="5"/>
        <v>553526</v>
      </c>
      <c r="L53" s="1670">
        <f t="shared" si="5"/>
        <v>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245680</v>
      </c>
      <c r="D55" s="481">
        <v>52989</v>
      </c>
      <c r="E55" s="481"/>
      <c r="F55" s="481">
        <v>4148</v>
      </c>
      <c r="G55" s="481"/>
      <c r="H55" s="481"/>
      <c r="I55" s="467"/>
      <c r="J55" s="467"/>
      <c r="K55" s="1672">
        <f>SUM(C55:J55)</f>
        <v>302817</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245680</v>
      </c>
      <c r="D57" s="1674">
        <f t="shared" ref="D57:K57" si="6">SUM(D55:D56)</f>
        <v>52989</v>
      </c>
      <c r="E57" s="1674">
        <f t="shared" si="6"/>
        <v>0</v>
      </c>
      <c r="F57" s="1674">
        <f t="shared" si="6"/>
        <v>4148</v>
      </c>
      <c r="G57" s="1674">
        <f t="shared" si="6"/>
        <v>0</v>
      </c>
      <c r="H57" s="1674">
        <f t="shared" si="6"/>
        <v>0</v>
      </c>
      <c r="I57" s="1674">
        <f t="shared" si="6"/>
        <v>0</v>
      </c>
      <c r="J57" s="1674">
        <f t="shared" si="6"/>
        <v>0</v>
      </c>
      <c r="K57" s="1674">
        <f t="shared" si="6"/>
        <v>302817</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108936</v>
      </c>
      <c r="D59" s="481">
        <v>40142</v>
      </c>
      <c r="E59" s="481"/>
      <c r="F59" s="481"/>
      <c r="G59" s="481"/>
      <c r="H59" s="481"/>
      <c r="I59" s="467"/>
      <c r="J59" s="467"/>
      <c r="K59" s="1672">
        <f t="shared" ref="K59:K64" si="7">SUM(C59:J59)</f>
        <v>149078</v>
      </c>
      <c r="L59" s="481"/>
      <c r="M59" s="609"/>
      <c r="N59" s="609"/>
    </row>
    <row r="60" spans="1:14" s="343" customFormat="1" x14ac:dyDescent="0.2">
      <c r="A60" s="1504" t="s">
        <v>463</v>
      </c>
      <c r="B60" s="614">
        <v>2520</v>
      </c>
      <c r="C60" s="466">
        <v>30221</v>
      </c>
      <c r="D60" s="466">
        <v>48</v>
      </c>
      <c r="E60" s="466">
        <v>41617</v>
      </c>
      <c r="F60" s="466">
        <v>10839</v>
      </c>
      <c r="G60" s="466"/>
      <c r="H60" s="466"/>
      <c r="I60" s="467"/>
      <c r="J60" s="467"/>
      <c r="K60" s="1672">
        <f t="shared" si="7"/>
        <v>82725</v>
      </c>
      <c r="L60" s="466"/>
      <c r="M60" s="609"/>
      <c r="N60" s="609"/>
    </row>
    <row r="61" spans="1:14" s="343" customFormat="1" x14ac:dyDescent="0.2">
      <c r="A61" s="1504" t="s">
        <v>197</v>
      </c>
      <c r="B61" s="614">
        <v>2540</v>
      </c>
      <c r="C61" s="466"/>
      <c r="D61" s="466"/>
      <c r="E61" s="466">
        <v>500</v>
      </c>
      <c r="F61" s="466">
        <v>2045</v>
      </c>
      <c r="G61" s="466"/>
      <c r="H61" s="466"/>
      <c r="I61" s="467"/>
      <c r="J61" s="467"/>
      <c r="K61" s="1672">
        <f t="shared" si="7"/>
        <v>2545</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67247</v>
      </c>
      <c r="D63" s="466">
        <v>217</v>
      </c>
      <c r="E63" s="466">
        <v>66034</v>
      </c>
      <c r="F63" s="466">
        <v>193034</v>
      </c>
      <c r="G63" s="466"/>
      <c r="H63" s="466">
        <v>1119</v>
      </c>
      <c r="I63" s="467">
        <v>699</v>
      </c>
      <c r="J63" s="467"/>
      <c r="K63" s="1672">
        <f t="shared" si="7"/>
        <v>328350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206404</v>
      </c>
      <c r="D65" s="1670">
        <f t="shared" ref="D65:L65" si="8">SUM(D59:D64)</f>
        <v>40407</v>
      </c>
      <c r="E65" s="1670">
        <f t="shared" si="8"/>
        <v>108151</v>
      </c>
      <c r="F65" s="1670">
        <f t="shared" si="8"/>
        <v>205918</v>
      </c>
      <c r="G65" s="1670">
        <f t="shared" si="8"/>
        <v>0</v>
      </c>
      <c r="H65" s="1670">
        <f t="shared" si="8"/>
        <v>1119</v>
      </c>
      <c r="I65" s="1670">
        <f t="shared" si="8"/>
        <v>699</v>
      </c>
      <c r="J65" s="1670">
        <f t="shared" si="8"/>
        <v>0</v>
      </c>
      <c r="K65" s="1670">
        <f t="shared" si="8"/>
        <v>562698</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v>120366</v>
      </c>
      <c r="D69" s="466">
        <v>15034</v>
      </c>
      <c r="E69" s="466">
        <v>7397</v>
      </c>
      <c r="F69" s="466">
        <v>71206</v>
      </c>
      <c r="G69" s="466">
        <v>5675</v>
      </c>
      <c r="H69" s="466"/>
      <c r="I69" s="467"/>
      <c r="J69" s="467"/>
      <c r="K69" s="1672">
        <f>SUM(C69:J69)</f>
        <v>219678</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75724</v>
      </c>
      <c r="F71" s="466">
        <v>618</v>
      </c>
      <c r="G71" s="466"/>
      <c r="H71" s="466"/>
      <c r="I71" s="467"/>
      <c r="J71" s="467"/>
      <c r="K71" s="1672">
        <f>SUM(C71:J71)</f>
        <v>76342</v>
      </c>
      <c r="L71" s="466"/>
      <c r="M71" s="609"/>
      <c r="N71" s="609"/>
    </row>
    <row r="72" spans="1:14" s="343" customFormat="1" ht="12.75" customHeight="1" thickBot="1" x14ac:dyDescent="0.25">
      <c r="A72" s="1668" t="s">
        <v>37</v>
      </c>
      <c r="B72" s="1675" t="s">
        <v>36</v>
      </c>
      <c r="C72" s="1670">
        <f>SUM(C67:C71)</f>
        <v>120366</v>
      </c>
      <c r="D72" s="1670">
        <f t="shared" ref="D72:K72" si="9">SUM(D67:D71)</f>
        <v>15034</v>
      </c>
      <c r="E72" s="1670">
        <f t="shared" si="9"/>
        <v>83121</v>
      </c>
      <c r="F72" s="1670">
        <f t="shared" si="9"/>
        <v>71824</v>
      </c>
      <c r="G72" s="1670">
        <f t="shared" si="9"/>
        <v>5675</v>
      </c>
      <c r="H72" s="1670">
        <f t="shared" si="9"/>
        <v>0</v>
      </c>
      <c r="I72" s="1670">
        <f t="shared" si="9"/>
        <v>0</v>
      </c>
      <c r="J72" s="1670">
        <f t="shared" si="9"/>
        <v>0</v>
      </c>
      <c r="K72" s="1670">
        <f t="shared" si="9"/>
        <v>296020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1294853</v>
      </c>
      <c r="D74" s="1677">
        <f t="shared" ref="D74:K74" si="10">SUM(D42,D47,D53,D57,D65,D72,D73)</f>
        <v>226100</v>
      </c>
      <c r="E74" s="1677">
        <f t="shared" si="10"/>
        <v>390456</v>
      </c>
      <c r="F74" s="1677">
        <f t="shared" si="10"/>
        <v>301946</v>
      </c>
      <c r="G74" s="1677">
        <f t="shared" si="10"/>
        <v>5675</v>
      </c>
      <c r="H74" s="1677">
        <f t="shared" si="10"/>
        <v>5058</v>
      </c>
      <c r="I74" s="1677">
        <f t="shared" si="10"/>
        <v>699</v>
      </c>
      <c r="J74" s="1677">
        <f t="shared" si="10"/>
        <v>0</v>
      </c>
      <c r="K74" s="1677">
        <f t="shared" si="10"/>
        <v>2224787</v>
      </c>
      <c r="L74" s="1677">
        <f>SUM(L42,L47,L53,L57,L65,L72,L73)</f>
        <v>0</v>
      </c>
    </row>
    <row r="75" spans="1:14" s="259" customFormat="1" ht="15.75" customHeight="1" thickTop="1" thickBot="1" x14ac:dyDescent="0.25">
      <c r="A75" s="1610" t="s">
        <v>47</v>
      </c>
      <c r="B75" s="1611" t="s">
        <v>575</v>
      </c>
      <c r="C75" s="573"/>
      <c r="D75" s="573"/>
      <c r="E75" s="573"/>
      <c r="F75" s="573">
        <v>12755</v>
      </c>
      <c r="G75" s="573"/>
      <c r="H75" s="573"/>
      <c r="I75" s="531"/>
      <c r="J75" s="531"/>
      <c r="K75" s="1670">
        <f>SUM(C75:J75)</f>
        <v>12755</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337842</v>
      </c>
      <c r="F79" s="616"/>
      <c r="G79" s="616"/>
      <c r="H79" s="466"/>
      <c r="I79" s="477"/>
      <c r="J79" s="477"/>
      <c r="K79" s="1671">
        <f t="shared" si="11"/>
        <v>337842</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v>4871</v>
      </c>
      <c r="I83" s="477"/>
      <c r="J83" s="477"/>
      <c r="K83" s="1671">
        <f t="shared" si="11"/>
        <v>4871</v>
      </c>
      <c r="L83" s="466"/>
    </row>
    <row r="84" spans="1:12" ht="13.5" thickBot="1" x14ac:dyDescent="0.25">
      <c r="A84" s="1668" t="s">
        <v>1485</v>
      </c>
      <c r="B84" s="1678">
        <v>4100</v>
      </c>
      <c r="C84" s="616"/>
      <c r="D84" s="616"/>
      <c r="E84" s="1670">
        <f>SUM(E78:E83)</f>
        <v>337842</v>
      </c>
      <c r="F84" s="616"/>
      <c r="G84" s="616"/>
      <c r="H84" s="1670">
        <f>SUM(H78:H83)</f>
        <v>4871</v>
      </c>
      <c r="I84" s="477"/>
      <c r="J84" s="477"/>
      <c r="K84" s="1670">
        <f>SUM(K78:K83)</f>
        <v>342713</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v>129082</v>
      </c>
      <c r="I91" s="477"/>
      <c r="J91" s="477"/>
      <c r="K91" s="1677">
        <f t="shared" si="12"/>
        <v>129082</v>
      </c>
      <c r="L91" s="530"/>
    </row>
    <row r="92" spans="1:12" ht="14.25" thickTop="1" thickBot="1" x14ac:dyDescent="0.25">
      <c r="A92" s="1680" t="s">
        <v>1560</v>
      </c>
      <c r="B92" s="1678">
        <v>4200</v>
      </c>
      <c r="C92" s="616"/>
      <c r="D92" s="616"/>
      <c r="E92" s="638"/>
      <c r="F92" s="616"/>
      <c r="G92" s="616"/>
      <c r="H92" s="1670">
        <f>SUM(H85:H91)</f>
        <v>129082</v>
      </c>
      <c r="I92" s="477"/>
      <c r="J92" s="477"/>
      <c r="K92" s="1677">
        <f t="shared" si="12"/>
        <v>129082</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337842</v>
      </c>
      <c r="F102" s="616"/>
      <c r="G102" s="616"/>
      <c r="H102" s="1677">
        <f>SUM(H84,H92,H100,H101)</f>
        <v>133953</v>
      </c>
      <c r="I102" s="477"/>
      <c r="J102" s="477"/>
      <c r="K102" s="1677">
        <f>SUM(K84,K92,K100,K101)</f>
        <v>471795</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5006865</v>
      </c>
      <c r="D114" s="1670">
        <f t="shared" ref="D114:K114" si="13">SUM(D33,D74,D75,D102,D112,D113)</f>
        <v>795269</v>
      </c>
      <c r="E114" s="1670">
        <f t="shared" si="13"/>
        <v>778463</v>
      </c>
      <c r="F114" s="1670">
        <f t="shared" si="13"/>
        <v>545036</v>
      </c>
      <c r="G114" s="1670">
        <f t="shared" si="13"/>
        <v>25009</v>
      </c>
      <c r="H114" s="1670">
        <f>SUM(H33,H74,H75,H102,H112,H113)</f>
        <v>139011</v>
      </c>
      <c r="I114" s="1670">
        <f t="shared" si="13"/>
        <v>699</v>
      </c>
      <c r="J114" s="1670">
        <f t="shared" si="13"/>
        <v>0</v>
      </c>
      <c r="K114" s="1670">
        <f t="shared" si="13"/>
        <v>7290352</v>
      </c>
      <c r="L114" s="1670">
        <f>SUM(L33,L74,L75,L102,L112,L113)</f>
        <v>0</v>
      </c>
    </row>
    <row r="115" spans="1:14" ht="13.5" thickTop="1" x14ac:dyDescent="0.2">
      <c r="A115" s="2184" t="s">
        <v>996</v>
      </c>
      <c r="B115" s="2185"/>
      <c r="C115" s="618"/>
      <c r="D115" s="618"/>
      <c r="E115" s="618"/>
      <c r="F115" s="618"/>
      <c r="G115" s="618"/>
      <c r="H115" s="618"/>
      <c r="I115" s="618"/>
      <c r="J115" s="618"/>
      <c r="K115" s="1684">
        <f>'Revenues 9-14'!C268-'Expenditures 15-22'!K114</f>
        <v>426182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221102</v>
      </c>
      <c r="D124" s="466">
        <v>47104</v>
      </c>
      <c r="E124" s="466">
        <v>217212</v>
      </c>
      <c r="F124" s="466">
        <v>195581</v>
      </c>
      <c r="G124" s="466"/>
      <c r="H124" s="466"/>
      <c r="I124" s="467"/>
      <c r="J124" s="467"/>
      <c r="K124" s="1670">
        <f>SUM(C124:J124)</f>
        <v>680999</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221102</v>
      </c>
      <c r="D127" s="1670">
        <f t="shared" ref="D127:L127" si="14">SUM(D122:D126)</f>
        <v>47104</v>
      </c>
      <c r="E127" s="1670">
        <f t="shared" si="14"/>
        <v>217212</v>
      </c>
      <c r="F127" s="1670">
        <f t="shared" si="14"/>
        <v>195581</v>
      </c>
      <c r="G127" s="1670">
        <f t="shared" si="14"/>
        <v>0</v>
      </c>
      <c r="H127" s="1670">
        <f t="shared" si="14"/>
        <v>0</v>
      </c>
      <c r="I127" s="1670">
        <f t="shared" si="14"/>
        <v>0</v>
      </c>
      <c r="J127" s="1670">
        <f t="shared" si="14"/>
        <v>0</v>
      </c>
      <c r="K127" s="1670">
        <f t="shared" si="14"/>
        <v>680999</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221102</v>
      </c>
      <c r="D129" s="1677">
        <f t="shared" ref="D129:L129" si="15">SUM(D120,D127,D128)</f>
        <v>47104</v>
      </c>
      <c r="E129" s="1677">
        <f t="shared" si="15"/>
        <v>217212</v>
      </c>
      <c r="F129" s="1677">
        <f t="shared" si="15"/>
        <v>195581</v>
      </c>
      <c r="G129" s="1677">
        <f t="shared" si="15"/>
        <v>0</v>
      </c>
      <c r="H129" s="1677">
        <f t="shared" si="15"/>
        <v>0</v>
      </c>
      <c r="I129" s="1677">
        <f t="shared" si="15"/>
        <v>0</v>
      </c>
      <c r="J129" s="1677">
        <f t="shared" si="15"/>
        <v>0</v>
      </c>
      <c r="K129" s="1677">
        <f t="shared" si="15"/>
        <v>680999</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221102</v>
      </c>
      <c r="D151" s="1670">
        <f t="shared" ref="D151:K151" si="16">SUM(D129,D130,D139,D149,D150)</f>
        <v>47104</v>
      </c>
      <c r="E151" s="1670">
        <f t="shared" si="16"/>
        <v>217212</v>
      </c>
      <c r="F151" s="1670">
        <f t="shared" si="16"/>
        <v>195581</v>
      </c>
      <c r="G151" s="1670">
        <f t="shared" si="16"/>
        <v>0</v>
      </c>
      <c r="H151" s="1670">
        <f t="shared" si="16"/>
        <v>0</v>
      </c>
      <c r="I151" s="1670">
        <f t="shared" si="16"/>
        <v>0</v>
      </c>
      <c r="J151" s="1670">
        <f t="shared" si="16"/>
        <v>0</v>
      </c>
      <c r="K151" s="1670">
        <f t="shared" si="16"/>
        <v>680999</v>
      </c>
      <c r="L151" s="1670">
        <f>SUM(L129,L130,L139,L149,L150)</f>
        <v>0</v>
      </c>
    </row>
    <row r="152" spans="1:14" ht="12.75" customHeight="1" thickTop="1" x14ac:dyDescent="0.2">
      <c r="A152" s="2177" t="s">
        <v>1178</v>
      </c>
      <c r="B152" s="2178"/>
      <c r="C152" s="618"/>
      <c r="D152" s="618"/>
      <c r="E152" s="618"/>
      <c r="F152" s="618"/>
      <c r="G152" s="618"/>
      <c r="H152" s="618"/>
      <c r="I152" s="618"/>
      <c r="J152" s="616"/>
      <c r="K152" s="1684">
        <f>'Revenues 9-14'!D268-'Expenditures 15-22'!K151</f>
        <v>26253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7460</v>
      </c>
      <c r="I169" s="616"/>
      <c r="J169" s="616"/>
      <c r="K169" s="1671">
        <f>SUM(C169:H169)</f>
        <v>7460</v>
      </c>
      <c r="L169" s="656"/>
    </row>
    <row r="170" spans="1:14" ht="33.75" customHeight="1" x14ac:dyDescent="0.2">
      <c r="A170" s="669" t="s">
        <v>1670</v>
      </c>
      <c r="B170" s="671" t="s">
        <v>31</v>
      </c>
      <c r="C170" s="616"/>
      <c r="D170" s="616"/>
      <c r="E170" s="616"/>
      <c r="F170" s="616"/>
      <c r="G170" s="616"/>
      <c r="H170" s="569">
        <v>853000</v>
      </c>
      <c r="I170" s="616"/>
      <c r="J170" s="616"/>
      <c r="K170" s="1671">
        <f>SUM(C170:J170)</f>
        <v>853000</v>
      </c>
      <c r="L170" s="569"/>
    </row>
    <row r="171" spans="1:14" ht="15.75" customHeight="1" x14ac:dyDescent="0.2">
      <c r="A171" s="621" t="s">
        <v>766</v>
      </c>
      <c r="B171" s="672" t="s">
        <v>84</v>
      </c>
      <c r="C171" s="616"/>
      <c r="D171" s="616"/>
      <c r="E171" s="466"/>
      <c r="F171" s="616"/>
      <c r="G171" s="616"/>
      <c r="H171" s="569">
        <v>9425</v>
      </c>
      <c r="I171" s="477"/>
      <c r="J171" s="616"/>
      <c r="K171" s="1671">
        <f>SUM(C171:J171)</f>
        <v>9425</v>
      </c>
      <c r="L171" s="569"/>
    </row>
    <row r="172" spans="1:14" ht="12.75" customHeight="1" thickBot="1" x14ac:dyDescent="0.25">
      <c r="A172" s="1668" t="s">
        <v>638</v>
      </c>
      <c r="B172" s="1669" t="s">
        <v>492</v>
      </c>
      <c r="C172" s="616"/>
      <c r="D172" s="616"/>
      <c r="E172" s="1677">
        <f>SUM(E168,E169,E170,E171)</f>
        <v>0</v>
      </c>
      <c r="F172" s="616"/>
      <c r="G172" s="616"/>
      <c r="H172" s="1677">
        <f>SUM(H168,H169,H170,H171)</f>
        <v>869885</v>
      </c>
      <c r="I172" s="638"/>
      <c r="J172" s="616"/>
      <c r="K172" s="1677">
        <f>SUM(K168,K169,K170,K171)</f>
        <v>869885</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869885</v>
      </c>
      <c r="I174" s="638"/>
      <c r="J174" s="616"/>
      <c r="K174" s="1677">
        <f>SUM(K160,K172,K173)</f>
        <v>869885</v>
      </c>
      <c r="L174" s="1677">
        <f>SUM(L160,L172,L173)</f>
        <v>0</v>
      </c>
    </row>
    <row r="175" spans="1:14" ht="13.5" thickTop="1" x14ac:dyDescent="0.2">
      <c r="A175" s="2184" t="s">
        <v>996</v>
      </c>
      <c r="B175" s="2185"/>
      <c r="C175" s="616"/>
      <c r="D175" s="616"/>
      <c r="E175" s="616"/>
      <c r="F175" s="616"/>
      <c r="G175" s="616"/>
      <c r="H175" s="618"/>
      <c r="I175" s="616"/>
      <c r="J175" s="616"/>
      <c r="K175" s="1684">
        <f>'Revenues 9-14'!E268-'Expenditures 15-22'!K174</f>
        <v>-426516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183618</v>
      </c>
      <c r="D182" s="466">
        <v>5626</v>
      </c>
      <c r="E182" s="466">
        <v>287009</v>
      </c>
      <c r="F182" s="466">
        <v>34574</v>
      </c>
      <c r="G182" s="466"/>
      <c r="H182" s="466"/>
      <c r="I182" s="467"/>
      <c r="J182" s="467"/>
      <c r="K182" s="1671">
        <f>SUM(C182:J182)</f>
        <v>510827</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183618</v>
      </c>
      <c r="D184" s="1677">
        <f t="shared" ref="D184:J184" si="17">SUM(D180,D182,D183)</f>
        <v>5626</v>
      </c>
      <c r="E184" s="1677">
        <f t="shared" si="17"/>
        <v>287009</v>
      </c>
      <c r="F184" s="1677">
        <f t="shared" si="17"/>
        <v>34574</v>
      </c>
      <c r="G184" s="1677">
        <f t="shared" si="17"/>
        <v>0</v>
      </c>
      <c r="H184" s="1677">
        <f t="shared" si="17"/>
        <v>0</v>
      </c>
      <c r="I184" s="1677">
        <f t="shared" si="17"/>
        <v>0</v>
      </c>
      <c r="J184" s="1677">
        <f t="shared" si="17"/>
        <v>0</v>
      </c>
      <c r="K184" s="1677">
        <f>SUM(K180,K182,K183)</f>
        <v>510827</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183618</v>
      </c>
      <c r="D210" s="1670">
        <f>SUM(D184,D185)</f>
        <v>5626</v>
      </c>
      <c r="E210" s="1670">
        <f>SUM(E184,E185,E196)</f>
        <v>287009</v>
      </c>
      <c r="F210" s="1670">
        <f>SUM(F184,F185)</f>
        <v>34574</v>
      </c>
      <c r="G210" s="1670">
        <f>SUM(G184,G185)</f>
        <v>0</v>
      </c>
      <c r="H210" s="1670">
        <f>SUM(H184,H185,H196,H208,H209)</f>
        <v>0</v>
      </c>
      <c r="I210" s="1670">
        <f>SUM(I184,I185)</f>
        <v>0</v>
      </c>
      <c r="J210" s="1670">
        <f>SUM(J184,J185)</f>
        <v>0</v>
      </c>
      <c r="K210" s="1671">
        <f>SUM(K184,K185,K196,K208,K209)</f>
        <v>510827</v>
      </c>
      <c r="L210" s="1670">
        <f>SUM(L184,L185,L196,L208,L209)</f>
        <v>0</v>
      </c>
    </row>
    <row r="211" spans="1:14" ht="13.5" thickTop="1" x14ac:dyDescent="0.2">
      <c r="A211" s="2184" t="s">
        <v>996</v>
      </c>
      <c r="B211" s="2185"/>
      <c r="C211" s="618"/>
      <c r="D211" s="618"/>
      <c r="E211" s="618"/>
      <c r="F211" s="618"/>
      <c r="G211" s="618"/>
      <c r="H211" s="618"/>
      <c r="I211" s="616"/>
      <c r="J211" s="616"/>
      <c r="K211" s="1684">
        <f>'Revenues 9-14'!F268-'Expenditures 15-22'!K210</f>
        <v>-118510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40293+1035</f>
        <v>41328</v>
      </c>
      <c r="E215" s="616"/>
      <c r="F215" s="616"/>
      <c r="G215" s="616"/>
      <c r="H215" s="616"/>
      <c r="I215" s="616"/>
      <c r="J215" s="616"/>
      <c r="K215" s="1671">
        <f>D215</f>
        <v>41328</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52531</v>
      </c>
      <c r="E217" s="616"/>
      <c r="F217" s="616"/>
      <c r="G217" s="616"/>
      <c r="H217" s="616"/>
      <c r="I217" s="616"/>
      <c r="J217" s="616"/>
      <c r="K217" s="1671">
        <f t="shared" si="19"/>
        <v>52531</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1736</v>
      </c>
      <c r="E219" s="616"/>
      <c r="F219" s="616"/>
      <c r="G219" s="616"/>
      <c r="H219" s="616"/>
      <c r="I219" s="616"/>
      <c r="J219" s="616"/>
      <c r="K219" s="1671">
        <f t="shared" si="19"/>
        <v>1736</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1036</v>
      </c>
      <c r="E223" s="616"/>
      <c r="F223" s="616"/>
      <c r="G223" s="616"/>
      <c r="H223" s="616"/>
      <c r="I223" s="616"/>
      <c r="J223" s="616"/>
      <c r="K223" s="1671">
        <f t="shared" si="19"/>
        <v>1036</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v>1095</v>
      </c>
      <c r="E227" s="616"/>
      <c r="F227" s="616"/>
      <c r="G227" s="616"/>
      <c r="H227" s="616"/>
      <c r="I227" s="616"/>
      <c r="J227" s="616"/>
      <c r="K227" s="1671">
        <f t="shared" si="19"/>
        <v>1095</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97726</v>
      </c>
      <c r="E229" s="616"/>
      <c r="F229" s="616"/>
      <c r="G229" s="616"/>
      <c r="H229" s="616"/>
      <c r="I229" s="616"/>
      <c r="J229" s="616"/>
      <c r="K229" s="1670">
        <f>SUM(K215:K228)</f>
        <v>97726</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1547</v>
      </c>
      <c r="E232" s="616"/>
      <c r="F232" s="616"/>
      <c r="G232" s="616"/>
      <c r="H232" s="616"/>
      <c r="I232" s="616"/>
      <c r="J232" s="616"/>
      <c r="K232" s="1671">
        <f t="shared" ref="K232:K237" si="20">D232</f>
        <v>1547</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6779</v>
      </c>
      <c r="E234" s="616"/>
      <c r="F234" s="616"/>
      <c r="G234" s="616"/>
      <c r="H234" s="616"/>
      <c r="I234" s="616"/>
      <c r="J234" s="616"/>
      <c r="K234" s="1671">
        <f t="shared" si="20"/>
        <v>6779</v>
      </c>
      <c r="L234" s="466"/>
    </row>
    <row r="235" spans="1:12" x14ac:dyDescent="0.2">
      <c r="A235" s="1504" t="s">
        <v>199</v>
      </c>
      <c r="B235" s="614">
        <v>2140</v>
      </c>
      <c r="C235" s="616"/>
      <c r="D235" s="466">
        <v>710</v>
      </c>
      <c r="E235" s="616"/>
      <c r="F235" s="616"/>
      <c r="G235" s="616"/>
      <c r="H235" s="616"/>
      <c r="I235" s="616"/>
      <c r="J235" s="616"/>
      <c r="K235" s="1671">
        <f t="shared" si="20"/>
        <v>710</v>
      </c>
      <c r="L235" s="466"/>
    </row>
    <row r="236" spans="1:12" x14ac:dyDescent="0.2">
      <c r="A236" s="1504" t="s">
        <v>200</v>
      </c>
      <c r="B236" s="614">
        <v>2150</v>
      </c>
      <c r="C236" s="616"/>
      <c r="D236" s="466">
        <v>3234</v>
      </c>
      <c r="E236" s="616"/>
      <c r="F236" s="616"/>
      <c r="G236" s="616"/>
      <c r="H236" s="616"/>
      <c r="I236" s="616"/>
      <c r="J236" s="616"/>
      <c r="K236" s="1671">
        <f t="shared" si="20"/>
        <v>3234</v>
      </c>
      <c r="L236" s="466"/>
    </row>
    <row r="237" spans="1:12" x14ac:dyDescent="0.2">
      <c r="A237" s="1504" t="s">
        <v>165</v>
      </c>
      <c r="B237" s="614">
        <v>2190</v>
      </c>
      <c r="C237" s="616"/>
      <c r="D237" s="466">
        <v>6060</v>
      </c>
      <c r="E237" s="616"/>
      <c r="F237" s="616"/>
      <c r="G237" s="616"/>
      <c r="H237" s="616"/>
      <c r="I237" s="616"/>
      <c r="J237" s="616"/>
      <c r="K237" s="1671">
        <f t="shared" si="20"/>
        <v>6060</v>
      </c>
      <c r="L237" s="466"/>
    </row>
    <row r="238" spans="1:12" ht="12.75" customHeight="1" thickBot="1" x14ac:dyDescent="0.25">
      <c r="A238" s="1668" t="s">
        <v>560</v>
      </c>
      <c r="B238" s="1675" t="s">
        <v>716</v>
      </c>
      <c r="C238" s="616"/>
      <c r="D238" s="1670">
        <f>SUM(D232:D237)</f>
        <v>18330</v>
      </c>
      <c r="E238" s="616"/>
      <c r="F238" s="616"/>
      <c r="G238" s="616"/>
      <c r="H238" s="616"/>
      <c r="I238" s="616"/>
      <c r="J238" s="616"/>
      <c r="K238" s="1670">
        <f>SUM(K232:K237)</f>
        <v>18330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129</v>
      </c>
      <c r="E240" s="616"/>
      <c r="F240" s="616"/>
      <c r="G240" s="616"/>
      <c r="H240" s="616"/>
      <c r="I240" s="616"/>
      <c r="J240" s="616"/>
      <c r="K240" s="1672">
        <f>D240</f>
        <v>129</v>
      </c>
      <c r="L240" s="481"/>
    </row>
    <row r="241" spans="1:12" x14ac:dyDescent="0.2">
      <c r="A241" s="1504" t="s">
        <v>815</v>
      </c>
      <c r="B241" s="614">
        <v>2220</v>
      </c>
      <c r="C241" s="616"/>
      <c r="D241" s="466">
        <v>3570</v>
      </c>
      <c r="E241" s="616"/>
      <c r="F241" s="616"/>
      <c r="G241" s="616"/>
      <c r="H241" s="616"/>
      <c r="I241" s="616"/>
      <c r="J241" s="616"/>
      <c r="K241" s="1672">
        <f>D241</f>
        <v>3570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3699</v>
      </c>
      <c r="E243" s="616"/>
      <c r="F243" s="616"/>
      <c r="G243" s="616"/>
      <c r="H243" s="616"/>
      <c r="I243" s="616"/>
      <c r="J243" s="616"/>
      <c r="K243" s="1670">
        <f>SUM(K240:K242)</f>
        <v>3699</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13561</v>
      </c>
      <c r="E246" s="616"/>
      <c r="F246" s="616"/>
      <c r="G246" s="616"/>
      <c r="H246" s="616"/>
      <c r="I246" s="616"/>
      <c r="J246" s="616"/>
      <c r="K246" s="1672">
        <f t="shared" ref="K246:K256" si="21">D246</f>
        <v>13561</v>
      </c>
      <c r="L246" s="466"/>
    </row>
    <row r="247" spans="1:12" x14ac:dyDescent="0.2">
      <c r="A247" s="1504" t="s">
        <v>819</v>
      </c>
      <c r="B247" s="614">
        <v>2330</v>
      </c>
      <c r="C247" s="616"/>
      <c r="D247" s="466">
        <v>5773</v>
      </c>
      <c r="E247" s="616"/>
      <c r="F247" s="616"/>
      <c r="G247" s="616"/>
      <c r="H247" s="616"/>
      <c r="I247" s="616"/>
      <c r="J247" s="616"/>
      <c r="K247" s="1672">
        <f t="shared" si="21"/>
        <v>5773</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19334</v>
      </c>
      <c r="E257" s="616"/>
      <c r="F257" s="616"/>
      <c r="G257" s="616"/>
      <c r="H257" s="616"/>
      <c r="I257" s="616"/>
      <c r="J257" s="616"/>
      <c r="K257" s="1670">
        <f>SUM(K245:K256)</f>
        <v>19334</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18369</v>
      </c>
      <c r="E259" s="616"/>
      <c r="F259" s="616"/>
      <c r="G259" s="616"/>
      <c r="H259" s="616"/>
      <c r="I259" s="616"/>
      <c r="J259" s="616"/>
      <c r="K259" s="1672">
        <f>D259</f>
        <v>18369</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18369</v>
      </c>
      <c r="E261" s="616"/>
      <c r="F261" s="616"/>
      <c r="G261" s="616"/>
      <c r="H261" s="616"/>
      <c r="I261" s="616"/>
      <c r="J261" s="616"/>
      <c r="K261" s="1670">
        <f>SUM(K259:K260)</f>
        <v>18369</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1551</v>
      </c>
      <c r="E263" s="616"/>
      <c r="F263" s="616"/>
      <c r="G263" s="616"/>
      <c r="H263" s="616"/>
      <c r="I263" s="616"/>
      <c r="J263" s="616"/>
      <c r="K263" s="1672">
        <f>D263</f>
        <v>1551</v>
      </c>
      <c r="L263" s="481"/>
    </row>
    <row r="264" spans="1:14" x14ac:dyDescent="0.2">
      <c r="A264" s="1504" t="s">
        <v>463</v>
      </c>
      <c r="B264" s="685">
        <v>2520</v>
      </c>
      <c r="C264" s="616"/>
      <c r="D264" s="466">
        <v>5923</v>
      </c>
      <c r="E264" s="616"/>
      <c r="F264" s="616"/>
      <c r="G264" s="616"/>
      <c r="H264" s="616"/>
      <c r="I264" s="616"/>
      <c r="J264" s="616"/>
      <c r="K264" s="1672">
        <f t="shared" ref="K264:K269" si="22">D264</f>
        <v>5923</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42019</v>
      </c>
      <c r="E266" s="616"/>
      <c r="F266" s="616"/>
      <c r="G266" s="616"/>
      <c r="H266" s="616"/>
      <c r="I266" s="616"/>
      <c r="J266" s="616"/>
      <c r="K266" s="1672">
        <f t="shared" si="22"/>
        <v>42019</v>
      </c>
      <c r="L266" s="466"/>
    </row>
    <row r="267" spans="1:14" x14ac:dyDescent="0.2">
      <c r="A267" s="1504" t="s">
        <v>953</v>
      </c>
      <c r="B267" s="614">
        <v>2550</v>
      </c>
      <c r="C267" s="616"/>
      <c r="D267" s="466">
        <v>35467</v>
      </c>
      <c r="E267" s="616"/>
      <c r="F267" s="616"/>
      <c r="G267" s="616"/>
      <c r="H267" s="616"/>
      <c r="I267" s="616"/>
      <c r="J267" s="616"/>
      <c r="K267" s="1672">
        <f t="shared" si="22"/>
        <v>35467</v>
      </c>
      <c r="L267" s="466"/>
    </row>
    <row r="268" spans="1:14" x14ac:dyDescent="0.2">
      <c r="A268" s="1504" t="s">
        <v>100</v>
      </c>
      <c r="B268" s="614">
        <v>2560</v>
      </c>
      <c r="C268" s="616"/>
      <c r="D268" s="466">
        <v>13078</v>
      </c>
      <c r="E268" s="616"/>
      <c r="F268" s="616"/>
      <c r="G268" s="616"/>
      <c r="H268" s="616"/>
      <c r="I268" s="616"/>
      <c r="J268" s="616"/>
      <c r="K268" s="1672">
        <f t="shared" si="22"/>
        <v>13078</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98038</v>
      </c>
      <c r="E270" s="616"/>
      <c r="F270" s="616"/>
      <c r="G270" s="616"/>
      <c r="H270" s="616"/>
      <c r="I270" s="616"/>
      <c r="J270" s="616"/>
      <c r="K270" s="1670">
        <f>SUM(K263:K269)</f>
        <v>98038</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v>22968</v>
      </c>
      <c r="E274" s="616"/>
      <c r="F274" s="616"/>
      <c r="G274" s="616"/>
      <c r="H274" s="616"/>
      <c r="I274" s="616"/>
      <c r="J274" s="616"/>
      <c r="K274" s="1672">
        <f>D274</f>
        <v>22968</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22968</v>
      </c>
      <c r="E277" s="616"/>
      <c r="F277" s="616"/>
      <c r="G277" s="616"/>
      <c r="H277" s="616"/>
      <c r="I277" s="616"/>
      <c r="J277" s="616"/>
      <c r="K277" s="1670">
        <f>SUM(K272:K276)</f>
        <v>22968</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180738</v>
      </c>
      <c r="E279" s="616"/>
      <c r="F279" s="616"/>
      <c r="G279" s="616"/>
      <c r="H279" s="616"/>
      <c r="I279" s="616"/>
      <c r="J279" s="616"/>
      <c r="K279" s="1677">
        <f>SUM(K238,K243,K257,K261,K270,K277,K278)</f>
        <v>180738</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278464</v>
      </c>
      <c r="E295" s="616"/>
      <c r="F295" s="616"/>
      <c r="G295" s="616"/>
      <c r="H295" s="1670">
        <f>H293</f>
        <v>0</v>
      </c>
      <c r="I295" s="616"/>
      <c r="J295" s="616"/>
      <c r="K295" s="1670">
        <f>SUM(K229,K279,K280,K285,K293,K294)</f>
        <v>278464</v>
      </c>
      <c r="L295" s="1670">
        <f>SUM(L229,L279,L280,L285,L293,L294)</f>
        <v>0</v>
      </c>
    </row>
    <row r="296" spans="1:14" ht="13.5" thickTop="1" x14ac:dyDescent="0.2">
      <c r="A296" s="2184" t="s">
        <v>996</v>
      </c>
      <c r="B296" s="2185"/>
      <c r="C296" s="616"/>
      <c r="D296" s="618"/>
      <c r="E296" s="616"/>
      <c r="F296" s="616"/>
      <c r="G296" s="616"/>
      <c r="H296" s="687"/>
      <c r="I296" s="616"/>
      <c r="J296" s="616"/>
      <c r="K296" s="1684">
        <f>'Revenues 9-14'!G268-'Expenditures 15-22'!K295</f>
        <v>-26974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8936</v>
      </c>
      <c r="F301" s="466"/>
      <c r="G301" s="466">
        <v>932690</v>
      </c>
      <c r="H301" s="466"/>
      <c r="I301" s="467"/>
      <c r="J301" s="467"/>
      <c r="K301" s="1671">
        <f>SUM(C301:J301)</f>
        <v>941626</v>
      </c>
      <c r="L301" s="467"/>
    </row>
    <row r="302" spans="1:14" ht="13.5" customHeight="1" x14ac:dyDescent="0.2">
      <c r="A302" s="1517" t="s">
        <v>980</v>
      </c>
      <c r="B302" s="614" t="s">
        <v>574</v>
      </c>
      <c r="C302" s="466"/>
      <c r="D302" s="466"/>
      <c r="E302" s="466">
        <v>119650</v>
      </c>
      <c r="F302" s="466"/>
      <c r="G302" s="466"/>
      <c r="H302" s="466"/>
      <c r="I302" s="467"/>
      <c r="J302" s="467"/>
      <c r="K302" s="1671">
        <f>SUM(C302:J302)</f>
        <v>119650</v>
      </c>
      <c r="L302" s="466"/>
    </row>
    <row r="303" spans="1:14" ht="12.75" customHeight="1" thickBot="1" x14ac:dyDescent="0.25">
      <c r="A303" s="1668" t="s">
        <v>811</v>
      </c>
      <c r="B303" s="1669" t="s">
        <v>569</v>
      </c>
      <c r="C303" s="1677">
        <f>SUM(C301:C302)</f>
        <v>0</v>
      </c>
      <c r="D303" s="1677">
        <f t="shared" ref="D303:L303" si="23">SUM(D301:D302)</f>
        <v>0</v>
      </c>
      <c r="E303" s="1677">
        <f t="shared" si="23"/>
        <v>128586</v>
      </c>
      <c r="F303" s="1677">
        <f t="shared" si="23"/>
        <v>0</v>
      </c>
      <c r="G303" s="1677">
        <f t="shared" si="23"/>
        <v>932690</v>
      </c>
      <c r="H303" s="1677">
        <f t="shared" si="23"/>
        <v>0</v>
      </c>
      <c r="I303" s="1677">
        <f t="shared" si="23"/>
        <v>0</v>
      </c>
      <c r="J303" s="1677">
        <f t="shared" si="23"/>
        <v>0</v>
      </c>
      <c r="K303" s="1677">
        <f t="shared" si="23"/>
        <v>1061276</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128586</v>
      </c>
      <c r="F312" s="1670">
        <f>SUM(F303)</f>
        <v>0</v>
      </c>
      <c r="G312" s="1670">
        <f>SUM(G303)</f>
        <v>932690</v>
      </c>
      <c r="H312" s="1670">
        <f>SUM(H303,H310)</f>
        <v>0</v>
      </c>
      <c r="I312" s="1670">
        <f>SUM(I303)</f>
        <v>0</v>
      </c>
      <c r="J312" s="1670">
        <f>SUM(J303)</f>
        <v>0</v>
      </c>
      <c r="K312" s="1670">
        <f>SUM(K303,K310,K311)</f>
        <v>1061276</v>
      </c>
      <c r="L312" s="1670">
        <f>SUM(L303,L310,L311)</f>
        <v>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-1021391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73979</v>
      </c>
      <c r="F320" s="467"/>
      <c r="G320" s="467"/>
      <c r="H320" s="467"/>
      <c r="I320" s="467"/>
      <c r="J320" s="467"/>
      <c r="K320" s="1671">
        <f t="shared" ref="K320:K327" si="24">SUM(C320:J320)</f>
        <v>73979</v>
      </c>
      <c r="L320" s="467"/>
      <c r="M320" s="665"/>
      <c r="N320" s="665"/>
    </row>
    <row r="321" spans="1:14" s="674" customFormat="1" x14ac:dyDescent="0.2">
      <c r="A321" s="1519" t="s">
        <v>300</v>
      </c>
      <c r="B321" s="697" t="s">
        <v>283</v>
      </c>
      <c r="C321" s="467"/>
      <c r="D321" s="467"/>
      <c r="E321" s="467">
        <v>8970</v>
      </c>
      <c r="F321" s="467"/>
      <c r="G321" s="467"/>
      <c r="H321" s="467"/>
      <c r="I321" s="467"/>
      <c r="J321" s="467"/>
      <c r="K321" s="1671">
        <f t="shared" si="24"/>
        <v>8970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82949</v>
      </c>
      <c r="F330" s="1670">
        <f t="shared" si="25"/>
        <v>0</v>
      </c>
      <c r="G330" s="1670">
        <f t="shared" si="25"/>
        <v>0</v>
      </c>
      <c r="H330" s="1670">
        <f t="shared" si="25"/>
        <v>0</v>
      </c>
      <c r="I330" s="1670">
        <f t="shared" si="25"/>
        <v>0</v>
      </c>
      <c r="J330" s="1670">
        <f t="shared" si="25"/>
        <v>0</v>
      </c>
      <c r="K330" s="1670">
        <f>SUM(K319:K329)</f>
        <v>82949</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82949</v>
      </c>
      <c r="F342" s="1670">
        <f>SUM(F330)</f>
        <v>0</v>
      </c>
      <c r="G342" s="1670">
        <f>SUM(G330)</f>
        <v>0</v>
      </c>
      <c r="H342" s="1670">
        <f>SUM(H330,H334,H340)</f>
        <v>0</v>
      </c>
      <c r="I342" s="1670">
        <f>SUM(I330)</f>
        <v>0</v>
      </c>
      <c r="J342" s="1670">
        <f>SUM(J330)</f>
        <v>0</v>
      </c>
      <c r="K342" s="1670">
        <f>SUM(K330,K334,K340)</f>
        <v>82949</v>
      </c>
      <c r="L342" s="1677">
        <f>SUM(L330,L334,L340,L341)</f>
        <v>0</v>
      </c>
    </row>
    <row r="343" spans="1:14" ht="12.75" customHeight="1" thickTop="1" x14ac:dyDescent="0.2">
      <c r="A343" s="2170" t="s">
        <v>996</v>
      </c>
      <c r="B343" s="2171"/>
      <c r="C343" s="616"/>
      <c r="D343" s="616"/>
      <c r="E343" s="616"/>
      <c r="F343" s="616"/>
      <c r="G343" s="616"/>
      <c r="H343" s="616"/>
      <c r="I343" s="616"/>
      <c r="J343" s="616"/>
      <c r="K343" s="1684">
        <f>'Revenues 9-14'!J268-'Expenditures 15-22'!K342</f>
        <v>16759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4" t="s">
        <v>996</v>
      </c>
      <c r="B368" s="2185"/>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25" sqref="T25:AA2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4228792</v>
      </c>
      <c r="C4" s="1524">
        <v>2209268</v>
      </c>
      <c r="D4" s="1752">
        <f>B4-C4</f>
        <v>2019524</v>
      </c>
      <c r="E4" s="1524">
        <v>4228229</v>
      </c>
      <c r="F4" s="1752">
        <f>E4-C4</f>
        <v>2018961</v>
      </c>
    </row>
    <row r="5" spans="1:6" ht="13.7" customHeight="1" x14ac:dyDescent="0.2">
      <c r="A5" s="715" t="s">
        <v>870</v>
      </c>
      <c r="B5" s="1750">
        <f>'Revenues 9-14'!D5</f>
        <v>692459</v>
      </c>
      <c r="C5" s="585">
        <v>352799</v>
      </c>
      <c r="D5" s="1753">
        <f t="shared" ref="D5:D18" si="0">B5-C5</f>
        <v>339660</v>
      </c>
      <c r="E5" s="585">
        <v>692529</v>
      </c>
      <c r="F5" s="1753">
        <f>E5-C5</f>
        <v>339730</v>
      </c>
    </row>
    <row r="6" spans="1:6" ht="13.7" customHeight="1" x14ac:dyDescent="0.2">
      <c r="A6" s="715" t="s">
        <v>411</v>
      </c>
      <c r="B6" s="1750">
        <f>'Revenues 9-14'!E5</f>
        <v>443133</v>
      </c>
      <c r="C6" s="585">
        <v>212526</v>
      </c>
      <c r="D6" s="1753">
        <f t="shared" si="0"/>
        <v>230607</v>
      </c>
      <c r="E6" s="585">
        <v>443323</v>
      </c>
      <c r="F6" s="1753">
        <f t="shared" ref="F6:F18" si="1">E6-C6</f>
        <v>230797</v>
      </c>
    </row>
    <row r="7" spans="1:6" ht="13.7" customHeight="1" x14ac:dyDescent="0.2">
      <c r="A7" s="715" t="s">
        <v>155</v>
      </c>
      <c r="B7" s="1750">
        <f>'Revenues 9-14'!F5</f>
        <v>65261</v>
      </c>
      <c r="C7" s="585">
        <v>34119</v>
      </c>
      <c r="D7" s="1753">
        <f t="shared" si="0"/>
        <v>31142</v>
      </c>
      <c r="E7" s="585">
        <v>65212</v>
      </c>
      <c r="F7" s="1753">
        <f t="shared" si="1"/>
        <v>31093</v>
      </c>
    </row>
    <row r="8" spans="1:6" ht="13.7" customHeight="1" x14ac:dyDescent="0.2">
      <c r="A8" s="715" t="s">
        <v>1179</v>
      </c>
      <c r="B8" s="1750">
        <f>'Revenues 9-14'!G5</f>
        <v>110982</v>
      </c>
      <c r="C8" s="585">
        <v>59671</v>
      </c>
      <c r="D8" s="1753">
        <f t="shared" si="0"/>
        <v>51311</v>
      </c>
      <c r="E8" s="585">
        <v>111204</v>
      </c>
      <c r="F8" s="1753">
        <f t="shared" si="1"/>
        <v>51533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2674</v>
      </c>
      <c r="C10" s="585">
        <v>1383</v>
      </c>
      <c r="D10" s="1753">
        <f t="shared" si="0"/>
        <v>1291</v>
      </c>
      <c r="E10" s="585">
        <v>2896</v>
      </c>
      <c r="F10" s="1753">
        <f t="shared" si="1"/>
        <v>1513</v>
      </c>
    </row>
    <row r="11" spans="1:6" x14ac:dyDescent="0.2">
      <c r="A11" s="715" t="s">
        <v>409</v>
      </c>
      <c r="B11" s="1750">
        <f>'Revenues 9-14'!J5</f>
        <v>95776</v>
      </c>
      <c r="C11" s="585">
        <v>59671</v>
      </c>
      <c r="D11" s="1753">
        <f t="shared" si="0"/>
        <v>36105</v>
      </c>
      <c r="E11" s="585">
        <v>95854</v>
      </c>
      <c r="F11" s="1753">
        <f t="shared" si="1"/>
        <v>36183</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20180</v>
      </c>
      <c r="C14" s="585">
        <v>10428</v>
      </c>
      <c r="D14" s="1753">
        <f t="shared" si="0"/>
        <v>9752</v>
      </c>
      <c r="E14" s="585">
        <v>20283</v>
      </c>
      <c r="F14" s="1753">
        <f t="shared" si="1"/>
        <v>9855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125898</v>
      </c>
      <c r="C16" s="585">
        <v>71622</v>
      </c>
      <c r="D16" s="1753">
        <f t="shared" si="0"/>
        <v>54276</v>
      </c>
      <c r="E16" s="585">
        <v>125619</v>
      </c>
      <c r="F16" s="1753">
        <f t="shared" si="1"/>
        <v>53997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10401</v>
      </c>
      <c r="C18" s="585">
        <v>5053</v>
      </c>
      <c r="D18" s="1753">
        <f t="shared" si="0"/>
        <v>5348</v>
      </c>
      <c r="E18" s="585">
        <v>10407</v>
      </c>
      <c r="F18" s="1753">
        <f t="shared" si="1"/>
        <v>5354</v>
      </c>
    </row>
    <row r="19" spans="1:6" ht="13.7" customHeight="1" thickBot="1" x14ac:dyDescent="0.25">
      <c r="A19" s="1754" t="s">
        <v>1161</v>
      </c>
      <c r="B19" s="1751">
        <f>SUM(B4:B18)</f>
        <v>5795556</v>
      </c>
      <c r="C19" s="1751">
        <f>SUM(C4:C18)</f>
        <v>3016540</v>
      </c>
      <c r="D19" s="1751">
        <f>SUM(D4:D18)</f>
        <v>2779016</v>
      </c>
      <c r="E19" s="1751">
        <f>SUM(E4:E18)</f>
        <v>5795556</v>
      </c>
      <c r="F19" s="1751">
        <f>SUM(F4:F18)</f>
        <v>2779016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T25" sqref="T25:AA2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1954</v>
      </c>
      <c r="D2" s="723" t="s">
        <v>1955</v>
      </c>
      <c r="E2" s="723" t="s">
        <v>1956</v>
      </c>
      <c r="F2" s="1884" t="s">
        <v>1957</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2077</v>
      </c>
      <c r="B31" s="733">
        <v>41974</v>
      </c>
      <c r="C31" s="734">
        <v>3485000</v>
      </c>
      <c r="D31" s="735">
        <v>3</v>
      </c>
      <c r="E31" s="734">
        <v>230000</v>
      </c>
      <c r="F31" s="734"/>
      <c r="G31" s="734"/>
      <c r="H31" s="734">
        <v>230000</v>
      </c>
      <c r="I31" s="1756">
        <f>((E31+F31)-H31)+G31</f>
        <v>0</v>
      </c>
      <c r="J31" s="734"/>
      <c r="K31" s="736"/>
    </row>
    <row r="32" spans="1:11" ht="12" customHeight="1" x14ac:dyDescent="0.2">
      <c r="A32" s="732" t="s">
        <v>2078</v>
      </c>
      <c r="B32" s="733">
        <v>42927</v>
      </c>
      <c r="C32" s="734">
        <v>265000</v>
      </c>
      <c r="D32" s="735">
        <v>3</v>
      </c>
      <c r="E32" s="734">
        <v>265000</v>
      </c>
      <c r="F32" s="734"/>
      <c r="G32" s="734"/>
      <c r="H32" s="734">
        <v>265000</v>
      </c>
      <c r="I32" s="1756">
        <f>((E32+F32)-H32)+G32</f>
        <v>0</v>
      </c>
      <c r="J32" s="734"/>
      <c r="K32" s="736"/>
    </row>
    <row r="33" spans="1:11" ht="12" customHeight="1" x14ac:dyDescent="0.2">
      <c r="A33" s="732" t="s">
        <v>2079</v>
      </c>
      <c r="B33" s="733">
        <v>43462</v>
      </c>
      <c r="C33" s="734">
        <v>5980000</v>
      </c>
      <c r="D33" s="735">
        <v>3</v>
      </c>
      <c r="E33" s="734"/>
      <c r="F33" s="734">
        <f>5980000+358000</f>
        <v>6338000</v>
      </c>
      <c r="G33" s="734"/>
      <c r="H33" s="734">
        <v>358000</v>
      </c>
      <c r="I33" s="1756">
        <f t="shared" ref="I33:I48" si="1">((E33+F33)-H33)+G33</f>
        <v>5980000</v>
      </c>
      <c r="J33" s="734">
        <v>5980000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9730000</v>
      </c>
      <c r="D49" s="745"/>
      <c r="E49" s="1756">
        <f t="shared" ref="E49:J49" si="2">SUM(E31:E48)</f>
        <v>495000</v>
      </c>
      <c r="F49" s="1756">
        <f t="shared" si="2"/>
        <v>6338000</v>
      </c>
      <c r="G49" s="1756">
        <f t="shared" si="2"/>
        <v>0</v>
      </c>
      <c r="H49" s="1756">
        <f t="shared" si="2"/>
        <v>853000</v>
      </c>
      <c r="I49" s="1756">
        <f t="shared" si="2"/>
        <v>5980000</v>
      </c>
      <c r="J49" s="1756">
        <f t="shared" si="2"/>
        <v>5980000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2" colorId="8" zoomScale="110" zoomScaleNormal="110" workbookViewId="0">
      <selection activeCell="T25" sqref="T25:AA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1962</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20180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20180</v>
      </c>
      <c r="I12" s="1758">
        <f>SUM(I5:I11)</f>
        <v>0</v>
      </c>
      <c r="J12" s="1758">
        <f>SUM(J5:J11)</f>
        <v>0</v>
      </c>
      <c r="K12" s="1758">
        <f>SUM(K5:K11)</f>
        <v>0</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c r="I14" s="771"/>
      <c r="J14" s="773"/>
      <c r="K14" s="765"/>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0</v>
      </c>
      <c r="I23" s="1758">
        <f>SUM(I14:I16,I21,I22)</f>
        <v>0</v>
      </c>
      <c r="J23" s="1758">
        <f>SUM(J14:J16,J21,J22)</f>
        <v>0</v>
      </c>
      <c r="K23" s="1758">
        <f>SUM(K14:K16,K21,K22)</f>
        <v>0</v>
      </c>
    </row>
    <row r="24" spans="1:11" ht="14.25" thickTop="1" thickBot="1" x14ac:dyDescent="0.25">
      <c r="A24" s="2238" t="s">
        <v>1963</v>
      </c>
      <c r="B24" s="2237"/>
      <c r="C24" s="2237"/>
      <c r="D24" s="2237"/>
      <c r="E24" s="2237"/>
      <c r="F24" s="1762"/>
      <c r="G24" s="1763">
        <f>SUM(G3,G12)-G23</f>
        <v>0</v>
      </c>
      <c r="H24" s="1763">
        <f>SUM(H3,H12)-H23</f>
        <v>20180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20180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25" sqref="T25:AA2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158453</v>
      </c>
      <c r="D5" s="841"/>
      <c r="E5" s="841"/>
      <c r="F5" s="1760">
        <f>(C5+D5)-E5</f>
        <v>158453</v>
      </c>
      <c r="G5" s="837"/>
      <c r="H5" s="842"/>
      <c r="I5" s="842"/>
      <c r="J5" s="842"/>
      <c r="K5" s="793"/>
      <c r="L5" s="1769">
        <f>F5-K5</f>
        <v>158453</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10248918</v>
      </c>
      <c r="D8" s="844"/>
      <c r="E8" s="844"/>
      <c r="F8" s="1760">
        <f>(C8+D8)-E8</f>
        <v>10248918</v>
      </c>
      <c r="G8" s="843">
        <v>50</v>
      </c>
      <c r="H8" s="765">
        <v>6306105</v>
      </c>
      <c r="I8" s="765">
        <v>213821</v>
      </c>
      <c r="J8" s="765"/>
      <c r="K8" s="1769">
        <f>(H8+I8)-J8</f>
        <v>6519926</v>
      </c>
      <c r="L8" s="1769">
        <f>F8-K8</f>
        <v>3728992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198005</v>
      </c>
      <c r="D10" s="846"/>
      <c r="E10" s="846"/>
      <c r="F10" s="1764">
        <f>(C10+D10)-E10</f>
        <v>198005</v>
      </c>
      <c r="G10" s="843">
        <v>20</v>
      </c>
      <c r="H10" s="847">
        <v>173888</v>
      </c>
      <c r="I10" s="847">
        <v>1307</v>
      </c>
      <c r="J10" s="847"/>
      <c r="K10" s="1769">
        <f>(H10+I10)-J10</f>
        <v>175195</v>
      </c>
      <c r="L10" s="1769">
        <f>F10-K10</f>
        <v>22810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1587638</v>
      </c>
      <c r="D12" s="844">
        <v>25009</v>
      </c>
      <c r="E12" s="844"/>
      <c r="F12" s="1760">
        <f>(C12+D12)-E12</f>
        <v>1612647</v>
      </c>
      <c r="G12" s="843">
        <v>10</v>
      </c>
      <c r="H12" s="765">
        <v>1308817</v>
      </c>
      <c r="I12" s="765">
        <v>46913</v>
      </c>
      <c r="J12" s="765"/>
      <c r="K12" s="1769">
        <f>(H12+I12)-J12</f>
        <v>1355730</v>
      </c>
      <c r="L12" s="1769">
        <f>F12-K12</f>
        <v>256917</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932690</v>
      </c>
      <c r="E15" s="844"/>
      <c r="F15" s="1760">
        <f>(C15+D15)-E15</f>
        <v>932690</v>
      </c>
      <c r="G15" s="849" t="s">
        <v>862</v>
      </c>
      <c r="H15" s="781"/>
      <c r="I15" s="781"/>
      <c r="J15" s="781"/>
      <c r="K15" s="781"/>
      <c r="L15" s="1769">
        <f>F15-K15</f>
        <v>932690</v>
      </c>
    </row>
    <row r="16" spans="1:14" ht="15" customHeight="1" thickTop="1" thickBot="1" x14ac:dyDescent="0.25">
      <c r="A16" s="1765" t="s">
        <v>643</v>
      </c>
      <c r="B16" s="1766">
        <v>200</v>
      </c>
      <c r="C16" s="1760">
        <f>SUM(C3,C5:C6,C8:C10,C12:C15)</f>
        <v>12193014</v>
      </c>
      <c r="D16" s="1760">
        <f>SUM(D3,D5:D6,D8:D10,D12:D15)</f>
        <v>957699</v>
      </c>
      <c r="E16" s="1760">
        <f>SUM(E3,E5:E6,E8:E10,E12:E15)</f>
        <v>0</v>
      </c>
      <c r="F16" s="1760">
        <f>SUM(F3,F5:F6,F8:F10,F12:F15)</f>
        <v>13150713</v>
      </c>
      <c r="G16" s="843"/>
      <c r="H16" s="1760">
        <f>SUM(H3,H6,H8:H10,H12:H14,)</f>
        <v>7788810</v>
      </c>
      <c r="I16" s="1760">
        <f>SUM(I3,I6,I8:I10,I12:I14,)</f>
        <v>262041</v>
      </c>
      <c r="J16" s="1760">
        <f>SUM(J3,J6,J8:J10,J12:J14,)</f>
        <v>0</v>
      </c>
      <c r="K16" s="1760">
        <f>(H16+I16)-J16</f>
        <v>8050851</v>
      </c>
      <c r="L16" s="1760">
        <f>F16-K16</f>
        <v>5099862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699</v>
      </c>
      <c r="G17" s="837">
        <v>10</v>
      </c>
      <c r="H17" s="769"/>
      <c r="I17" s="1769">
        <f>F17/G17</f>
        <v>69.900000000000006</v>
      </c>
      <c r="J17" s="769"/>
      <c r="K17" s="795"/>
      <c r="L17" s="795"/>
    </row>
    <row r="18" spans="1:12" ht="14.25" thickTop="1" thickBot="1" x14ac:dyDescent="0.25">
      <c r="A18" s="1767" t="s">
        <v>685</v>
      </c>
      <c r="B18" s="1768"/>
      <c r="C18" s="771"/>
      <c r="D18" s="771"/>
      <c r="E18" s="771"/>
      <c r="F18" s="850"/>
      <c r="G18" s="851"/>
      <c r="H18" s="773"/>
      <c r="I18" s="1760">
        <f>SUM(I16,I17)</f>
        <v>262110.9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T25" sqref="T25:AA25"/>
      <selection pane="bottomLeft" activeCell="T25" sqref="T25:AA2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7290352</v>
      </c>
      <c r="G8" s="865"/>
    </row>
    <row r="9" spans="1:7" x14ac:dyDescent="0.2">
      <c r="A9" s="869" t="s">
        <v>460</v>
      </c>
      <c r="B9" s="870" t="s">
        <v>1876</v>
      </c>
      <c r="C9" s="871"/>
      <c r="D9" s="869" t="s">
        <v>501</v>
      </c>
      <c r="E9" s="868"/>
      <c r="F9" s="1909">
        <f>'Expenditures 15-22'!K151</f>
        <v>680999</v>
      </c>
      <c r="G9" s="872"/>
    </row>
    <row r="10" spans="1:7" x14ac:dyDescent="0.2">
      <c r="A10" s="869" t="s">
        <v>499</v>
      </c>
      <c r="B10" s="870" t="s">
        <v>1877</v>
      </c>
      <c r="C10" s="871"/>
      <c r="D10" s="869" t="s">
        <v>501</v>
      </c>
      <c r="E10" s="868"/>
      <c r="F10" s="1909">
        <f>'Expenditures 15-22'!K174</f>
        <v>869885</v>
      </c>
      <c r="G10" s="872"/>
    </row>
    <row r="11" spans="1:7" x14ac:dyDescent="0.2">
      <c r="A11" s="869" t="s">
        <v>461</v>
      </c>
      <c r="B11" s="870" t="s">
        <v>1878</v>
      </c>
      <c r="C11" s="871"/>
      <c r="D11" s="869" t="s">
        <v>501</v>
      </c>
      <c r="E11" s="868"/>
      <c r="F11" s="1909">
        <f>'Expenditures 15-22'!K210</f>
        <v>510827</v>
      </c>
      <c r="G11" s="872"/>
    </row>
    <row r="12" spans="1:7" x14ac:dyDescent="0.2">
      <c r="A12" s="869" t="s">
        <v>462</v>
      </c>
      <c r="B12" s="870" t="s">
        <v>1879</v>
      </c>
      <c r="C12" s="871"/>
      <c r="D12" s="869" t="s">
        <v>501</v>
      </c>
      <c r="E12" s="868"/>
      <c r="F12" s="1909">
        <f>'Expenditures 15-22'!K295</f>
        <v>278464</v>
      </c>
      <c r="G12" s="872"/>
    </row>
    <row r="13" spans="1:7" x14ac:dyDescent="0.2">
      <c r="A13" s="869" t="s">
        <v>106</v>
      </c>
      <c r="B13" s="870" t="s">
        <v>1880</v>
      </c>
      <c r="C13" s="871"/>
      <c r="D13" s="869" t="s">
        <v>501</v>
      </c>
      <c r="E13" s="868"/>
      <c r="F13" s="1909">
        <f>'Expenditures 15-22'!K342</f>
        <v>82949</v>
      </c>
      <c r="G13" s="873"/>
    </row>
    <row r="14" spans="1:7" ht="12" customHeight="1" thickBot="1" x14ac:dyDescent="0.25">
      <c r="A14" s="1770"/>
      <c r="B14" s="1771"/>
      <c r="C14" s="1772"/>
      <c r="D14" s="1773" t="s">
        <v>501</v>
      </c>
      <c r="E14" s="1774" t="s">
        <v>958</v>
      </c>
      <c r="F14" s="1775">
        <f>SUM(F8:F13)</f>
        <v>9713476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214</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12755</v>
      </c>
      <c r="G52" s="865"/>
    </row>
    <row r="53" spans="1:7" x14ac:dyDescent="0.2">
      <c r="A53" s="869" t="s">
        <v>459</v>
      </c>
      <c r="B53" s="869" t="s">
        <v>1475</v>
      </c>
      <c r="C53" s="889">
        <f>'Expenditures 15-22'!B102</f>
        <v>4000</v>
      </c>
      <c r="D53" s="888" t="str">
        <f>'Expenditures 15-22'!A102</f>
        <v>Total Payments to Other Govt Units</v>
      </c>
      <c r="E53" s="868"/>
      <c r="F53" s="1913">
        <f>'Expenditures 15-22'!K102</f>
        <v>471795</v>
      </c>
      <c r="G53" s="865"/>
    </row>
    <row r="54" spans="1:7" x14ac:dyDescent="0.2">
      <c r="A54" s="869" t="s">
        <v>459</v>
      </c>
      <c r="B54" s="869" t="s">
        <v>1476</v>
      </c>
      <c r="C54" s="889" t="s">
        <v>982</v>
      </c>
      <c r="D54" s="885" t="s">
        <v>1095</v>
      </c>
      <c r="E54" s="868"/>
      <c r="F54" s="1913">
        <f>'Expenditures 15-22'!G114</f>
        <v>25009</v>
      </c>
      <c r="G54" s="865"/>
    </row>
    <row r="55" spans="1:7" x14ac:dyDescent="0.2">
      <c r="A55" s="869" t="s">
        <v>459</v>
      </c>
      <c r="B55" s="869" t="s">
        <v>1477</v>
      </c>
      <c r="C55" s="889" t="s">
        <v>982</v>
      </c>
      <c r="D55" s="885" t="s">
        <v>291</v>
      </c>
      <c r="E55" s="868"/>
      <c r="F55" s="1913">
        <f>'Expenditures 15-22'!I114</f>
        <v>699</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853000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1363472</v>
      </c>
      <c r="G76" s="865"/>
    </row>
    <row r="77" spans="1:8" s="893" customFormat="1" ht="12" customHeight="1" thickTop="1" thickBot="1" x14ac:dyDescent="0.25">
      <c r="A77" s="1779"/>
      <c r="B77" s="1776"/>
      <c r="C77" s="1772"/>
      <c r="D77" s="1777" t="s">
        <v>1899</v>
      </c>
      <c r="E77" s="1774"/>
      <c r="F77" s="1780">
        <f>(F14-F76)</f>
        <v>8350004</v>
      </c>
      <c r="G77" s="869"/>
    </row>
    <row r="78" spans="1:8" s="893" customFormat="1" ht="12" customHeight="1" thickTop="1" x14ac:dyDescent="0.2">
      <c r="A78" s="1781"/>
      <c r="B78" s="1776"/>
      <c r="C78" s="1772"/>
      <c r="D78" s="1777" t="s">
        <v>2060</v>
      </c>
      <c r="E78" s="1774"/>
      <c r="F78" s="898">
        <v>731</v>
      </c>
      <c r="G78" s="899"/>
      <c r="H78" s="869"/>
    </row>
    <row r="79" spans="1:8" s="893" customFormat="1" ht="12" customHeight="1" thickBot="1" x14ac:dyDescent="0.25">
      <c r="A79" s="1782"/>
      <c r="B79" s="1776"/>
      <c r="C79" s="1772"/>
      <c r="D79" s="1777" t="s">
        <v>1900</v>
      </c>
      <c r="E79" s="1774" t="s">
        <v>958</v>
      </c>
      <c r="F79" s="1783">
        <f>IF(F78&gt;0,F77/F78," Complete Line 78")</f>
        <v>11422.714090287278</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101273</v>
      </c>
      <c r="G94" s="912"/>
    </row>
    <row r="95" spans="1:7" x14ac:dyDescent="0.2">
      <c r="A95" s="908" t="s">
        <v>140</v>
      </c>
      <c r="B95" s="908" t="s">
        <v>175</v>
      </c>
      <c r="C95" s="910">
        <v>1700</v>
      </c>
      <c r="D95" s="918" t="str">
        <f>'Revenues 9-14'!A82</f>
        <v>Total District/School Activity Income</v>
      </c>
      <c r="E95" s="906"/>
      <c r="F95" s="1789">
        <f>SUM('Revenues 9-14'!C82,'Revenues 9-14'!D82)</f>
        <v>13917</v>
      </c>
      <c r="G95" s="912"/>
    </row>
    <row r="96" spans="1:7" x14ac:dyDescent="0.2">
      <c r="A96" s="908" t="s">
        <v>459</v>
      </c>
      <c r="B96" s="908" t="s">
        <v>176</v>
      </c>
      <c r="C96" s="910">
        <f>'Revenues 9-14'!B84</f>
        <v>1811</v>
      </c>
      <c r="D96" s="911" t="str">
        <f>'Revenues 9-14'!A84</f>
        <v>Rentals - Regular Textbooks</v>
      </c>
      <c r="E96" s="906"/>
      <c r="F96" s="1789">
        <f>'Revenues 9-14'!C84</f>
        <v>58344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16416</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25442</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3950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316858</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266497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144014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9742</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147357</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6841</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12741</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15059</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36553</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1175004</v>
      </c>
    </row>
    <row r="175" spans="1:7" ht="12" customHeight="1" x14ac:dyDescent="0.2">
      <c r="A175" s="1770"/>
      <c r="B175" s="1784"/>
      <c r="C175" s="1785"/>
      <c r="D175" s="1786" t="s">
        <v>2055</v>
      </c>
      <c r="E175" s="1787"/>
      <c r="F175" s="1789">
        <f>'PCTC-OEPP 27-28'!F77-F174</f>
        <v>7175000</v>
      </c>
    </row>
    <row r="176" spans="1:7" ht="12" customHeight="1" x14ac:dyDescent="0.2">
      <c r="A176" s="1770"/>
      <c r="B176" s="1784"/>
      <c r="C176" s="1785"/>
      <c r="D176" s="1786" t="s">
        <v>1817</v>
      </c>
      <c r="E176" s="1787"/>
      <c r="F176" s="1789">
        <f>'Cap Outlay Deprec 26'!I18</f>
        <v>262110.9</v>
      </c>
    </row>
    <row r="177" spans="1:7" ht="12" customHeight="1" x14ac:dyDescent="0.2">
      <c r="A177" s="1770"/>
      <c r="B177" s="1784"/>
      <c r="C177" s="1785"/>
      <c r="D177" s="1786" t="s">
        <v>2056</v>
      </c>
      <c r="E177" s="1787"/>
      <c r="F177" s="1789">
        <f>F175+F176</f>
        <v>7437110.9000000004</v>
      </c>
    </row>
    <row r="178" spans="1:7" ht="12" customHeight="1" x14ac:dyDescent="0.2">
      <c r="A178" s="1770"/>
      <c r="B178" s="1790"/>
      <c r="C178" s="1785"/>
      <c r="D178" s="1786" t="str">
        <f>D78</f>
        <v>9 Month ADA from District Average Daily Attendance/Prior General State Aid Inquiry 2018-2019</v>
      </c>
      <c r="E178" s="1787"/>
      <c r="F178" s="1791">
        <f>'PCTC-OEPP 27-28'!F78</f>
        <v>731</v>
      </c>
      <c r="G178" s="930"/>
    </row>
    <row r="179" spans="1:7" ht="12" customHeight="1" thickBot="1" x14ac:dyDescent="0.25">
      <c r="A179" s="1770"/>
      <c r="B179" s="1790"/>
      <c r="C179" s="1785"/>
      <c r="D179" s="1786" t="s">
        <v>2057</v>
      </c>
      <c r="E179" s="1787" t="s">
        <v>1545</v>
      </c>
      <c r="F179" s="1792">
        <f>F177/F178</f>
        <v>10173.886320109439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T25" sqref="T25:AA25"/>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7" t="s">
        <v>1820</v>
      </c>
      <c r="B11" s="1538"/>
      <c r="C11" s="1538"/>
      <c r="D11" s="1538"/>
      <c r="E11" s="1538"/>
      <c r="F11" s="1538"/>
      <c r="G11" s="1539"/>
    </row>
    <row r="12" spans="1:7" ht="17.25" customHeight="1" x14ac:dyDescent="0.25">
      <c r="A12" s="2279" t="s">
        <v>1933</v>
      </c>
      <c r="B12" s="2280"/>
      <c r="C12" s="2280"/>
      <c r="D12" s="2280"/>
      <c r="E12" s="2280"/>
      <c r="F12" s="2280"/>
      <c r="G12" s="2281"/>
    </row>
    <row r="13" spans="1:7" ht="15" customHeight="1" x14ac:dyDescent="0.25">
      <c r="A13" s="1537" t="s">
        <v>1825</v>
      </c>
      <c r="B13" s="1538"/>
      <c r="C13" s="1538"/>
      <c r="D13" s="1538"/>
      <c r="E13" s="1538"/>
      <c r="F13" s="1538"/>
      <c r="G13" s="1539"/>
    </row>
    <row r="14" spans="1:7" ht="32.25" customHeight="1" x14ac:dyDescent="0.25">
      <c r="A14" s="2270" t="s">
        <v>1974</v>
      </c>
      <c r="B14" s="2271"/>
      <c r="C14" s="2271"/>
      <c r="D14" s="2271"/>
      <c r="E14" s="2271"/>
      <c r="F14" s="2271"/>
      <c r="G14" s="2272"/>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3" t="s">
        <v>2089</v>
      </c>
      <c r="B18" s="1941" t="s">
        <v>982</v>
      </c>
      <c r="C18" s="1942" t="s">
        <v>982</v>
      </c>
      <c r="D18" s="1940">
        <v>0.1</v>
      </c>
      <c r="E18" s="1540">
        <f t="shared" ref="E18:E142" si="0">IF(D18&lt;=25000,D18,IF(D18&gt;25000,25000,0))</f>
        <v>0.1</v>
      </c>
      <c r="F18" s="1936" t="str">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Check func/obj # in Colm B</v>
      </c>
      <c r="G18" s="1793" t="e">
        <f>IF(F18=0,0,D18-F18)</f>
        <v>#VALUE!</v>
      </c>
      <c r="H18" s="1647"/>
    </row>
    <row r="19" spans="1:8" x14ac:dyDescent="0.25">
      <c r="A19" s="1653"/>
      <c r="B19" s="1933"/>
      <c r="C19" s="1656"/>
      <c r="D19" s="1844"/>
      <c r="E19" s="1540">
        <f t="shared" ref="E19:E141" si="2">IF(D19&lt;=25000,D19,IF(D19&gt;25000,25000,0))</f>
        <v>0</v>
      </c>
      <c r="F19" s="1936">
        <f t="shared" si="1"/>
        <v>0</v>
      </c>
      <c r="G19" s="1793">
        <f t="shared" ref="G19:G141" si="3">IF(F19=0,0,D19-F19)</f>
        <v>0</v>
      </c>
    </row>
    <row r="20" spans="1:8" x14ac:dyDescent="0.25">
      <c r="A20" s="1653"/>
      <c r="B20" s="1933"/>
      <c r="C20" s="1656"/>
      <c r="D20" s="1844"/>
      <c r="E20" s="1540">
        <f t="shared" si="2"/>
        <v>0</v>
      </c>
      <c r="F20" s="1936">
        <f t="shared" si="1"/>
        <v>0</v>
      </c>
      <c r="G20" s="1793">
        <f t="shared" si="3"/>
        <v>0</v>
      </c>
    </row>
    <row r="21" spans="1:8" x14ac:dyDescent="0.25">
      <c r="A21" s="1653"/>
      <c r="B21" s="1933"/>
      <c r="C21" s="1656"/>
      <c r="D21" s="1844"/>
      <c r="E21" s="1540">
        <f t="shared" si="2"/>
        <v>0</v>
      </c>
      <c r="F21" s="1936">
        <f t="shared" si="1"/>
        <v>0</v>
      </c>
      <c r="G21" s="1793">
        <f t="shared" si="3"/>
        <v>0</v>
      </c>
    </row>
    <row r="22" spans="1:8" x14ac:dyDescent="0.25">
      <c r="A22" s="1653"/>
      <c r="B22" s="1933"/>
      <c r="C22" s="1656"/>
      <c r="D22" s="1844"/>
      <c r="E22" s="1540">
        <f t="shared" si="2"/>
        <v>0</v>
      </c>
      <c r="F22" s="1936">
        <f t="shared" si="1"/>
        <v>0</v>
      </c>
      <c r="G22" s="1793">
        <f t="shared" si="3"/>
        <v>0</v>
      </c>
    </row>
    <row r="23" spans="1:8" x14ac:dyDescent="0.25">
      <c r="A23" s="1653"/>
      <c r="B23" s="1933"/>
      <c r="C23" s="1656"/>
      <c r="D23" s="1844"/>
      <c r="E23" s="1540">
        <f t="shared" si="2"/>
        <v>0</v>
      </c>
      <c r="F23" s="1936">
        <f t="shared" si="1"/>
        <v>0</v>
      </c>
      <c r="G23" s="1793">
        <f t="shared" si="3"/>
        <v>0</v>
      </c>
    </row>
    <row r="24" spans="1:8" x14ac:dyDescent="0.25">
      <c r="A24" s="1653"/>
      <c r="B24" s="1933"/>
      <c r="C24" s="1656"/>
      <c r="D24" s="1844"/>
      <c r="E24" s="1540">
        <f t="shared" si="2"/>
        <v>0</v>
      </c>
      <c r="F24" s="1936">
        <f t="shared" si="1"/>
        <v>0</v>
      </c>
      <c r="G24" s="1793">
        <f t="shared" si="3"/>
        <v>0</v>
      </c>
    </row>
    <row r="25" spans="1:8" x14ac:dyDescent="0.25">
      <c r="A25" s="1653"/>
      <c r="B25" s="1933"/>
      <c r="C25" s="1656"/>
      <c r="D25" s="1844"/>
      <c r="E25" s="1540">
        <f t="shared" si="2"/>
        <v>0</v>
      </c>
      <c r="F25" s="1936">
        <f t="shared" si="1"/>
        <v>0</v>
      </c>
      <c r="G25" s="1793">
        <f t="shared" si="3"/>
        <v>0</v>
      </c>
    </row>
    <row r="26" spans="1:8" x14ac:dyDescent="0.25">
      <c r="A26" s="1653"/>
      <c r="B26" s="1933"/>
      <c r="C26" s="1656"/>
      <c r="D26" s="1844"/>
      <c r="E26" s="1540">
        <f t="shared" si="2"/>
        <v>0</v>
      </c>
      <c r="F26" s="1936">
        <f t="shared" si="1"/>
        <v>0</v>
      </c>
      <c r="G26" s="1793">
        <f t="shared" si="3"/>
        <v>0</v>
      </c>
    </row>
    <row r="27" spans="1:8" x14ac:dyDescent="0.25">
      <c r="A27" s="1653"/>
      <c r="B27" s="1933"/>
      <c r="C27" s="1654"/>
      <c r="D27" s="1844"/>
      <c r="E27" s="1540">
        <f t="shared" si="2"/>
        <v>0</v>
      </c>
      <c r="F27" s="1936">
        <f t="shared" si="1"/>
        <v>0</v>
      </c>
      <c r="G27" s="1793">
        <f t="shared" si="3"/>
        <v>0</v>
      </c>
    </row>
    <row r="28" spans="1:8" x14ac:dyDescent="0.25">
      <c r="A28" s="1653"/>
      <c r="B28" s="1933"/>
      <c r="C28" s="1654"/>
      <c r="D28" s="1844"/>
      <c r="E28" s="1540">
        <f t="shared" si="2"/>
        <v>0</v>
      </c>
      <c r="F28" s="1936">
        <f t="shared" si="1"/>
        <v>0</v>
      </c>
      <c r="G28" s="1793">
        <f t="shared" si="3"/>
        <v>0</v>
      </c>
    </row>
    <row r="29" spans="1:8" x14ac:dyDescent="0.25">
      <c r="A29" s="1653"/>
      <c r="B29" s="1933"/>
      <c r="C29" s="1654"/>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0.1</v>
      </c>
      <c r="E142" s="1541">
        <f t="shared" si="0"/>
        <v>0.1</v>
      </c>
      <c r="F142" s="1932">
        <f>SUM(F18:F141)</f>
        <v>0</v>
      </c>
      <c r="G142" s="1795" t="e">
        <f>SUM(G18:G141)</f>
        <v>#VALUE!</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9" colorId="8" zoomScale="110" zoomScaleNormal="110" workbookViewId="0">
      <selection activeCell="T25" sqref="T25:AA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0" t="s">
        <v>1975</v>
      </c>
      <c r="B11" s="2291"/>
      <c r="C11" s="2291"/>
      <c r="D11" s="2292"/>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4659407</v>
      </c>
      <c r="F19" s="1799"/>
      <c r="G19" s="1801">
        <f>'Expenditures 15-22'!K33-SUM('Expenditures 15-22'!G33,'Expenditures 15-22'!I33)+'Expenditures 15-22'!D229</f>
        <v>4659407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443281</v>
      </c>
      <c r="F21" s="1802"/>
      <c r="G21" s="1805">
        <f>'Expenditures 15-22'!K42-SUM('Expenditures 15-22'!G42,'Expenditures 15-22'!I42)+'Expenditures 15-22'!K120-SUM('Expenditures 15-22'!G120,'Expenditures 15-22'!I120)+'Expenditures 15-22'!K180-SUM('Expenditures 15-22'!G180,'Expenditures 15-22'!I180)+'Expenditures 15-22'!D238</f>
        <v>443281</v>
      </c>
      <c r="H21" s="987"/>
      <c r="I21" s="162"/>
    </row>
    <row r="22" spans="1:9" s="668" customFormat="1" ht="12" customHeight="1" x14ac:dyDescent="0.2">
      <c r="A22" s="994" t="s">
        <v>564</v>
      </c>
      <c r="B22" s="995"/>
      <c r="C22" s="993">
        <v>2200</v>
      </c>
      <c r="D22" s="1802"/>
      <c r="E22" s="1804">
        <f>'Expenditures 15-22'!K47-SUM('Expenditures 15-22'!G47,'Expenditures 15-22'!I47)+'Expenditures 15-22'!D243</f>
        <v>88474</v>
      </c>
      <c r="F22" s="1802"/>
      <c r="G22" s="1805">
        <f>'Expenditures 15-22'!K47-SUM('Expenditures 15-22'!G47,'Expenditures 15-22'!I47)+'Expenditures 15-22'!D243</f>
        <v>88474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655809</v>
      </c>
      <c r="F23" s="1802"/>
      <c r="G23" s="1804">
        <f>'Expenditures 15-22'!K53-SUM('Expenditures 15-22'!G53,'Expenditures 15-22'!I53)+'Expenditures 15-22'!D257+'Expenditures 15-22'!K330-SUM('Expenditures 15-22'!G330,'Expenditures 15-22'!I330)</f>
        <v>655809</v>
      </c>
      <c r="H23" s="987"/>
      <c r="I23" s="162"/>
    </row>
    <row r="24" spans="1:9" s="668" customFormat="1" ht="12" customHeight="1" x14ac:dyDescent="0.2">
      <c r="A24" s="994" t="s">
        <v>566</v>
      </c>
      <c r="B24" s="995"/>
      <c r="C24" s="993">
        <v>2400</v>
      </c>
      <c r="D24" s="1802"/>
      <c r="E24" s="1804">
        <f>'Expenditures 15-22'!K57-SUM('Expenditures 15-22'!G57,'Expenditures 15-22'!I57)+'Expenditures 15-22'!D261</f>
        <v>321186</v>
      </c>
      <c r="F24" s="1802"/>
      <c r="G24" s="1805">
        <f>'Expenditures 15-22'!K57-SUM('Expenditures 15-22'!G57,'Expenditures 15-22'!I57)+'Expenditures 15-22'!D261</f>
        <v>321186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150629</v>
      </c>
      <c r="E26" s="1804">
        <f>'Expenditures 15-22'!K122-SUM('Expenditures 15-22'!G122,'Expenditures 15-22'!I122)+E7</f>
        <v>0</v>
      </c>
      <c r="F26" s="1804">
        <f>'Expenditures 15-22'!K59-SUM('Expenditures 15-22'!G59,'Expenditures 15-22'!I59)+'Expenditures 15-22'!D263-E7</f>
        <v>150629</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88648</v>
      </c>
      <c r="E27" s="1804">
        <f>E8</f>
        <v>0</v>
      </c>
      <c r="F27" s="1804">
        <f>'Expenditures 15-22'!K60-SUM('Expenditures 15-22'!G60,'Expenditures 15-22'!I60)+'Expenditures 15-22'!D264-E8</f>
        <v>88648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725563</v>
      </c>
      <c r="F28" s="1806">
        <f>'Expenditures 15-22'!K61-SUM('Expenditures 15-22'!G61,'Expenditures 15-22'!I61)+'Expenditures 15-22'!K124-SUM('Expenditures 15-22'!G124,'Expenditures 15-22'!I124)+'Expenditures 15-22'!D266-E9</f>
        <v>725563</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546294</v>
      </c>
      <c r="F29" s="1802"/>
      <c r="G29" s="1805">
        <f>'Expenditures 15-22'!K62-SUM('Expenditures 15-22'!G62,'Expenditures 15-22'!I62)+'Expenditures 15-22'!K125-SUM('Expenditures 15-22'!G125,'Expenditures 15-22'!I125)+'Expenditures 15-22'!K182-SUM('Expenditures 15-22'!G182,'Expenditures 15-22'!I182)+'Expenditures 15-22'!D267</f>
        <v>546294</v>
      </c>
      <c r="H29" s="985"/>
    </row>
    <row r="30" spans="1:9" ht="12" customHeight="1" x14ac:dyDescent="0.2">
      <c r="A30" s="994" t="s">
        <v>100</v>
      </c>
      <c r="B30" s="997"/>
      <c r="C30" s="993">
        <v>2560</v>
      </c>
      <c r="D30" s="1802"/>
      <c r="E30" s="1804">
        <f>'Expenditures 15-22'!K63-SUM('Expenditures 15-22'!G63,'Expenditures 15-22'!I63)+'Expenditures 15-22'!D268-E10</f>
        <v>340729</v>
      </c>
      <c r="F30" s="1802"/>
      <c r="G30" s="1804">
        <f>'Expenditures 15-22'!K63-SUM('Expenditures 15-22'!G63,'Expenditures 15-22'!I63)+'Expenditures 15-22'!D268-E10</f>
        <v>340729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236971</v>
      </c>
      <c r="F35" s="1802"/>
      <c r="G35" s="1804">
        <f>'Expenditures 15-22'!K69-SUM('Expenditures 15-22'!G69,'Expenditures 15-22'!I69)+'Expenditures 15-22'!D274</f>
        <v>236971</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76342</v>
      </c>
      <c r="E37" s="1804">
        <f>E14</f>
        <v>0</v>
      </c>
      <c r="F37" s="1804">
        <f>'Expenditures 15-22'!K71-SUM('Expenditures 15-22'!G71,'Expenditures 15-22'!I71)+'Expenditures 15-22'!D276-E14</f>
        <v>76342</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12755</v>
      </c>
      <c r="F39" s="1802"/>
      <c r="G39" s="1804">
        <f>'Expenditures 15-22'!K75-SUM('Expenditures 15-22'!G75,'Expenditures 15-22'!I75)+'Expenditures 15-22'!K130-SUM('Expenditures 15-22'!G130,'Expenditures 15-22'!I130)+'Expenditures 15-22'!K185-SUM('Expenditures 15-22'!G185,'Expenditures 15-22'!I185)+'Expenditures 15-22'!D280</f>
        <v>12755</v>
      </c>
    </row>
    <row r="40" spans="1:7" ht="12" customHeight="1" x14ac:dyDescent="0.2">
      <c r="A40" s="990" t="s">
        <v>1823</v>
      </c>
      <c r="B40" s="991"/>
      <c r="C40" s="993"/>
      <c r="D40" s="1802"/>
      <c r="E40" s="1806" t="e">
        <f>-'Contracts Paid in CY 29'!G142</f>
        <v>#VALUE!</v>
      </c>
      <c r="F40" s="1802"/>
      <c r="G40" s="1806" t="e">
        <f>-'Contracts Paid in CY 29'!G142</f>
        <v>#VALUE!</v>
      </c>
    </row>
    <row r="41" spans="1:7" ht="12" customHeight="1" x14ac:dyDescent="0.2">
      <c r="A41" s="998" t="s">
        <v>156</v>
      </c>
      <c r="B41" s="999"/>
      <c r="C41" s="1000"/>
      <c r="D41" s="1806">
        <f>SUM(D19:D39)</f>
        <v>315619</v>
      </c>
      <c r="E41" s="1806" t="e">
        <f>SUM(E19:E40)</f>
        <v>#VALUE!</v>
      </c>
      <c r="F41" s="1806">
        <f>SUM(F19:F39)</f>
        <v>1041182</v>
      </c>
      <c r="G41" s="1806" t="e">
        <f>SUM(G19:G40)</f>
        <v>#VALUE!</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315619</v>
      </c>
      <c r="F43" s="1807" t="s">
        <v>473</v>
      </c>
      <c r="G43" s="1808">
        <f>F41</f>
        <v>1041182</v>
      </c>
    </row>
    <row r="44" spans="1:7" ht="12" customHeight="1" x14ac:dyDescent="0.2">
      <c r="A44" s="987"/>
      <c r="B44" s="162"/>
      <c r="C44" s="1001"/>
      <c r="D44" s="1807" t="s">
        <v>474</v>
      </c>
      <c r="E44" s="1808" t="e">
        <f>E41</f>
        <v>#VALUE!</v>
      </c>
      <c r="F44" s="1807" t="s">
        <v>474</v>
      </c>
      <c r="G44" s="1808" t="e">
        <f>G41</f>
        <v>#VALUE!</v>
      </c>
    </row>
    <row r="45" spans="1:7" ht="12" customHeight="1" x14ac:dyDescent="0.2">
      <c r="A45" s="987"/>
      <c r="B45" s="162"/>
      <c r="C45" s="162"/>
      <c r="D45" s="1809" t="s">
        <v>1006</v>
      </c>
      <c r="E45" s="1810" t="e">
        <f>(E43/E44)</f>
        <v>#VALUE!</v>
      </c>
      <c r="F45" s="1809" t="s">
        <v>1006</v>
      </c>
      <c r="G45" s="1810" t="e">
        <f>(G43/G44)</f>
        <v>#VALUE!</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T25" sqref="T25:AA25"/>
      <selection pane="bottomLeft" activeCell="T25" sqref="T25:AA2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Gavin SD 37</v>
      </c>
      <c r="D6" s="2300"/>
      <c r="E6" s="2300"/>
      <c r="F6" s="1852"/>
    </row>
    <row r="7" spans="1:10" ht="11.25" customHeight="1" thickBot="1" x14ac:dyDescent="0.3">
      <c r="A7" s="1850"/>
      <c r="B7" s="1851"/>
      <c r="C7" s="2301">
        <f>COVER!A13</f>
        <v>34049037002</v>
      </c>
      <c r="D7" s="2301"/>
      <c r="E7" s="230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2065</v>
      </c>
      <c r="D14" s="1865" t="s">
        <v>2065</v>
      </c>
      <c r="E14" s="1868" t="s">
        <v>2065</v>
      </c>
      <c r="F14" s="1867" t="s">
        <v>2081</v>
      </c>
      <c r="H14" s="1878">
        <f t="shared" si="0"/>
        <v>5</v>
      </c>
      <c r="I14" s="1878">
        <f t="shared" si="1"/>
        <v>5</v>
      </c>
      <c r="J14" s="1878">
        <f t="shared" si="2"/>
        <v>5</v>
      </c>
    </row>
    <row r="15" spans="1:10" ht="12" customHeight="1" x14ac:dyDescent="0.2">
      <c r="A15" s="1863" t="s">
        <v>1387</v>
      </c>
      <c r="B15" s="1864"/>
      <c r="C15" s="1865" t="s">
        <v>2065</v>
      </c>
      <c r="D15" s="1865" t="s">
        <v>2065</v>
      </c>
      <c r="E15" s="1868" t="s">
        <v>2065</v>
      </c>
      <c r="F15" s="1867" t="s">
        <v>2082</v>
      </c>
      <c r="H15" s="1878">
        <f t="shared" si="0"/>
        <v>5</v>
      </c>
      <c r="I15" s="1878">
        <f t="shared" si="1"/>
        <v>5</v>
      </c>
      <c r="J15" s="1878">
        <f t="shared" si="2"/>
        <v>5</v>
      </c>
    </row>
    <row r="16" spans="1:10" ht="12" customHeight="1" x14ac:dyDescent="0.2">
      <c r="A16" s="1863" t="s">
        <v>1388</v>
      </c>
      <c r="B16" s="1864"/>
      <c r="C16" s="1865" t="s">
        <v>2065</v>
      </c>
      <c r="D16" s="1865"/>
      <c r="E16" s="1868"/>
      <c r="F16" s="1867" t="s">
        <v>2083</v>
      </c>
      <c r="H16" s="1878">
        <f t="shared" si="0"/>
        <v>5</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2065</v>
      </c>
      <c r="D19" s="1865" t="s">
        <v>2065</v>
      </c>
      <c r="E19" s="1868" t="s">
        <v>2065</v>
      </c>
      <c r="F19" s="1867" t="s">
        <v>2084</v>
      </c>
      <c r="H19" s="1878">
        <f t="shared" si="0"/>
        <v>5</v>
      </c>
      <c r="I19" s="1878">
        <f t="shared" si="1"/>
        <v>5</v>
      </c>
      <c r="J19" s="1878">
        <f t="shared" si="2"/>
        <v>5</v>
      </c>
    </row>
    <row r="20" spans="1:12" ht="12" customHeight="1" x14ac:dyDescent="0.2">
      <c r="A20" s="1863" t="s">
        <v>1528</v>
      </c>
      <c r="B20" s="1864"/>
      <c r="C20" s="1865" t="s">
        <v>2065</v>
      </c>
      <c r="D20" s="1865" t="s">
        <v>2065</v>
      </c>
      <c r="E20" s="1868" t="s">
        <v>2065</v>
      </c>
      <c r="F20" s="1867" t="s">
        <v>2085</v>
      </c>
      <c r="H20" s="1878">
        <f t="shared" si="0"/>
        <v>5</v>
      </c>
      <c r="I20" s="1878">
        <f t="shared" si="1"/>
        <v>5</v>
      </c>
      <c r="J20" s="1878">
        <f t="shared" si="2"/>
        <v>5</v>
      </c>
    </row>
    <row r="21" spans="1:12" ht="12" customHeight="1" x14ac:dyDescent="0.2">
      <c r="A21" s="1863" t="s">
        <v>1529</v>
      </c>
      <c r="B21" s="1864"/>
      <c r="C21" s="1865" t="s">
        <v>2065</v>
      </c>
      <c r="D21" s="1865" t="s">
        <v>2065</v>
      </c>
      <c r="E21" s="1868" t="s">
        <v>2065</v>
      </c>
      <c r="F21" s="1867" t="s">
        <v>2086</v>
      </c>
      <c r="H21" s="1878">
        <f t="shared" si="0"/>
        <v>5</v>
      </c>
      <c r="I21" s="1878">
        <f t="shared" si="1"/>
        <v>5</v>
      </c>
      <c r="J21" s="1878">
        <f t="shared" si="2"/>
        <v>5</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2065</v>
      </c>
      <c r="D26" s="1865" t="s">
        <v>2065</v>
      </c>
      <c r="E26" s="1868" t="s">
        <v>2065</v>
      </c>
      <c r="F26" s="1867" t="s">
        <v>2087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2065</v>
      </c>
      <c r="D30" s="1865" t="s">
        <v>2065</v>
      </c>
      <c r="E30" s="1868" t="s">
        <v>2065</v>
      </c>
      <c r="F30" s="1867" t="s">
        <v>2088</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2065</v>
      </c>
      <c r="D32" s="1865"/>
      <c r="E32" s="1868"/>
      <c r="F32" s="1867" t="s">
        <v>2080</v>
      </c>
      <c r="H32" s="1878">
        <f t="shared" si="0"/>
        <v>5</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45</v>
      </c>
      <c r="I34" s="1878">
        <f>SUM(I11:I32)</f>
        <v>35</v>
      </c>
      <c r="J34" s="1878">
        <f>SUM(J11:J32)</f>
        <v>35</v>
      </c>
      <c r="K34" s="1878">
        <f>SUM(H34:J34)</f>
        <v>115</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25" sqref="T25:AA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Gavin SD 37</v>
      </c>
      <c r="J6" s="2321"/>
      <c r="Q6" s="1664"/>
    </row>
    <row r="7" spans="1:17" x14ac:dyDescent="0.2">
      <c r="A7" s="2322" t="s">
        <v>869</v>
      </c>
      <c r="B7" s="2323"/>
      <c r="C7" s="2323"/>
      <c r="D7" s="2323"/>
      <c r="E7" s="2324"/>
      <c r="F7" s="1017"/>
      <c r="G7" s="1009"/>
      <c r="H7" s="1016" t="s">
        <v>372</v>
      </c>
      <c r="I7" s="2325">
        <f>COVER!A13</f>
        <v>34049037002</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287651</v>
      </c>
      <c r="F12" s="1039"/>
      <c r="G12" s="1811">
        <f t="shared" ref="G12:G18" si="0">SUM(E12:F12)</f>
        <v>287651</v>
      </c>
      <c r="H12" s="1040">
        <v>307058</v>
      </c>
      <c r="I12" s="1039"/>
      <c r="J12" s="1811">
        <f t="shared" ref="J12:J18" si="1">SUM(H12:I12)</f>
        <v>307058</v>
      </c>
    </row>
    <row r="13" spans="1:17" ht="15" customHeight="1" x14ac:dyDescent="0.2">
      <c r="A13" s="1035">
        <v>2</v>
      </c>
      <c r="B13" s="1036" t="s">
        <v>42</v>
      </c>
      <c r="C13" s="1037"/>
      <c r="D13" s="1038">
        <v>2330</v>
      </c>
      <c r="E13" s="1811">
        <f>'Expenditures 15-22'!K51</f>
        <v>144485</v>
      </c>
      <c r="F13" s="1039"/>
      <c r="G13" s="1811">
        <f t="shared" si="0"/>
        <v>144485</v>
      </c>
      <c r="H13" s="1040">
        <v>157000</v>
      </c>
      <c r="I13" s="1039"/>
      <c r="J13" s="1811">
        <f t="shared" si="1"/>
        <v>157000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149078</v>
      </c>
      <c r="F15" s="1811">
        <f>'Expenditures 15-22'!K122</f>
        <v>0</v>
      </c>
      <c r="G15" s="1811">
        <f t="shared" si="0"/>
        <v>149078</v>
      </c>
      <c r="H15" s="1040">
        <v>103300</v>
      </c>
      <c r="I15" s="1040"/>
      <c r="J15" s="1811">
        <f t="shared" si="1"/>
        <v>103300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581214</v>
      </c>
      <c r="F19" s="1813">
        <f t="shared" si="2"/>
        <v>0</v>
      </c>
      <c r="G19" s="1813">
        <f t="shared" si="2"/>
        <v>581214</v>
      </c>
      <c r="H19" s="1813">
        <f t="shared" si="2"/>
        <v>567358</v>
      </c>
      <c r="I19" s="1813">
        <f t="shared" si="2"/>
        <v>0</v>
      </c>
      <c r="J19" s="1813">
        <f t="shared" si="2"/>
        <v>567358</v>
      </c>
    </row>
    <row r="20" spans="1:10" ht="13.5" thickTop="1" x14ac:dyDescent="0.2">
      <c r="A20" s="1035">
        <v>9</v>
      </c>
      <c r="B20" s="2332" t="s">
        <v>1979</v>
      </c>
      <c r="C20" s="2332"/>
      <c r="D20" s="2333"/>
      <c r="E20" s="1046"/>
      <c r="F20" s="1046"/>
      <c r="G20" s="1046"/>
      <c r="H20" s="1046"/>
      <c r="I20" s="1046"/>
      <c r="J20" s="1814">
        <f>IF(AND(G19&gt;0,J19&gt;0),(((J19-G19)/G19)),"Enter Budget Data")</f>
        <v>-2.383975609672169E-2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25" sqref="T25:AA2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Gavin SD 37</v>
      </c>
    </row>
    <row r="65" spans="2:2" x14ac:dyDescent="0.2">
      <c r="B65" s="1070">
        <f>COVER!A13</f>
        <v>34049037002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6" sqref="H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190500</xdr:colOff>
                <xdr:row>2</xdr:row>
                <xdr:rowOff>0</xdr:rowOff>
              </from>
              <to>
                <xdr:col>1</xdr:col>
                <xdr:colOff>1104900</xdr:colOff>
                <xdr:row>6</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1362075</xdr:colOff>
                <xdr:row>2</xdr:row>
                <xdr:rowOff>0</xdr:rowOff>
              </from>
              <to>
                <xdr:col>1</xdr:col>
                <xdr:colOff>2266950</xdr:colOff>
                <xdr:row>6</xdr:row>
                <xdr:rowOff>38100</xdr:rowOff>
              </to>
            </anchor>
          </objectPr>
        </oleObject>
      </mc:Choice>
      <mc:Fallback>
        <oleObject progId="Acrobat Document" dvAspect="DVASPECT_ICON" shapeId="3584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7716534</v>
      </c>
      <c r="C8" s="1815">
        <f>'Acct Summary 7-8'!D8</f>
        <v>707252</v>
      </c>
      <c r="D8" s="1815">
        <f>'Acct Summary 7-8'!F8</f>
        <v>392317</v>
      </c>
      <c r="E8" s="1815">
        <f>'Acct Summary 7-8'!I8</f>
        <v>3689</v>
      </c>
      <c r="F8" s="1815">
        <f>SUM(B8:E8)</f>
        <v>8819792</v>
      </c>
    </row>
    <row r="9" spans="1:8" s="1079" customFormat="1" ht="14.25" customHeight="1" thickBot="1" x14ac:dyDescent="0.25">
      <c r="A9" s="1078" t="s">
        <v>1369</v>
      </c>
      <c r="B9" s="1816">
        <f>'Acct Summary 7-8'!C17</f>
        <v>7290352</v>
      </c>
      <c r="C9" s="1816">
        <f>'Acct Summary 7-8'!D17</f>
        <v>680999</v>
      </c>
      <c r="D9" s="1816">
        <f>'Acct Summary 7-8'!F17</f>
        <v>510827</v>
      </c>
      <c r="E9" s="1815"/>
      <c r="F9" s="1815">
        <f>SUM(B9:E9)</f>
        <v>8482178</v>
      </c>
    </row>
    <row r="10" spans="1:8" s="1079" customFormat="1" ht="14.25" thickTop="1" thickBot="1" x14ac:dyDescent="0.25">
      <c r="A10" s="1080" t="s">
        <v>1370</v>
      </c>
      <c r="B10" s="1817">
        <f>(B8-B9)</f>
        <v>426182</v>
      </c>
      <c r="C10" s="1817">
        <f>(C8-C9)</f>
        <v>26253</v>
      </c>
      <c r="D10" s="1817">
        <f>(D8-D9)</f>
        <v>-118510</v>
      </c>
      <c r="E10" s="1816">
        <f>(E8-E9)</f>
        <v>3689</v>
      </c>
      <c r="F10" s="1818">
        <f>SUM(F8-F9)</f>
        <v>337614</v>
      </c>
    </row>
    <row r="11" spans="1:8" s="1079" customFormat="1" ht="14.25" thickTop="1" thickBot="1" x14ac:dyDescent="0.25">
      <c r="A11" s="1081" t="s">
        <v>1983</v>
      </c>
      <c r="B11" s="1819">
        <f>'Acct Summary 7-8'!C81</f>
        <v>1701868</v>
      </c>
      <c r="C11" s="1819">
        <f>'Acct Summary 7-8'!D81</f>
        <v>134786</v>
      </c>
      <c r="D11" s="1819">
        <f>'Acct Summary 7-8'!F81</f>
        <v>743293</v>
      </c>
      <c r="E11" s="1819">
        <f>'Acct Summary 7-8'!I81</f>
        <v>189210</v>
      </c>
      <c r="F11" s="1820">
        <f>SUM(B11:E11)</f>
        <v>2769157</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23" sqref="D2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34049037002</v>
      </c>
    </row>
    <row r="3" spans="1:2" x14ac:dyDescent="0.2">
      <c r="A3" t="s">
        <v>956</v>
      </c>
      <c r="B3" s="138" t="str">
        <f>COVER!A15</f>
        <v>LAKE</v>
      </c>
    </row>
    <row r="4" spans="1:2" x14ac:dyDescent="0.2">
      <c r="A4" t="s">
        <v>1007</v>
      </c>
      <c r="B4" s="138" t="str">
        <f>COVER!A17</f>
        <v>Gavin SD 37</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066-005340</v>
      </c>
    </row>
    <row r="16" spans="1:2" x14ac:dyDescent="0.2">
      <c r="A16" t="s">
        <v>422</v>
      </c>
      <c r="B16" s="138" t="str">
        <f>COVER!T13</f>
        <v>EVANS, MARSHALL AND PEASE, P.C.</v>
      </c>
    </row>
    <row r="17" spans="1:2" x14ac:dyDescent="0.2">
      <c r="A17" t="s">
        <v>884</v>
      </c>
      <c r="B17" s="138" t="str">
        <f>COVER!T15</f>
        <v>JEFFERY M. ROLLEFSON</v>
      </c>
    </row>
    <row r="18" spans="1:2" x14ac:dyDescent="0.2">
      <c r="A18" t="s">
        <v>1150</v>
      </c>
      <c r="B18" s="138" t="str">
        <f>COVER!T17</f>
        <v>1875 HICKS ROAD</v>
      </c>
    </row>
    <row r="19" spans="1:2" x14ac:dyDescent="0.2">
      <c r="A19" t="s">
        <v>886</v>
      </c>
      <c r="B19" s="138" t="str">
        <f>COVER!T25</f>
        <v>JEFF@EMPCPA.COM</v>
      </c>
    </row>
    <row r="20" spans="1:2" x14ac:dyDescent="0.2">
      <c r="A20" t="s">
        <v>887</v>
      </c>
      <c r="B20" s="138" t="str">
        <f>COVER!T19</f>
        <v>ROLLING MEADOWS</v>
      </c>
    </row>
    <row r="21" spans="1:2" x14ac:dyDescent="0.2">
      <c r="A21" t="s">
        <v>479</v>
      </c>
      <c r="B21" s="138" t="str">
        <f>COVER!X19</f>
        <v>IL</v>
      </c>
    </row>
    <row r="22" spans="1:2" x14ac:dyDescent="0.2">
      <c r="A22" t="s">
        <v>888</v>
      </c>
      <c r="B22" s="138">
        <f>COVER!Z19</f>
        <v>60008</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1711198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9330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9330</v>
      </c>
      <c r="C91" s="2" t="s">
        <v>573</v>
      </c>
      <c r="D91" s="2" t="str">
        <f t="shared" si="0"/>
        <v>Error?</v>
      </c>
    </row>
    <row r="92" spans="1:4" x14ac:dyDescent="0.2">
      <c r="A92" s="5">
        <v>31</v>
      </c>
      <c r="B92" s="138">
        <f>'Assets-Liab 5-6'!C39</f>
        <v>1701868</v>
      </c>
      <c r="D92" s="2" t="str">
        <f t="shared" si="0"/>
        <v>Error?</v>
      </c>
    </row>
    <row r="93" spans="1:4" x14ac:dyDescent="0.2">
      <c r="A93" s="5">
        <v>32</v>
      </c>
      <c r="B93" s="138">
        <f>'Assets-Liab 5-6'!C41</f>
        <v>1711198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185132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346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50346</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185132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206145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206145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743569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276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276</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743569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147195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147195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5100809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5100809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158453</v>
      </c>
      <c r="D273" s="2" t="str">
        <f t="shared" si="3"/>
        <v>Error?</v>
      </c>
    </row>
    <row r="274" spans="1:4" x14ac:dyDescent="0.2">
      <c r="A274" s="5">
        <v>213</v>
      </c>
      <c r="B274" s="138">
        <f>'Assets-Liab 5-6'!M17</f>
        <v>10248918</v>
      </c>
      <c r="D274" s="2" t="str">
        <f t="shared" si="3"/>
        <v>Error?</v>
      </c>
    </row>
    <row r="275" spans="1:4" x14ac:dyDescent="0.2">
      <c r="A275" s="5">
        <v>214</v>
      </c>
      <c r="B275" s="138">
        <f>'Assets-Liab 5-6'!M18</f>
        <v>198005</v>
      </c>
      <c r="D275" s="2" t="str">
        <f t="shared" si="3"/>
        <v>Error?</v>
      </c>
    </row>
    <row r="276" spans="1:4" x14ac:dyDescent="0.2">
      <c r="A276" s="5">
        <v>215</v>
      </c>
      <c r="B276" s="138">
        <f>'Assets-Liab 5-6'!M19</f>
        <v>1612647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13150713</v>
      </c>
      <c r="C279" s="2" t="s">
        <v>573</v>
      </c>
      <c r="D279" s="2" t="str">
        <f t="shared" si="3"/>
        <v>Error?</v>
      </c>
    </row>
    <row r="280" spans="1:4" x14ac:dyDescent="0.2">
      <c r="A280" s="5">
        <v>219</v>
      </c>
      <c r="B280" s="138">
        <f>'Assets-Liab 5-6'!M40</f>
        <v>13150713</v>
      </c>
      <c r="D280" s="2" t="str">
        <f t="shared" si="3"/>
        <v>Error?</v>
      </c>
    </row>
    <row r="281" spans="1:4" x14ac:dyDescent="0.2">
      <c r="A281" s="5">
        <v>220</v>
      </c>
      <c r="B281" s="138">
        <f>'Assets-Liab 5-6'!M41</f>
        <v>13150713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5980000</v>
      </c>
      <c r="D283" s="2" t="str">
        <f t="shared" si="3"/>
        <v>Error?</v>
      </c>
    </row>
    <row r="284" spans="1:4" x14ac:dyDescent="0.2">
      <c r="A284" s="5">
        <v>223</v>
      </c>
      <c r="B284" s="138">
        <f>'Assets-Liab 5-6'!N23</f>
        <v>5980000</v>
      </c>
      <c r="C284" s="2" t="s">
        <v>573</v>
      </c>
      <c r="D284" s="2" t="str">
        <f t="shared" si="3"/>
        <v>Error?</v>
      </c>
    </row>
    <row r="285" spans="1:4" x14ac:dyDescent="0.2">
      <c r="A285" s="5">
        <v>224</v>
      </c>
      <c r="B285" s="138">
        <f>'Assets-Liab 5-6'!N36</f>
        <v>5980000</v>
      </c>
      <c r="D285" s="2" t="str">
        <f t="shared" si="3"/>
        <v>Error?</v>
      </c>
    </row>
    <row r="286" spans="1:4" x14ac:dyDescent="0.2">
      <c r="A286" s="10">
        <v>225</v>
      </c>
      <c r="D286" s="2" t="str">
        <f t="shared" si="3"/>
        <v>OK</v>
      </c>
    </row>
    <row r="287" spans="1:4" x14ac:dyDescent="0.2">
      <c r="A287" s="5">
        <v>226</v>
      </c>
      <c r="B287" s="138">
        <f>'Assets-Liab 5-6'!N37</f>
        <v>5980000</v>
      </c>
      <c r="C287" s="2" t="s">
        <v>573</v>
      </c>
      <c r="D287" s="2" t="str">
        <f t="shared" si="3"/>
        <v>Error?</v>
      </c>
    </row>
    <row r="288" spans="1:4" x14ac:dyDescent="0.2">
      <c r="A288" s="5">
        <v>227</v>
      </c>
      <c r="B288" s="138">
        <f>'Assets-Liab 5-6'!N41</f>
        <v>5980000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5980000</v>
      </c>
      <c r="D618" s="2" t="str">
        <f t="shared" si="8"/>
        <v>Error?</v>
      </c>
    </row>
    <row r="619" spans="1:4" x14ac:dyDescent="0.2">
      <c r="A619" s="5">
        <v>558</v>
      </c>
      <c r="B619" s="138">
        <f>'Acct Summary 7-8'!H34</f>
        <v>142200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350588</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2766112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50994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36295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3712012</v>
      </c>
      <c r="C720" s="2" t="s">
        <v>573</v>
      </c>
      <c r="D720" s="2" t="str">
        <f t="shared" si="10"/>
        <v>Error?</v>
      </c>
    </row>
    <row r="721" spans="1:4" x14ac:dyDescent="0.2">
      <c r="A721" s="5">
        <v>660</v>
      </c>
      <c r="B721" s="138">
        <f>'Expenditures 15-22'!C36</f>
        <v>117837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35633</v>
      </c>
      <c r="D723" s="2" t="str">
        <f t="shared" si="10"/>
        <v>Error?</v>
      </c>
    </row>
    <row r="724" spans="1:4" x14ac:dyDescent="0.2">
      <c r="A724" s="5">
        <v>663</v>
      </c>
      <c r="B724" s="138">
        <f>'Expenditures 15-22'!C39</f>
        <v>48990</v>
      </c>
      <c r="D724" s="2" t="str">
        <f t="shared" si="10"/>
        <v>Error?</v>
      </c>
    </row>
    <row r="725" spans="1:4" x14ac:dyDescent="0.2">
      <c r="A725" s="5">
        <v>664</v>
      </c>
      <c r="B725" s="138">
        <f>'Expenditures 15-22'!C40</f>
        <v>106675</v>
      </c>
      <c r="D725" s="2" t="str">
        <f t="shared" si="10"/>
        <v>Error?</v>
      </c>
    </row>
    <row r="726" spans="1:4" x14ac:dyDescent="0.2">
      <c r="A726" s="5">
        <v>665</v>
      </c>
      <c r="B726" s="138">
        <f>'Expenditures 15-22'!C41</f>
        <v>43659</v>
      </c>
      <c r="D726" s="2" t="str">
        <f t="shared" si="10"/>
        <v>Error?</v>
      </c>
    </row>
    <row r="727" spans="1:4" x14ac:dyDescent="0.2">
      <c r="A727" s="5">
        <v>666</v>
      </c>
      <c r="B727" s="138">
        <f>'Expenditures 15-22'!C42</f>
        <v>352794</v>
      </c>
      <c r="C727" s="2" t="s">
        <v>573</v>
      </c>
      <c r="D727" s="2" t="str">
        <f t="shared" si="10"/>
        <v>Error?</v>
      </c>
    </row>
    <row r="728" spans="1:4" x14ac:dyDescent="0.2">
      <c r="A728" s="5">
        <v>667</v>
      </c>
      <c r="B728" s="138">
        <f>'Expenditures 15-22'!C44</f>
        <v>9045</v>
      </c>
      <c r="D728" s="2" t="str">
        <f t="shared" si="10"/>
        <v>Error?</v>
      </c>
    </row>
    <row r="729" spans="1:4" x14ac:dyDescent="0.2">
      <c r="A729" s="5">
        <v>668</v>
      </c>
      <c r="B729" s="138">
        <f>'Expenditures 15-22'!C45</f>
        <v>18197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27242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224899</v>
      </c>
      <c r="D733" s="2" t="str">
        <f t="shared" si="10"/>
        <v>Error?</v>
      </c>
    </row>
    <row r="734" spans="1:4" x14ac:dyDescent="0.2">
      <c r="A734" s="5">
        <v>673</v>
      </c>
      <c r="B734" s="138">
        <f>'Expenditures 15-22'!C53</f>
        <v>342367</v>
      </c>
      <c r="C734" s="2" t="s">
        <v>573</v>
      </c>
      <c r="D734" s="2" t="str">
        <f t="shared" si="10"/>
        <v>Error?</v>
      </c>
    </row>
    <row r="735" spans="1:4" x14ac:dyDescent="0.2">
      <c r="A735" s="5">
        <v>674</v>
      </c>
      <c r="B735" s="138">
        <f>'Expenditures 15-22'!C55</f>
        <v>245680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245680</v>
      </c>
      <c r="C737" s="2" t="s">
        <v>573</v>
      </c>
      <c r="D737" s="2" t="str">
        <f t="shared" si="10"/>
        <v>Error?</v>
      </c>
    </row>
    <row r="738" spans="1:4" x14ac:dyDescent="0.2">
      <c r="A738" s="5">
        <v>677</v>
      </c>
      <c r="B738" s="138">
        <f>'Expenditures 15-22'!C59</f>
        <v>108936</v>
      </c>
      <c r="D738" s="2" t="str">
        <f t="shared" si="10"/>
        <v>Error?</v>
      </c>
    </row>
    <row r="739" spans="1:4" x14ac:dyDescent="0.2">
      <c r="A739" s="5">
        <v>678</v>
      </c>
      <c r="B739" s="138">
        <f>'Expenditures 15-22'!C60</f>
        <v>30221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67247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206404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120366</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120366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1294853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5006865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443101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8723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569169</v>
      </c>
      <c r="C778" s="2" t="s">
        <v>573</v>
      </c>
      <c r="D778" s="2" t="str">
        <f t="shared" si="11"/>
        <v>Error?</v>
      </c>
    </row>
    <row r="779" spans="1:4" x14ac:dyDescent="0.2">
      <c r="A779" s="5">
        <v>718</v>
      </c>
      <c r="B779" s="138">
        <f>'Expenditures 15-22'!D36</f>
        <v>17726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72</v>
      </c>
      <c r="D781" s="2" t="str">
        <f t="shared" si="11"/>
        <v>Error?</v>
      </c>
    </row>
    <row r="782" spans="1:4" x14ac:dyDescent="0.2">
      <c r="A782" s="5">
        <v>721</v>
      </c>
      <c r="B782" s="138">
        <f>'Expenditures 15-22'!D39</f>
        <v>8862</v>
      </c>
      <c r="D782" s="2" t="str">
        <f t="shared" si="11"/>
        <v>Error?</v>
      </c>
    </row>
    <row r="783" spans="1:4" x14ac:dyDescent="0.2">
      <c r="A783" s="5">
        <v>722</v>
      </c>
      <c r="B783" s="138">
        <f>'Expenditures 15-22'!D40</f>
        <v>8317</v>
      </c>
      <c r="D783" s="2" t="str">
        <f t="shared" si="11"/>
        <v>Error?</v>
      </c>
    </row>
    <row r="784" spans="1:4" x14ac:dyDescent="0.2">
      <c r="A784" s="5">
        <v>723</v>
      </c>
      <c r="B784" s="138">
        <f>'Expenditures 15-22'!D41</f>
        <v>154</v>
      </c>
      <c r="D784" s="2" t="str">
        <f t="shared" si="11"/>
        <v>Error?</v>
      </c>
    </row>
    <row r="785" spans="1:4" x14ac:dyDescent="0.2">
      <c r="A785" s="5">
        <v>724</v>
      </c>
      <c r="B785" s="138">
        <f>'Expenditures 15-22'!D42</f>
        <v>35131</v>
      </c>
      <c r="C785" s="2" t="s">
        <v>573</v>
      </c>
      <c r="D785" s="2" t="str">
        <f t="shared" si="11"/>
        <v>Error?</v>
      </c>
    </row>
    <row r="786" spans="1:4" x14ac:dyDescent="0.2">
      <c r="A786" s="5">
        <v>725</v>
      </c>
      <c r="B786" s="138">
        <f>'Expenditures 15-22'!D44</f>
        <v>629</v>
      </c>
      <c r="D786" s="2" t="str">
        <f t="shared" si="11"/>
        <v>Error?</v>
      </c>
    </row>
    <row r="787" spans="1:4" x14ac:dyDescent="0.2">
      <c r="A787" s="5">
        <v>726</v>
      </c>
      <c r="B787" s="138">
        <f>'Expenditures 15-22'!D45</f>
        <v>42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54851</v>
      </c>
      <c r="D791" s="2" t="str">
        <f t="shared" si="11"/>
        <v>Error?</v>
      </c>
    </row>
    <row r="792" spans="1:4" x14ac:dyDescent="0.2">
      <c r="A792" s="5">
        <v>731</v>
      </c>
      <c r="B792" s="138">
        <f>'Expenditures 15-22'!D53</f>
        <v>81868</v>
      </c>
      <c r="C792" s="2" t="s">
        <v>573</v>
      </c>
      <c r="D792" s="2" t="str">
        <f t="shared" si="11"/>
        <v>Error?</v>
      </c>
    </row>
    <row r="793" spans="1:4" x14ac:dyDescent="0.2">
      <c r="A793" s="5">
        <v>732</v>
      </c>
      <c r="B793" s="138">
        <f>'Expenditures 15-22'!D55</f>
        <v>52989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52989</v>
      </c>
      <c r="C795" s="2" t="s">
        <v>573</v>
      </c>
      <c r="D795" s="2" t="str">
        <f t="shared" si="11"/>
        <v>Error?</v>
      </c>
    </row>
    <row r="796" spans="1:4" x14ac:dyDescent="0.2">
      <c r="A796" s="5">
        <v>735</v>
      </c>
      <c r="B796" s="138">
        <f>'Expenditures 15-22'!D59</f>
        <v>40142</v>
      </c>
      <c r="D796" s="2" t="str">
        <f t="shared" si="11"/>
        <v>Error?</v>
      </c>
    </row>
    <row r="797" spans="1:4" x14ac:dyDescent="0.2">
      <c r="A797" s="5">
        <v>736</v>
      </c>
      <c r="B797" s="138">
        <f>'Expenditures 15-22'!D60</f>
        <v>48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40407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15034</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15034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226100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795269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21175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6014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50165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3584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28016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31600</v>
      </c>
      <c r="C843" s="2" t="s">
        <v>573</v>
      </c>
      <c r="D843" s="2" t="str">
        <f t="shared" si="12"/>
        <v>Error?</v>
      </c>
    </row>
    <row r="844" spans="1:4" x14ac:dyDescent="0.2">
      <c r="A844" s="5">
        <v>783</v>
      </c>
      <c r="B844" s="138">
        <f>'Expenditures 15-22'!E44</f>
        <v>39010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8125</v>
      </c>
      <c r="D846" s="2" t="str">
        <f t="shared" si="12"/>
        <v>Error?</v>
      </c>
    </row>
    <row r="847" spans="1:4" x14ac:dyDescent="0.2">
      <c r="A847" s="5">
        <v>786</v>
      </c>
      <c r="B847" s="138">
        <f>'Expenditures 15-22'!E47</f>
        <v>47135</v>
      </c>
      <c r="C847" s="2" t="s">
        <v>573</v>
      </c>
      <c r="D847" s="2" t="str">
        <f t="shared" si="12"/>
        <v>Error?</v>
      </c>
    </row>
    <row r="848" spans="1:4" x14ac:dyDescent="0.2">
      <c r="A848" s="5">
        <v>787</v>
      </c>
      <c r="B848" s="138">
        <f>'Expenditures 15-22'!E49</f>
        <v>115575</v>
      </c>
      <c r="D848" s="2" t="str">
        <f t="shared" si="12"/>
        <v>Error?</v>
      </c>
    </row>
    <row r="849" spans="1:4" x14ac:dyDescent="0.2">
      <c r="A849" s="5">
        <v>788</v>
      </c>
      <c r="B849" s="138">
        <f>'Expenditures 15-22'!E50</f>
        <v>4874</v>
      </c>
      <c r="D849" s="2" t="str">
        <f t="shared" si="12"/>
        <v>Error?</v>
      </c>
    </row>
    <row r="850" spans="1:4" x14ac:dyDescent="0.2">
      <c r="A850" s="5">
        <v>789</v>
      </c>
      <c r="B850" s="138">
        <f>'Expenditures 15-22'!E53</f>
        <v>120449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41617</v>
      </c>
      <c r="D855" s="2" t="str">
        <f t="shared" si="12"/>
        <v>Error?</v>
      </c>
    </row>
    <row r="856" spans="1:4" x14ac:dyDescent="0.2">
      <c r="A856" s="5">
        <v>795</v>
      </c>
      <c r="B856" s="138">
        <f>'Expenditures 15-22'!E61</f>
        <v>500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66034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108151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7397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75724</v>
      </c>
      <c r="D867" s="2" t="str">
        <f t="shared" si="12"/>
        <v>Error?</v>
      </c>
    </row>
    <row r="868" spans="1:4" x14ac:dyDescent="0.2">
      <c r="A868" s="10">
        <v>807</v>
      </c>
      <c r="D868" s="2" t="str">
        <f t="shared" si="12"/>
        <v>OK</v>
      </c>
    </row>
    <row r="869" spans="1:4" x14ac:dyDescent="0.2">
      <c r="A869" s="5">
        <v>808</v>
      </c>
      <c r="B869" s="138">
        <f>'Expenditures 15-22'!E72</f>
        <v>83121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390456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778463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211002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2152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230335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2352</v>
      </c>
      <c r="D897" s="2" t="str">
        <f t="shared" si="13"/>
        <v>Error?</v>
      </c>
    </row>
    <row r="898" spans="1:4" x14ac:dyDescent="0.2">
      <c r="A898" s="5">
        <v>837</v>
      </c>
      <c r="B898" s="138">
        <f>'Expenditures 15-22'!F39</f>
        <v>3074</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5426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6644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6644</v>
      </c>
      <c r="C905" s="2" t="s">
        <v>573</v>
      </c>
      <c r="D905" s="2" t="str">
        <f t="shared" si="13"/>
        <v>Error?</v>
      </c>
    </row>
    <row r="906" spans="1:4" x14ac:dyDescent="0.2">
      <c r="A906" s="5">
        <v>845</v>
      </c>
      <c r="B906" s="138">
        <f>'Expenditures 15-22'!F49</f>
        <v>5815</v>
      </c>
      <c r="D906" s="2" t="str">
        <f t="shared" si="13"/>
        <v>Error?</v>
      </c>
    </row>
    <row r="907" spans="1:4" x14ac:dyDescent="0.2">
      <c r="A907" s="5">
        <v>846</v>
      </c>
      <c r="B907" s="138">
        <f>'Expenditures 15-22'!F50</f>
        <v>2171</v>
      </c>
      <c r="D907" s="2" t="str">
        <f t="shared" si="13"/>
        <v>Error?</v>
      </c>
    </row>
    <row r="908" spans="1:4" x14ac:dyDescent="0.2">
      <c r="A908" s="5">
        <v>847</v>
      </c>
      <c r="B908" s="138">
        <f>'Expenditures 15-22'!F53</f>
        <v>7986</v>
      </c>
      <c r="C908" s="2" t="s">
        <v>573</v>
      </c>
      <c r="D908" s="2" t="str">
        <f t="shared" si="13"/>
        <v>Error?</v>
      </c>
    </row>
    <row r="909" spans="1:4" x14ac:dyDescent="0.2">
      <c r="A909" s="5">
        <v>848</v>
      </c>
      <c r="B909" s="138">
        <f>'Expenditures 15-22'!F55</f>
        <v>4148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4148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10839</v>
      </c>
      <c r="D913" s="2" t="str">
        <f t="shared" si="13"/>
        <v>Error?</v>
      </c>
    </row>
    <row r="914" spans="1:4" x14ac:dyDescent="0.2">
      <c r="A914" s="5">
        <v>853</v>
      </c>
      <c r="B914" s="138">
        <f>'Expenditures 15-22'!F61</f>
        <v>2045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193034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205918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71206</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618</v>
      </c>
      <c r="D925" s="2" t="str">
        <f t="shared" si="13"/>
        <v>Error?</v>
      </c>
    </row>
    <row r="926" spans="1:4" x14ac:dyDescent="0.2">
      <c r="A926" s="10">
        <v>865</v>
      </c>
      <c r="D926" s="2" t="str">
        <f t="shared" si="13"/>
        <v>OK</v>
      </c>
    </row>
    <row r="927" spans="1:4" x14ac:dyDescent="0.2">
      <c r="A927" s="5">
        <v>866</v>
      </c>
      <c r="B927" s="138">
        <f>'Expenditures 15-22'!F72</f>
        <v>71824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301946</v>
      </c>
      <c r="C929" s="2" t="s">
        <v>573</v>
      </c>
      <c r="D929" s="2" t="str">
        <f t="shared" si="13"/>
        <v>Error?</v>
      </c>
    </row>
    <row r="930" spans="1:4" x14ac:dyDescent="0.2">
      <c r="A930" s="5">
        <v>869</v>
      </c>
      <c r="B930" s="138">
        <f>'Expenditures 15-22'!F75</f>
        <v>12755</v>
      </c>
      <c r="D930" s="2" t="str">
        <f t="shared" si="13"/>
        <v>Error?</v>
      </c>
    </row>
    <row r="931" spans="1:4" x14ac:dyDescent="0.2">
      <c r="A931" s="5">
        <v>870</v>
      </c>
      <c r="B931" s="138">
        <f>'Expenditures 15-22'!F114</f>
        <v>545036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17638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19334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5675</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5675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5675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25009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3083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3083</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856</v>
      </c>
      <c r="D1023" s="2" t="str">
        <f t="shared" ref="D1023:D1086" si="15">IF(ISBLANK(B1023),"OK",IF(A1023-B1023=0,"OK","Error?"))</f>
        <v>Error?</v>
      </c>
    </row>
    <row r="1024" spans="1:4" x14ac:dyDescent="0.2">
      <c r="A1024" s="5">
        <v>963</v>
      </c>
      <c r="B1024" s="138">
        <f>'Expenditures 15-22'!H53</f>
        <v>856</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1119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1119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5058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133953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139011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3459028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59717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44919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4581015</v>
      </c>
      <c r="C1108" s="2" t="s">
        <v>573</v>
      </c>
      <c r="D1108" s="2" t="str">
        <f t="shared" si="16"/>
        <v>Error?</v>
      </c>
    </row>
    <row r="1109" spans="1:4" x14ac:dyDescent="0.2">
      <c r="A1109" s="5">
        <v>1048</v>
      </c>
      <c r="B1109" s="138">
        <f>'Expenditures 15-22'!K36</f>
        <v>135563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41641</v>
      </c>
      <c r="C1111" s="2" t="s">
        <v>573</v>
      </c>
      <c r="D1111" s="2" t="str">
        <f t="shared" si="16"/>
        <v>Error?</v>
      </c>
    </row>
    <row r="1112" spans="1:4" x14ac:dyDescent="0.2">
      <c r="A1112" s="5">
        <v>1051</v>
      </c>
      <c r="B1112" s="138">
        <f>'Expenditures 15-22'!K39</f>
        <v>60926</v>
      </c>
      <c r="C1112" s="2" t="s">
        <v>573</v>
      </c>
      <c r="D1112" s="2" t="str">
        <f t="shared" si="16"/>
        <v>Error?</v>
      </c>
    </row>
    <row r="1113" spans="1:4" x14ac:dyDescent="0.2">
      <c r="A1113" s="5">
        <v>1052</v>
      </c>
      <c r="B1113" s="138">
        <f>'Expenditures 15-22'!K40</f>
        <v>143008</v>
      </c>
      <c r="C1113" s="2" t="s">
        <v>573</v>
      </c>
      <c r="D1113" s="2" t="str">
        <f t="shared" si="16"/>
        <v>Error?</v>
      </c>
    </row>
    <row r="1114" spans="1:4" x14ac:dyDescent="0.2">
      <c r="A1114" s="5">
        <v>1053</v>
      </c>
      <c r="B1114" s="138">
        <f>'Expenditures 15-22'!K41</f>
        <v>43813</v>
      </c>
      <c r="C1114" s="2" t="s">
        <v>573</v>
      </c>
      <c r="D1114" s="2" t="str">
        <f t="shared" si="16"/>
        <v>Error?</v>
      </c>
    </row>
    <row r="1115" spans="1:4" x14ac:dyDescent="0.2">
      <c r="A1115" s="5">
        <v>1054</v>
      </c>
      <c r="B1115" s="138">
        <f>'Expenditures 15-22'!K42</f>
        <v>424951</v>
      </c>
      <c r="C1115" s="2" t="s">
        <v>573</v>
      </c>
      <c r="D1115" s="2" t="str">
        <f t="shared" si="16"/>
        <v>Error?</v>
      </c>
    </row>
    <row r="1116" spans="1:4" x14ac:dyDescent="0.2">
      <c r="A1116" s="5">
        <v>1055</v>
      </c>
      <c r="B1116" s="138">
        <f>'Expenditures 15-22'!K44</f>
        <v>51767</v>
      </c>
      <c r="C1116" s="2" t="s">
        <v>573</v>
      </c>
      <c r="D1116" s="2" t="str">
        <f t="shared" si="16"/>
        <v>Error?</v>
      </c>
    </row>
    <row r="1117" spans="1:4" x14ac:dyDescent="0.2">
      <c r="A1117" s="5">
        <v>1056</v>
      </c>
      <c r="B1117" s="138">
        <f>'Expenditures 15-22'!K45</f>
        <v>24883</v>
      </c>
      <c r="C1117" s="2" t="s">
        <v>573</v>
      </c>
      <c r="D1117" s="2" t="str">
        <f t="shared" si="16"/>
        <v>Error?</v>
      </c>
    </row>
    <row r="1118" spans="1:4" x14ac:dyDescent="0.2">
      <c r="A1118" s="5">
        <v>1057</v>
      </c>
      <c r="B1118" s="138">
        <f>'Expenditures 15-22'!K46</f>
        <v>8125</v>
      </c>
      <c r="C1118" s="2" t="s">
        <v>573</v>
      </c>
      <c r="D1118" s="2" t="str">
        <f t="shared" si="16"/>
        <v>Error?</v>
      </c>
    </row>
    <row r="1119" spans="1:4" x14ac:dyDescent="0.2">
      <c r="A1119" s="5">
        <v>1058</v>
      </c>
      <c r="B1119" s="138">
        <f>'Expenditures 15-22'!K47</f>
        <v>84775</v>
      </c>
      <c r="C1119" s="2" t="s">
        <v>573</v>
      </c>
      <c r="D1119" s="2" t="str">
        <f t="shared" si="16"/>
        <v>Error?</v>
      </c>
    </row>
    <row r="1120" spans="1:4" x14ac:dyDescent="0.2">
      <c r="A1120" s="5">
        <v>1059</v>
      </c>
      <c r="B1120" s="138">
        <f>'Expenditures 15-22'!K49</f>
        <v>121390</v>
      </c>
      <c r="C1120" s="2" t="s">
        <v>573</v>
      </c>
      <c r="D1120" s="2" t="str">
        <f t="shared" si="16"/>
        <v>Error?</v>
      </c>
    </row>
    <row r="1121" spans="1:4" x14ac:dyDescent="0.2">
      <c r="A1121" s="5">
        <v>1060</v>
      </c>
      <c r="B1121" s="138">
        <f>'Expenditures 15-22'!K50</f>
        <v>287651</v>
      </c>
      <c r="C1121" s="2" t="s">
        <v>573</v>
      </c>
      <c r="D1121" s="2" t="str">
        <f t="shared" si="16"/>
        <v>Error?</v>
      </c>
    </row>
    <row r="1122" spans="1:4" x14ac:dyDescent="0.2">
      <c r="A1122" s="5">
        <v>1061</v>
      </c>
      <c r="B1122" s="138">
        <f>'Expenditures 15-22'!K53</f>
        <v>553526</v>
      </c>
      <c r="C1122" s="2" t="s">
        <v>573</v>
      </c>
      <c r="D1122" s="2" t="str">
        <f t="shared" si="16"/>
        <v>Error?</v>
      </c>
    </row>
    <row r="1123" spans="1:4" x14ac:dyDescent="0.2">
      <c r="A1123" s="5">
        <v>1062</v>
      </c>
      <c r="B1123" s="138">
        <f>'Expenditures 15-22'!K55</f>
        <v>302817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302817</v>
      </c>
      <c r="C1125" s="2" t="s">
        <v>573</v>
      </c>
      <c r="D1125" s="2" t="str">
        <f t="shared" si="16"/>
        <v>Error?</v>
      </c>
    </row>
    <row r="1126" spans="1:4" x14ac:dyDescent="0.2">
      <c r="A1126" s="5">
        <v>1065</v>
      </c>
      <c r="B1126" s="138">
        <f>'Expenditures 15-22'!K59</f>
        <v>149078</v>
      </c>
      <c r="C1126" s="2" t="s">
        <v>573</v>
      </c>
      <c r="D1126" s="2" t="str">
        <f t="shared" si="16"/>
        <v>Error?</v>
      </c>
    </row>
    <row r="1127" spans="1:4" x14ac:dyDescent="0.2">
      <c r="A1127" s="5">
        <v>1066</v>
      </c>
      <c r="B1127" s="138">
        <f>'Expenditures 15-22'!K60</f>
        <v>82725</v>
      </c>
      <c r="C1127" s="2" t="s">
        <v>573</v>
      </c>
      <c r="D1127" s="2" t="str">
        <f t="shared" si="16"/>
        <v>Error?</v>
      </c>
    </row>
    <row r="1128" spans="1:4" x14ac:dyDescent="0.2">
      <c r="A1128" s="5">
        <v>1067</v>
      </c>
      <c r="B1128" s="138">
        <f>'Expenditures 15-22'!K61</f>
        <v>2545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328350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562698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219678</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76342</v>
      </c>
      <c r="C1139" s="2" t="s">
        <v>573</v>
      </c>
      <c r="D1139" s="2" t="str">
        <f t="shared" si="16"/>
        <v>Error?</v>
      </c>
    </row>
    <row r="1140" spans="1:4" x14ac:dyDescent="0.2">
      <c r="A1140" s="10">
        <v>1079</v>
      </c>
      <c r="D1140" s="2" t="str">
        <f t="shared" si="16"/>
        <v>OK</v>
      </c>
    </row>
    <row r="1141" spans="1:4" x14ac:dyDescent="0.2">
      <c r="A1141" s="5">
        <v>1080</v>
      </c>
      <c r="B1141" s="138">
        <f>'Expenditures 15-22'!K72</f>
        <v>296020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2224787</v>
      </c>
      <c r="C1143" s="2" t="s">
        <v>573</v>
      </c>
      <c r="D1143" s="2" t="str">
        <f t="shared" si="16"/>
        <v>Error?</v>
      </c>
    </row>
    <row r="1144" spans="1:4" x14ac:dyDescent="0.2">
      <c r="A1144" s="5">
        <v>1083</v>
      </c>
      <c r="B1144" s="138">
        <f>'Expenditures 15-22'!K75</f>
        <v>12755</v>
      </c>
      <c r="C1144" s="2" t="s">
        <v>573</v>
      </c>
      <c r="D1144" s="2" t="str">
        <f t="shared" si="16"/>
        <v>Error?</v>
      </c>
    </row>
    <row r="1145" spans="1:4" x14ac:dyDescent="0.2">
      <c r="A1145" s="5">
        <v>1084</v>
      </c>
      <c r="B1145" s="138">
        <f>'Expenditures 15-22'!K102</f>
        <v>471795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7290352</v>
      </c>
      <c r="C1152" s="2" t="s">
        <v>573</v>
      </c>
      <c r="D1152" s="2" t="str">
        <f t="shared" si="17"/>
        <v>Error?</v>
      </c>
    </row>
    <row r="1153" spans="1:4" x14ac:dyDescent="0.2">
      <c r="A1153" s="5">
        <v>1092</v>
      </c>
      <c r="B1153" s="138">
        <f>'Expenditures 15-22'!K115</f>
        <v>426182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221102</v>
      </c>
      <c r="D1221" s="2" t="str">
        <f t="shared" si="18"/>
        <v>Error?</v>
      </c>
    </row>
    <row r="1222" spans="1:4" x14ac:dyDescent="0.2">
      <c r="A1222" s="10">
        <v>1161</v>
      </c>
      <c r="D1222" s="2" t="str">
        <f t="shared" si="18"/>
        <v>OK</v>
      </c>
    </row>
    <row r="1223" spans="1:4" x14ac:dyDescent="0.2">
      <c r="A1223" s="5">
        <v>1162</v>
      </c>
      <c r="B1223" s="138">
        <f>'Expenditures 15-22'!C127</f>
        <v>221102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221102</v>
      </c>
      <c r="C1225" s="2" t="s">
        <v>573</v>
      </c>
      <c r="D1225" s="2" t="str">
        <f t="shared" si="18"/>
        <v>Error?</v>
      </c>
    </row>
    <row r="1226" spans="1:4" x14ac:dyDescent="0.2">
      <c r="A1226" s="5">
        <v>1165</v>
      </c>
      <c r="B1226" s="138">
        <f>'Expenditures 15-22'!C151</f>
        <v>221102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47104</v>
      </c>
      <c r="D1229" s="2" t="str">
        <f t="shared" si="18"/>
        <v>Error?</v>
      </c>
    </row>
    <row r="1230" spans="1:4" x14ac:dyDescent="0.2">
      <c r="A1230" s="10">
        <v>1169</v>
      </c>
      <c r="D1230" s="2" t="str">
        <f t="shared" si="18"/>
        <v>OK</v>
      </c>
    </row>
    <row r="1231" spans="1:4" x14ac:dyDescent="0.2">
      <c r="A1231" s="5">
        <v>1170</v>
      </c>
      <c r="B1231" s="138">
        <f>'Expenditures 15-22'!D127</f>
        <v>47104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47104</v>
      </c>
      <c r="C1233" s="2" t="s">
        <v>573</v>
      </c>
      <c r="D1233" s="2" t="str">
        <f t="shared" si="18"/>
        <v>Error?</v>
      </c>
    </row>
    <row r="1234" spans="1:4" x14ac:dyDescent="0.2">
      <c r="A1234" s="5">
        <v>1173</v>
      </c>
      <c r="B1234" s="138">
        <f>'Expenditures 15-22'!D151</f>
        <v>47104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217212</v>
      </c>
      <c r="D1237" s="2" t="str">
        <f t="shared" si="18"/>
        <v>Error?</v>
      </c>
    </row>
    <row r="1238" spans="1:4" x14ac:dyDescent="0.2">
      <c r="A1238" s="10">
        <v>1177</v>
      </c>
      <c r="D1238" s="2" t="str">
        <f t="shared" si="18"/>
        <v>OK</v>
      </c>
    </row>
    <row r="1239" spans="1:4" x14ac:dyDescent="0.2">
      <c r="A1239" s="5">
        <v>1178</v>
      </c>
      <c r="B1239" s="138">
        <f>'Expenditures 15-22'!E127</f>
        <v>217212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217212</v>
      </c>
      <c r="C1241" s="2" t="s">
        <v>573</v>
      </c>
      <c r="D1241" s="2" t="str">
        <f t="shared" si="18"/>
        <v>Error?</v>
      </c>
    </row>
    <row r="1242" spans="1:4" x14ac:dyDescent="0.2">
      <c r="A1242" s="5">
        <v>1181</v>
      </c>
      <c r="B1242" s="138">
        <f>'Expenditures 15-22'!E151</f>
        <v>217212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195581</v>
      </c>
      <c r="D1245" s="2" t="str">
        <f t="shared" si="18"/>
        <v>Error?</v>
      </c>
    </row>
    <row r="1246" spans="1:4" x14ac:dyDescent="0.2">
      <c r="A1246" s="10">
        <v>1185</v>
      </c>
      <c r="D1246" s="2" t="str">
        <f t="shared" si="18"/>
        <v>OK</v>
      </c>
    </row>
    <row r="1247" spans="1:4" x14ac:dyDescent="0.2">
      <c r="A1247" s="5">
        <v>1186</v>
      </c>
      <c r="B1247" s="138">
        <f>'Expenditures 15-22'!F127</f>
        <v>195581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195581</v>
      </c>
      <c r="C1249" s="2" t="s">
        <v>573</v>
      </c>
      <c r="D1249" s="2" t="str">
        <f t="shared" si="18"/>
        <v>Error?</v>
      </c>
    </row>
    <row r="1250" spans="1:4" x14ac:dyDescent="0.2">
      <c r="A1250" s="5">
        <v>1189</v>
      </c>
      <c r="B1250" s="138">
        <f>'Expenditures 15-22'!F151</f>
        <v>195581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680999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680999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680999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680999</v>
      </c>
      <c r="C1288" s="2" t="s">
        <v>573</v>
      </c>
      <c r="D1288" s="2" t="str">
        <f t="shared" si="19"/>
        <v>Error?</v>
      </c>
    </row>
    <row r="1289" spans="1:4" x14ac:dyDescent="0.2">
      <c r="A1289" s="5">
        <v>1228</v>
      </c>
      <c r="B1289" s="138">
        <f>'Expenditures 15-22'!K152</f>
        <v>26253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7460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853000</v>
      </c>
      <c r="D1315" s="2" t="str">
        <f t="shared" si="19"/>
        <v>Error?</v>
      </c>
    </row>
    <row r="1316" spans="1:4" x14ac:dyDescent="0.2">
      <c r="A1316" s="5">
        <v>1255</v>
      </c>
      <c r="B1316" s="138">
        <f>'Expenditures 15-22'!H171</f>
        <v>9425</v>
      </c>
      <c r="D1316" s="2" t="str">
        <f t="shared" si="19"/>
        <v>Error?</v>
      </c>
    </row>
    <row r="1317" spans="1:4" x14ac:dyDescent="0.2">
      <c r="A1317" s="5">
        <v>1256</v>
      </c>
      <c r="B1317" s="138">
        <f>'Expenditures 15-22'!H172</f>
        <v>869885</v>
      </c>
      <c r="C1317" s="2" t="s">
        <v>573</v>
      </c>
      <c r="D1317" s="2" t="str">
        <f t="shared" si="19"/>
        <v>Error?</v>
      </c>
    </row>
    <row r="1318" spans="1:4" x14ac:dyDescent="0.2">
      <c r="A1318" s="5">
        <v>1257</v>
      </c>
      <c r="B1318" s="138">
        <f>'Expenditures 15-22'!H174</f>
        <v>869885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7460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853000</v>
      </c>
      <c r="C1329" s="2" t="s">
        <v>573</v>
      </c>
      <c r="D1329" s="2" t="str">
        <f t="shared" si="19"/>
        <v>Error?</v>
      </c>
    </row>
    <row r="1330" spans="1:4" x14ac:dyDescent="0.2">
      <c r="A1330" s="5">
        <v>1269</v>
      </c>
      <c r="B1330" s="138">
        <f>'Expenditures 15-22'!K171</f>
        <v>9425</v>
      </c>
      <c r="C1330" s="2" t="s">
        <v>573</v>
      </c>
      <c r="D1330" s="2" t="str">
        <f t="shared" si="19"/>
        <v>Error?</v>
      </c>
    </row>
    <row r="1331" spans="1:4" x14ac:dyDescent="0.2">
      <c r="A1331" s="5">
        <v>1270</v>
      </c>
      <c r="B1331" s="138">
        <f>'Expenditures 15-22'!K172</f>
        <v>869885</v>
      </c>
      <c r="C1331" s="2" t="s">
        <v>573</v>
      </c>
      <c r="D1331" s="2" t="str">
        <f t="shared" si="19"/>
        <v>Error?</v>
      </c>
    </row>
    <row r="1332" spans="1:4" x14ac:dyDescent="0.2">
      <c r="A1332" s="5">
        <v>1271</v>
      </c>
      <c r="B1332" s="138">
        <f>'Expenditures 15-22'!K174</f>
        <v>869885</v>
      </c>
      <c r="C1332" s="2" t="s">
        <v>573</v>
      </c>
      <c r="D1332" s="2" t="str">
        <f t="shared" si="19"/>
        <v>Error?</v>
      </c>
    </row>
    <row r="1333" spans="1:4" x14ac:dyDescent="0.2">
      <c r="A1333" s="5">
        <v>1272</v>
      </c>
      <c r="B1333" s="138">
        <f>'Expenditures 15-22'!K175</f>
        <v>-426516</v>
      </c>
      <c r="C1333" s="2" t="s">
        <v>573</v>
      </c>
      <c r="D1333" s="2" t="str">
        <f t="shared" si="19"/>
        <v>Error?</v>
      </c>
    </row>
    <row r="1334" spans="1:4" x14ac:dyDescent="0.2">
      <c r="A1334" s="10">
        <v>1273</v>
      </c>
      <c r="D1334" s="2" t="str">
        <f t="shared" si="19"/>
        <v>OK</v>
      </c>
    </row>
    <row r="1335" spans="1:4" x14ac:dyDescent="0.2">
      <c r="A1335" s="5">
        <v>1274</v>
      </c>
      <c r="B1335" s="138">
        <f>'Expenditures 15-22'!C182</f>
        <v>183618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183618</v>
      </c>
      <c r="C1339" s="2" t="s">
        <v>573</v>
      </c>
      <c r="D1339" s="2" t="str">
        <f t="shared" si="19"/>
        <v>Error?</v>
      </c>
    </row>
    <row r="1340" spans="1:4" x14ac:dyDescent="0.2">
      <c r="A1340" s="5">
        <v>1279</v>
      </c>
      <c r="B1340" s="138">
        <f>'Expenditures 15-22'!C210</f>
        <v>183618</v>
      </c>
      <c r="C1340" s="2" t="s">
        <v>573</v>
      </c>
      <c r="D1340" s="2" t="str">
        <f t="shared" si="19"/>
        <v>Error?</v>
      </c>
    </row>
    <row r="1341" spans="1:4" x14ac:dyDescent="0.2">
      <c r="A1341" s="5">
        <v>1280</v>
      </c>
      <c r="B1341" s="138">
        <f>'Expenditures 15-22'!D182</f>
        <v>5626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5626</v>
      </c>
      <c r="C1345" s="2" t="s">
        <v>573</v>
      </c>
      <c r="D1345" s="2" t="str">
        <f t="shared" si="20"/>
        <v>Error?</v>
      </c>
    </row>
    <row r="1346" spans="1:4" x14ac:dyDescent="0.2">
      <c r="A1346" s="5">
        <v>1285</v>
      </c>
      <c r="B1346" s="138">
        <f>'Expenditures 15-22'!D210</f>
        <v>5626</v>
      </c>
      <c r="C1346" s="2" t="s">
        <v>573</v>
      </c>
      <c r="D1346" s="2" t="str">
        <f t="shared" si="20"/>
        <v>Error?</v>
      </c>
    </row>
    <row r="1347" spans="1:4" x14ac:dyDescent="0.2">
      <c r="A1347" s="5">
        <v>1286</v>
      </c>
      <c r="B1347" s="138">
        <f>'Expenditures 15-22'!E182</f>
        <v>287009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287009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287009</v>
      </c>
      <c r="C1353" s="2" t="s">
        <v>573</v>
      </c>
      <c r="D1353" s="2" t="str">
        <f t="shared" si="20"/>
        <v>Error?</v>
      </c>
    </row>
    <row r="1354" spans="1:4" x14ac:dyDescent="0.2">
      <c r="A1354" s="5">
        <v>1293</v>
      </c>
      <c r="B1354" s="138">
        <f>'Expenditures 15-22'!F182</f>
        <v>34574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34574</v>
      </c>
      <c r="C1358" s="2" t="s">
        <v>573</v>
      </c>
      <c r="D1358" s="2" t="str">
        <f t="shared" si="20"/>
        <v>Error?</v>
      </c>
    </row>
    <row r="1359" spans="1:4" x14ac:dyDescent="0.2">
      <c r="A1359" s="5">
        <v>1298</v>
      </c>
      <c r="B1359" s="138">
        <f>'Expenditures 15-22'!F210</f>
        <v>34574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510827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510827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510827</v>
      </c>
      <c r="C1388" s="2" t="s">
        <v>573</v>
      </c>
      <c r="D1388" s="2" t="str">
        <f t="shared" si="20"/>
        <v>Error?</v>
      </c>
    </row>
    <row r="1389" spans="1:4" x14ac:dyDescent="0.2">
      <c r="A1389" s="5">
        <v>1328</v>
      </c>
      <c r="B1389" s="138">
        <f>'Expenditures 15-22'!K211</f>
        <v>-118510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1095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1036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97726</v>
      </c>
      <c r="C1410" s="2" t="s">
        <v>573</v>
      </c>
      <c r="D1410" s="2" t="str">
        <f t="shared" si="21"/>
        <v>Error?</v>
      </c>
    </row>
    <row r="1411" spans="1:4" x14ac:dyDescent="0.2">
      <c r="A1411" s="5">
        <v>1350</v>
      </c>
      <c r="B1411" s="138">
        <f>'Expenditures 15-22'!D232</f>
        <v>1547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6779</v>
      </c>
      <c r="D1413" s="2" t="str">
        <f t="shared" si="21"/>
        <v>Error?</v>
      </c>
    </row>
    <row r="1414" spans="1:4" x14ac:dyDescent="0.2">
      <c r="A1414" s="5">
        <v>1353</v>
      </c>
      <c r="B1414" s="138">
        <f>'Expenditures 15-22'!D235</f>
        <v>710</v>
      </c>
      <c r="D1414" s="2" t="str">
        <f t="shared" si="21"/>
        <v>Error?</v>
      </c>
    </row>
    <row r="1415" spans="1:4" x14ac:dyDescent="0.2">
      <c r="A1415" s="5">
        <v>1354</v>
      </c>
      <c r="B1415" s="138">
        <f>'Expenditures 15-22'!D236</f>
        <v>3234</v>
      </c>
      <c r="D1415" s="2" t="str">
        <f t="shared" si="21"/>
        <v>Error?</v>
      </c>
    </row>
    <row r="1416" spans="1:4" x14ac:dyDescent="0.2">
      <c r="A1416" s="5">
        <v>1355</v>
      </c>
      <c r="B1416" s="138">
        <f>'Expenditures 15-22'!D237</f>
        <v>6060</v>
      </c>
      <c r="D1416" s="2" t="str">
        <f t="shared" si="21"/>
        <v>Error?</v>
      </c>
    </row>
    <row r="1417" spans="1:4" x14ac:dyDescent="0.2">
      <c r="A1417" s="5">
        <v>1356</v>
      </c>
      <c r="B1417" s="138">
        <f>'Expenditures 15-22'!D238</f>
        <v>18330</v>
      </c>
      <c r="C1417" s="2" t="s">
        <v>573</v>
      </c>
      <c r="D1417" s="2" t="str">
        <f t="shared" si="21"/>
        <v>Error?</v>
      </c>
    </row>
    <row r="1418" spans="1:4" x14ac:dyDescent="0.2">
      <c r="A1418" s="5">
        <v>1357</v>
      </c>
      <c r="B1418" s="138">
        <f>'Expenditures 15-22'!D240</f>
        <v>129</v>
      </c>
      <c r="D1418" s="2" t="str">
        <f t="shared" si="21"/>
        <v>Error?</v>
      </c>
    </row>
    <row r="1419" spans="1:4" x14ac:dyDescent="0.2">
      <c r="A1419" s="5">
        <v>1358</v>
      </c>
      <c r="B1419" s="138">
        <f>'Expenditures 15-22'!D241</f>
        <v>3570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3699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13561</v>
      </c>
      <c r="D1423" s="2" t="str">
        <f t="shared" si="21"/>
        <v>Error?</v>
      </c>
    </row>
    <row r="1424" spans="1:4" x14ac:dyDescent="0.2">
      <c r="A1424" s="5">
        <v>1363</v>
      </c>
      <c r="B1424" s="138">
        <f>'Expenditures 15-22'!D257</f>
        <v>19334</v>
      </c>
      <c r="C1424" s="2" t="s">
        <v>573</v>
      </c>
      <c r="D1424" s="2" t="str">
        <f t="shared" si="21"/>
        <v>Error?</v>
      </c>
    </row>
    <row r="1425" spans="1:4" x14ac:dyDescent="0.2">
      <c r="A1425" s="5">
        <v>1364</v>
      </c>
      <c r="B1425" s="138">
        <f>'Expenditures 15-22'!D259</f>
        <v>18369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18369</v>
      </c>
      <c r="C1427" s="2" t="s">
        <v>573</v>
      </c>
      <c r="D1427" s="2" t="str">
        <f t="shared" si="21"/>
        <v>Error?</v>
      </c>
    </row>
    <row r="1428" spans="1:4" x14ac:dyDescent="0.2">
      <c r="A1428" s="5">
        <v>1367</v>
      </c>
      <c r="B1428" s="138">
        <f>'Expenditures 15-22'!D263</f>
        <v>1551</v>
      </c>
      <c r="D1428" s="2" t="str">
        <f t="shared" si="21"/>
        <v>Error?</v>
      </c>
    </row>
    <row r="1429" spans="1:4" x14ac:dyDescent="0.2">
      <c r="A1429" s="5">
        <v>1368</v>
      </c>
      <c r="B1429" s="138">
        <f>'Expenditures 15-22'!D264</f>
        <v>5923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42019</v>
      </c>
      <c r="D1431" s="2" t="str">
        <f t="shared" si="21"/>
        <v>Error?</v>
      </c>
    </row>
    <row r="1432" spans="1:4" x14ac:dyDescent="0.2">
      <c r="A1432" s="5">
        <v>1371</v>
      </c>
      <c r="B1432" s="138">
        <f>'Expenditures 15-22'!D267</f>
        <v>35467</v>
      </c>
      <c r="D1432" s="2" t="str">
        <f t="shared" si="21"/>
        <v>Error?</v>
      </c>
    </row>
    <row r="1433" spans="1:4" x14ac:dyDescent="0.2">
      <c r="A1433" s="5">
        <v>1372</v>
      </c>
      <c r="B1433" s="138">
        <f>'Expenditures 15-22'!D268</f>
        <v>13078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98038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22968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22968</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180738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278464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1095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1036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97726</v>
      </c>
      <c r="C1474" s="2" t="s">
        <v>573</v>
      </c>
      <c r="D1474" s="2" t="str">
        <f t="shared" si="22"/>
        <v>Error?</v>
      </c>
    </row>
    <row r="1475" spans="1:4" x14ac:dyDescent="0.2">
      <c r="A1475" s="5">
        <v>1414</v>
      </c>
      <c r="B1475" s="138">
        <f>'Expenditures 15-22'!K232</f>
        <v>1547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6779</v>
      </c>
      <c r="C1477" s="2" t="s">
        <v>573</v>
      </c>
      <c r="D1477" s="2" t="str">
        <f t="shared" si="22"/>
        <v>Error?</v>
      </c>
    </row>
    <row r="1478" spans="1:4" x14ac:dyDescent="0.2">
      <c r="A1478" s="5">
        <v>1417</v>
      </c>
      <c r="B1478" s="138">
        <f>'Expenditures 15-22'!K235</f>
        <v>710</v>
      </c>
      <c r="C1478" s="2" t="s">
        <v>573</v>
      </c>
      <c r="D1478" s="2" t="str">
        <f t="shared" si="22"/>
        <v>Error?</v>
      </c>
    </row>
    <row r="1479" spans="1:4" x14ac:dyDescent="0.2">
      <c r="A1479" s="5">
        <v>1418</v>
      </c>
      <c r="B1479" s="138">
        <f>'Expenditures 15-22'!K236</f>
        <v>3234</v>
      </c>
      <c r="C1479" s="2" t="s">
        <v>573</v>
      </c>
      <c r="D1479" s="2" t="str">
        <f t="shared" si="22"/>
        <v>Error?</v>
      </c>
    </row>
    <row r="1480" spans="1:4" x14ac:dyDescent="0.2">
      <c r="A1480" s="5">
        <v>1419</v>
      </c>
      <c r="B1480" s="138">
        <f>'Expenditures 15-22'!K237</f>
        <v>6060</v>
      </c>
      <c r="C1480" s="2" t="s">
        <v>573</v>
      </c>
      <c r="D1480" s="2" t="str">
        <f t="shared" si="22"/>
        <v>Error?</v>
      </c>
    </row>
    <row r="1481" spans="1:4" x14ac:dyDescent="0.2">
      <c r="A1481" s="5">
        <v>1420</v>
      </c>
      <c r="B1481" s="138">
        <f>'Expenditures 15-22'!K238</f>
        <v>18330</v>
      </c>
      <c r="C1481" s="2" t="s">
        <v>573</v>
      </c>
      <c r="D1481" s="2" t="str">
        <f t="shared" si="22"/>
        <v>Error?</v>
      </c>
    </row>
    <row r="1482" spans="1:4" x14ac:dyDescent="0.2">
      <c r="A1482" s="5">
        <v>1421</v>
      </c>
      <c r="B1482" s="138">
        <f>'Expenditures 15-22'!K240</f>
        <v>129</v>
      </c>
      <c r="C1482" s="2" t="s">
        <v>573</v>
      </c>
      <c r="D1482" s="2" t="str">
        <f t="shared" si="22"/>
        <v>Error?</v>
      </c>
    </row>
    <row r="1483" spans="1:4" x14ac:dyDescent="0.2">
      <c r="A1483" s="5">
        <v>1422</v>
      </c>
      <c r="B1483" s="138">
        <f>'Expenditures 15-22'!K241</f>
        <v>3570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3699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13561</v>
      </c>
      <c r="C1487" s="2" t="s">
        <v>573</v>
      </c>
      <c r="D1487" s="2" t="str">
        <f t="shared" si="22"/>
        <v>Error?</v>
      </c>
    </row>
    <row r="1488" spans="1:4" x14ac:dyDescent="0.2">
      <c r="A1488" s="5">
        <v>1427</v>
      </c>
      <c r="B1488" s="138">
        <f>'Expenditures 15-22'!K257</f>
        <v>19334</v>
      </c>
      <c r="C1488" s="2" t="s">
        <v>573</v>
      </c>
      <c r="D1488" s="2" t="str">
        <f t="shared" si="22"/>
        <v>Error?</v>
      </c>
    </row>
    <row r="1489" spans="1:4" x14ac:dyDescent="0.2">
      <c r="A1489" s="5">
        <v>1428</v>
      </c>
      <c r="B1489" s="138">
        <f>'Expenditures 15-22'!K259</f>
        <v>18369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18369</v>
      </c>
      <c r="C1491" s="2" t="s">
        <v>573</v>
      </c>
      <c r="D1491" s="2" t="str">
        <f t="shared" si="22"/>
        <v>Error?</v>
      </c>
    </row>
    <row r="1492" spans="1:4" x14ac:dyDescent="0.2">
      <c r="A1492" s="5">
        <v>1431</v>
      </c>
      <c r="B1492" s="138">
        <f>'Expenditures 15-22'!K263</f>
        <v>1551</v>
      </c>
      <c r="C1492" s="2" t="s">
        <v>573</v>
      </c>
      <c r="D1492" s="2" t="str">
        <f t="shared" si="22"/>
        <v>Error?</v>
      </c>
    </row>
    <row r="1493" spans="1:4" x14ac:dyDescent="0.2">
      <c r="A1493" s="5">
        <v>1432</v>
      </c>
      <c r="B1493" s="138">
        <f>'Expenditures 15-22'!K264</f>
        <v>5923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42019</v>
      </c>
      <c r="C1495" s="2" t="s">
        <v>573</v>
      </c>
      <c r="D1495" s="2" t="str">
        <f t="shared" si="22"/>
        <v>Error?</v>
      </c>
    </row>
    <row r="1496" spans="1:4" x14ac:dyDescent="0.2">
      <c r="A1496" s="5">
        <v>1435</v>
      </c>
      <c r="B1496" s="138">
        <f>'Expenditures 15-22'!K267</f>
        <v>35467</v>
      </c>
      <c r="C1496" s="2" t="s">
        <v>573</v>
      </c>
      <c r="D1496" s="2" t="str">
        <f t="shared" si="22"/>
        <v>Error?</v>
      </c>
    </row>
    <row r="1497" spans="1:4" x14ac:dyDescent="0.2">
      <c r="A1497" s="5">
        <v>1436</v>
      </c>
      <c r="B1497" s="138">
        <f>'Expenditures 15-22'!K268</f>
        <v>13078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98038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22968</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22968</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180738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278464</v>
      </c>
      <c r="C1517" s="2" t="s">
        <v>573</v>
      </c>
      <c r="D1517" s="2" t="str">
        <f t="shared" si="22"/>
        <v>Error?</v>
      </c>
    </row>
    <row r="1518" spans="1:4" x14ac:dyDescent="0.2">
      <c r="A1518" s="5">
        <v>1457</v>
      </c>
      <c r="B1518" s="138">
        <f>'Expenditures 15-22'!K296</f>
        <v>-26974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8936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119650</v>
      </c>
      <c r="D1534" s="2" t="str">
        <f t="shared" si="22"/>
        <v>Error?</v>
      </c>
    </row>
    <row r="1535" spans="1:4" x14ac:dyDescent="0.2">
      <c r="A1535" s="5">
        <v>1474</v>
      </c>
      <c r="B1535" s="138">
        <f>'Expenditures 15-22'!E303</f>
        <v>128586</v>
      </c>
      <c r="C1535" s="2" t="s">
        <v>573</v>
      </c>
      <c r="D1535" s="2" t="str">
        <f t="shared" ref="D1535:D1598" si="23">IF(ISBLANK(B1535),"OK",IF(A1535-B1535=0,"OK","Error?"))</f>
        <v>Error?</v>
      </c>
    </row>
    <row r="1536" spans="1:4" x14ac:dyDescent="0.2">
      <c r="A1536" s="5">
        <v>1475</v>
      </c>
      <c r="B1536" s="138">
        <f>'Expenditures 15-22'!E312</f>
        <v>128586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932690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932690</v>
      </c>
      <c r="C1547" s="2" t="s">
        <v>573</v>
      </c>
      <c r="D1547" s="2" t="str">
        <f t="shared" si="23"/>
        <v>Error?</v>
      </c>
    </row>
    <row r="1548" spans="1:4" x14ac:dyDescent="0.2">
      <c r="A1548" s="5">
        <v>1487</v>
      </c>
      <c r="B1548" s="138">
        <f>'Expenditures 15-22'!G312</f>
        <v>932690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941626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119650</v>
      </c>
      <c r="C1558" s="2" t="s">
        <v>573</v>
      </c>
      <c r="D1558" s="2" t="str">
        <f t="shared" si="23"/>
        <v>Error?</v>
      </c>
    </row>
    <row r="1559" spans="1:4" x14ac:dyDescent="0.2">
      <c r="A1559" s="5">
        <v>1498</v>
      </c>
      <c r="B1559" s="138">
        <f>'Expenditures 15-22'!K303</f>
        <v>1061276</v>
      </c>
      <c r="C1559" s="2" t="s">
        <v>573</v>
      </c>
      <c r="D1559" s="2" t="str">
        <f t="shared" si="23"/>
        <v>Error?</v>
      </c>
    </row>
    <row r="1560" spans="1:4" x14ac:dyDescent="0.2">
      <c r="A1560" s="5">
        <v>1499</v>
      </c>
      <c r="B1560" s="138">
        <f>'Expenditures 15-22'!K312</f>
        <v>1061276</v>
      </c>
      <c r="C1560" s="2" t="s">
        <v>573</v>
      </c>
      <c r="D1560" s="2" t="str">
        <f t="shared" si="23"/>
        <v>Error?</v>
      </c>
    </row>
    <row r="1561" spans="1:4" x14ac:dyDescent="0.2">
      <c r="A1561" s="5">
        <v>1500</v>
      </c>
      <c r="B1561" s="138">
        <f>'Expenditures 15-22'!K313</f>
        <v>-1021391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925098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1701868</v>
      </c>
      <c r="C1630" s="2" t="s">
        <v>573</v>
      </c>
      <c r="D1630" s="2" t="str">
        <f t="shared" si="24"/>
        <v>Error?</v>
      </c>
    </row>
    <row r="1631" spans="1:4" x14ac:dyDescent="0.2">
      <c r="A1631" s="5">
        <v>1570</v>
      </c>
      <c r="B1631" s="138">
        <f>'Acct Summary 7-8'!D79</f>
        <v>108533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134786</v>
      </c>
      <c r="C1644" s="2" t="s">
        <v>573</v>
      </c>
      <c r="D1644" s="2" t="str">
        <f t="shared" si="24"/>
        <v>Error?</v>
      </c>
    </row>
    <row r="1645" spans="1:4" x14ac:dyDescent="0.2">
      <c r="A1645" s="5">
        <v>1584</v>
      </c>
      <c r="B1645" s="138">
        <f>'Acct Summary 7-8'!E79</f>
        <v>625249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206145</v>
      </c>
      <c r="C1658" s="2" t="s">
        <v>573</v>
      </c>
      <c r="D1658" s="2" t="str">
        <f t="shared" si="24"/>
        <v>Error?</v>
      </c>
    </row>
    <row r="1659" spans="1:4" x14ac:dyDescent="0.2">
      <c r="A1659" s="5">
        <v>1598</v>
      </c>
      <c r="B1659" s="138">
        <f>'Acct Summary 7-8'!F79</f>
        <v>861803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743293</v>
      </c>
      <c r="C1672" s="2" t="s">
        <v>573</v>
      </c>
      <c r="D1672" s="2" t="str">
        <f t="shared" si="25"/>
        <v>Error?</v>
      </c>
    </row>
    <row r="1673" spans="1:4" x14ac:dyDescent="0.2">
      <c r="A1673" s="5">
        <v>1612</v>
      </c>
      <c r="B1673" s="138">
        <f>'Acct Summary 7-8'!G79</f>
        <v>174109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147135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5100809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4228792</v>
      </c>
      <c r="C1744" s="2" t="s">
        <v>573</v>
      </c>
      <c r="D1744" s="2" t="str">
        <f t="shared" si="26"/>
        <v>Error?</v>
      </c>
    </row>
    <row r="1745" spans="1:5" x14ac:dyDescent="0.2">
      <c r="A1745" s="5">
        <v>1684</v>
      </c>
      <c r="B1745" s="138">
        <f>'Tax Sched 23'!B5</f>
        <v>692459</v>
      </c>
      <c r="C1745" s="2" t="s">
        <v>573</v>
      </c>
      <c r="D1745" s="2" t="str">
        <f t="shared" si="26"/>
        <v>Error?</v>
      </c>
    </row>
    <row r="1746" spans="1:5" x14ac:dyDescent="0.2">
      <c r="A1746" s="5">
        <v>1685</v>
      </c>
      <c r="B1746" s="138">
        <f>'Tax Sched 23'!B6</f>
        <v>443133</v>
      </c>
      <c r="C1746" s="2" t="s">
        <v>573</v>
      </c>
      <c r="D1746" s="2" t="str">
        <f t="shared" si="26"/>
        <v>Error?</v>
      </c>
    </row>
    <row r="1747" spans="1:5" x14ac:dyDescent="0.2">
      <c r="A1747" s="5">
        <v>1686</v>
      </c>
      <c r="B1747" s="138">
        <f>'Tax Sched 23'!B7</f>
        <v>65261</v>
      </c>
      <c r="C1747" s="2" t="s">
        <v>573</v>
      </c>
      <c r="D1747" s="2" t="str">
        <f t="shared" si="26"/>
        <v>Error?</v>
      </c>
    </row>
    <row r="1748" spans="1:5" x14ac:dyDescent="0.2">
      <c r="A1748" s="5">
        <v>1687</v>
      </c>
      <c r="B1748" s="138">
        <f>'Tax Sched 23'!B8</f>
        <v>110982</v>
      </c>
      <c r="C1748" s="2" t="s">
        <v>573</v>
      </c>
      <c r="D1748" s="2" t="str">
        <f t="shared" si="26"/>
        <v>Error?</v>
      </c>
    </row>
    <row r="1749" spans="1:5" x14ac:dyDescent="0.2">
      <c r="A1749" s="5">
        <v>1688</v>
      </c>
      <c r="B1749" s="138">
        <f>'Tax Sched 23'!B10</f>
        <v>2674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95776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20180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5795556</v>
      </c>
      <c r="C1759" s="2" t="s">
        <v>573</v>
      </c>
      <c r="D1759" s="2" t="str">
        <f t="shared" si="26"/>
        <v>Error?</v>
      </c>
    </row>
    <row r="1760" spans="1:5" x14ac:dyDescent="0.2">
      <c r="A1760" s="5">
        <v>1699</v>
      </c>
      <c r="B1760" s="138">
        <f>'Tax Sched 23'!D4</f>
        <v>2019524</v>
      </c>
      <c r="C1760" s="2" t="s">
        <v>573</v>
      </c>
      <c r="D1760" s="2" t="str">
        <f t="shared" si="26"/>
        <v>Error?</v>
      </c>
    </row>
    <row r="1761" spans="1:5" x14ac:dyDescent="0.2">
      <c r="A1761" s="5">
        <v>1700</v>
      </c>
      <c r="B1761" s="138">
        <f>'Tax Sched 23'!D5</f>
        <v>339660</v>
      </c>
      <c r="C1761" s="2" t="s">
        <v>573</v>
      </c>
      <c r="D1761" s="2" t="str">
        <f t="shared" si="26"/>
        <v>Error?</v>
      </c>
    </row>
    <row r="1762" spans="1:5" s="8" customFormat="1" x14ac:dyDescent="0.2">
      <c r="A1762" s="5">
        <v>1701</v>
      </c>
      <c r="B1762" s="138">
        <f>'Tax Sched 23'!D6</f>
        <v>230607</v>
      </c>
      <c r="C1762" s="2" t="s">
        <v>573</v>
      </c>
      <c r="D1762" s="2" t="str">
        <f t="shared" si="26"/>
        <v>Error?</v>
      </c>
      <c r="E1762" s="9"/>
    </row>
    <row r="1763" spans="1:5" x14ac:dyDescent="0.2">
      <c r="A1763" s="5">
        <v>1702</v>
      </c>
      <c r="B1763" s="138">
        <f>'Tax Sched 23'!D7</f>
        <v>31142</v>
      </c>
      <c r="C1763" s="2" t="s">
        <v>573</v>
      </c>
      <c r="D1763" s="2" t="str">
        <f t="shared" si="26"/>
        <v>Error?</v>
      </c>
    </row>
    <row r="1764" spans="1:5" x14ac:dyDescent="0.2">
      <c r="A1764" s="5">
        <v>1703</v>
      </c>
      <c r="B1764" s="138">
        <f>'Tax Sched 23'!D8</f>
        <v>51311</v>
      </c>
      <c r="C1764" s="2" t="s">
        <v>573</v>
      </c>
      <c r="D1764" s="2" t="str">
        <f t="shared" si="26"/>
        <v>Error?</v>
      </c>
    </row>
    <row r="1765" spans="1:5" x14ac:dyDescent="0.2">
      <c r="A1765" s="5">
        <v>1704</v>
      </c>
      <c r="B1765" s="138">
        <f>'Tax Sched 23'!D10</f>
        <v>1291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36105</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9752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2779016</v>
      </c>
      <c r="C1775" s="2" t="s">
        <v>573</v>
      </c>
      <c r="D1775" s="2" t="str">
        <f t="shared" si="26"/>
        <v>Error?</v>
      </c>
    </row>
    <row r="1776" spans="1:5" x14ac:dyDescent="0.2">
      <c r="A1776" s="5">
        <v>1715</v>
      </c>
      <c r="B1776" s="138">
        <f>'Tax Sched 23'!C4</f>
        <v>2209268</v>
      </c>
      <c r="D1776" s="2" t="str">
        <f t="shared" si="26"/>
        <v>Error?</v>
      </c>
    </row>
    <row r="1777" spans="1:4" x14ac:dyDescent="0.2">
      <c r="A1777" s="5">
        <v>1716</v>
      </c>
      <c r="B1777" s="138">
        <f>'Tax Sched 23'!C5</f>
        <v>352799</v>
      </c>
      <c r="D1777" s="2" t="str">
        <f t="shared" si="26"/>
        <v>Error?</v>
      </c>
    </row>
    <row r="1778" spans="1:4" x14ac:dyDescent="0.2">
      <c r="A1778" s="5">
        <v>1717</v>
      </c>
      <c r="B1778" s="138">
        <f>'Tax Sched 23'!C6</f>
        <v>212526</v>
      </c>
      <c r="D1778" s="2" t="str">
        <f t="shared" si="26"/>
        <v>Error?</v>
      </c>
    </row>
    <row r="1779" spans="1:4" x14ac:dyDescent="0.2">
      <c r="A1779" s="5">
        <v>1718</v>
      </c>
      <c r="B1779" s="138">
        <f>'Tax Sched 23'!C7</f>
        <v>34119</v>
      </c>
      <c r="D1779" s="2" t="str">
        <f t="shared" si="26"/>
        <v>Error?</v>
      </c>
    </row>
    <row r="1780" spans="1:4" x14ac:dyDescent="0.2">
      <c r="A1780" s="5">
        <v>1719</v>
      </c>
      <c r="B1780" s="138">
        <f>'Tax Sched 23'!C8</f>
        <v>59671</v>
      </c>
      <c r="D1780" s="2" t="str">
        <f t="shared" si="26"/>
        <v>Error?</v>
      </c>
    </row>
    <row r="1781" spans="1:4" x14ac:dyDescent="0.2">
      <c r="A1781" s="5">
        <v>1720</v>
      </c>
      <c r="B1781" s="138">
        <f>'Tax Sched 23'!C10</f>
        <v>1383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59671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10428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3016540</v>
      </c>
      <c r="C1791" s="2" t="s">
        <v>573</v>
      </c>
      <c r="D1791" s="2" t="str">
        <f t="shared" ref="D1791:D1854" si="27">IF(ISBLANK(B1791),"OK",IF(A1791-B1791=0,"OK","Error?"))</f>
        <v>Error?</v>
      </c>
    </row>
    <row r="1792" spans="1:4" x14ac:dyDescent="0.2">
      <c r="A1792" s="5">
        <v>1731</v>
      </c>
      <c r="B1792" s="138">
        <f>'Tax Sched 23'!F4</f>
        <v>2018961</v>
      </c>
      <c r="C1792" s="2" t="s">
        <v>573</v>
      </c>
      <c r="D1792" s="2" t="str">
        <f t="shared" si="27"/>
        <v>Error?</v>
      </c>
    </row>
    <row r="1793" spans="1:4" x14ac:dyDescent="0.2">
      <c r="A1793" s="5">
        <v>1732</v>
      </c>
      <c r="B1793" s="138">
        <f>'Tax Sched 23'!F5</f>
        <v>339730</v>
      </c>
      <c r="C1793" s="2" t="s">
        <v>573</v>
      </c>
      <c r="D1793" s="2" t="str">
        <f t="shared" si="27"/>
        <v>Error?</v>
      </c>
    </row>
    <row r="1794" spans="1:4" x14ac:dyDescent="0.2">
      <c r="A1794" s="5">
        <v>1733</v>
      </c>
      <c r="B1794" s="138">
        <f>'Tax Sched 23'!F6</f>
        <v>230797</v>
      </c>
      <c r="C1794" s="2" t="s">
        <v>573</v>
      </c>
      <c r="D1794" s="2" t="str">
        <f t="shared" si="27"/>
        <v>Error?</v>
      </c>
    </row>
    <row r="1795" spans="1:4" x14ac:dyDescent="0.2">
      <c r="A1795" s="5">
        <v>1734</v>
      </c>
      <c r="B1795" s="138">
        <f>'Tax Sched 23'!F7</f>
        <v>31093</v>
      </c>
      <c r="C1795" s="2" t="s">
        <v>573</v>
      </c>
      <c r="D1795" s="2" t="str">
        <f t="shared" si="27"/>
        <v>Error?</v>
      </c>
    </row>
    <row r="1796" spans="1:4" x14ac:dyDescent="0.2">
      <c r="A1796" s="5">
        <v>1735</v>
      </c>
      <c r="B1796" s="138">
        <f>'Tax Sched 23'!F8</f>
        <v>51533</v>
      </c>
      <c r="C1796" s="2" t="s">
        <v>573</v>
      </c>
      <c r="D1796" s="2" t="str">
        <f t="shared" si="27"/>
        <v>Error?</v>
      </c>
    </row>
    <row r="1797" spans="1:4" x14ac:dyDescent="0.2">
      <c r="A1797" s="5">
        <v>1736</v>
      </c>
      <c r="B1797" s="138">
        <f>'Tax Sched 23'!F10</f>
        <v>1513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36183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9855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2779016</v>
      </c>
      <c r="C1807" s="2" t="s">
        <v>573</v>
      </c>
      <c r="D1807" s="2" t="str">
        <f t="shared" si="27"/>
        <v>Error?</v>
      </c>
    </row>
    <row r="1808" spans="1:4" x14ac:dyDescent="0.2">
      <c r="A1808" s="5">
        <v>1747</v>
      </c>
      <c r="B1808" s="138">
        <f>'Tax Sched 23'!E4</f>
        <v>4228229</v>
      </c>
      <c r="D1808" s="2" t="str">
        <f t="shared" si="27"/>
        <v>Error?</v>
      </c>
    </row>
    <row r="1809" spans="1:4" x14ac:dyDescent="0.2">
      <c r="A1809" s="5">
        <v>1748</v>
      </c>
      <c r="B1809" s="138">
        <f>'Tax Sched 23'!E5</f>
        <v>692529</v>
      </c>
      <c r="D1809" s="2" t="str">
        <f t="shared" si="27"/>
        <v>Error?</v>
      </c>
    </row>
    <row r="1810" spans="1:4" x14ac:dyDescent="0.2">
      <c r="A1810" s="5">
        <v>1749</v>
      </c>
      <c r="B1810" s="138">
        <f>'Tax Sched 23'!E6</f>
        <v>443323</v>
      </c>
      <c r="D1810" s="2" t="str">
        <f t="shared" si="27"/>
        <v>Error?</v>
      </c>
    </row>
    <row r="1811" spans="1:4" x14ac:dyDescent="0.2">
      <c r="A1811" s="5">
        <v>1750</v>
      </c>
      <c r="B1811" s="138">
        <f>'Tax Sched 23'!E7</f>
        <v>65212</v>
      </c>
      <c r="D1811" s="2" t="str">
        <f t="shared" si="27"/>
        <v>Error?</v>
      </c>
    </row>
    <row r="1812" spans="1:4" x14ac:dyDescent="0.2">
      <c r="A1812" s="5">
        <v>1751</v>
      </c>
      <c r="B1812" s="138">
        <f>'Tax Sched 23'!E8</f>
        <v>111204</v>
      </c>
      <c r="D1812" s="2" t="str">
        <f t="shared" si="27"/>
        <v>Error?</v>
      </c>
    </row>
    <row r="1813" spans="1:4" x14ac:dyDescent="0.2">
      <c r="A1813" s="5">
        <v>1752</v>
      </c>
      <c r="B1813" s="138">
        <f>'Tax Sched 23'!E10</f>
        <v>2896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95854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20283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5795556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495000</v>
      </c>
      <c r="C1939" s="2" t="s">
        <v>573</v>
      </c>
      <c r="D1939" s="2" t="str">
        <f t="shared" si="29"/>
        <v>Error?</v>
      </c>
    </row>
    <row r="1940" spans="1:5" x14ac:dyDescent="0.2">
      <c r="A1940" s="5">
        <v>1879</v>
      </c>
      <c r="B1940" s="138">
        <f>'Short-Term Long-Term Debt 24'!F49</f>
        <v>6338000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20180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20180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20180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158453</v>
      </c>
      <c r="D2008" s="2" t="str">
        <f t="shared" si="30"/>
        <v>Error?</v>
      </c>
    </row>
    <row r="2009" spans="1:4" x14ac:dyDescent="0.2">
      <c r="A2009" s="5">
        <v>1948</v>
      </c>
      <c r="B2009" s="138">
        <f>'Cap Outlay Deprec 26'!C8</f>
        <v>10248918</v>
      </c>
      <c r="D2009" s="2" t="str">
        <f t="shared" si="30"/>
        <v>Error?</v>
      </c>
    </row>
    <row r="2010" spans="1:4" x14ac:dyDescent="0.2">
      <c r="A2010" s="5">
        <v>1949</v>
      </c>
      <c r="B2010" s="138">
        <f>'Cap Outlay Deprec 26'!C10</f>
        <v>198005</v>
      </c>
      <c r="D2010" s="2" t="str">
        <f t="shared" si="30"/>
        <v>Error?</v>
      </c>
    </row>
    <row r="2011" spans="1:4" x14ac:dyDescent="0.2">
      <c r="A2011" s="5">
        <v>1950</v>
      </c>
      <c r="B2011" s="138">
        <f>'Cap Outlay Deprec 26'!C12</f>
        <v>1587638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12193014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25009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957699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158453</v>
      </c>
      <c r="C2026" s="2" t="s">
        <v>573</v>
      </c>
      <c r="D2026" s="2" t="str">
        <f t="shared" si="30"/>
        <v>Error?</v>
      </c>
    </row>
    <row r="2027" spans="1:4" x14ac:dyDescent="0.2">
      <c r="A2027" s="5">
        <v>1966</v>
      </c>
      <c r="B2027" s="138">
        <f>'Cap Outlay Deprec 26'!F8</f>
        <v>10248918</v>
      </c>
      <c r="C2027" s="2" t="s">
        <v>573</v>
      </c>
      <c r="D2027" s="2" t="str">
        <f t="shared" si="30"/>
        <v>Error?</v>
      </c>
    </row>
    <row r="2028" spans="1:4" x14ac:dyDescent="0.2">
      <c r="A2028" s="5">
        <v>1967</v>
      </c>
      <c r="B2028" s="138">
        <f>'Cap Outlay Deprec 26'!F10</f>
        <v>198005</v>
      </c>
      <c r="C2028" s="2" t="s">
        <v>573</v>
      </c>
      <c r="D2028" s="2" t="str">
        <f t="shared" si="30"/>
        <v>Error?</v>
      </c>
    </row>
    <row r="2029" spans="1:4" x14ac:dyDescent="0.2">
      <c r="A2029" s="5">
        <v>1968</v>
      </c>
      <c r="B2029" s="138">
        <f>'Cap Outlay Deprec 26'!F12</f>
        <v>1612647</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13150713</v>
      </c>
      <c r="C2031" s="2" t="s">
        <v>573</v>
      </c>
      <c r="D2031" s="2" t="str">
        <f t="shared" si="30"/>
        <v>Error?</v>
      </c>
    </row>
    <row r="2032" spans="1:4" x14ac:dyDescent="0.2">
      <c r="A2032" s="10">
        <v>1971</v>
      </c>
      <c r="D2032" s="2" t="str">
        <f t="shared" si="30"/>
        <v>OK</v>
      </c>
    </row>
    <row r="2033" spans="1:4" x14ac:dyDescent="0.2">
      <c r="A2033" s="5">
        <v>1972</v>
      </c>
      <c r="B2033" s="138">
        <f>'Cap Outlay Deprec 26'!H8</f>
        <v>6306105</v>
      </c>
      <c r="D2033" s="2" t="str">
        <f t="shared" si="30"/>
        <v>Error?</v>
      </c>
    </row>
    <row r="2034" spans="1:4" x14ac:dyDescent="0.2">
      <c r="A2034" s="5">
        <v>1973</v>
      </c>
      <c r="B2034" s="138">
        <f>'Cap Outlay Deprec 26'!H10</f>
        <v>173888</v>
      </c>
      <c r="D2034" s="2" t="str">
        <f t="shared" si="30"/>
        <v>Error?</v>
      </c>
    </row>
    <row r="2035" spans="1:4" x14ac:dyDescent="0.2">
      <c r="A2035" s="5">
        <v>1974</v>
      </c>
      <c r="B2035" s="138">
        <f>'Cap Outlay Deprec 26'!H12</f>
        <v>1308817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7788810</v>
      </c>
      <c r="C2037" s="2" t="s">
        <v>573</v>
      </c>
      <c r="D2037" s="2" t="str">
        <f t="shared" si="30"/>
        <v>Error?</v>
      </c>
    </row>
    <row r="2038" spans="1:4" x14ac:dyDescent="0.2">
      <c r="A2038" s="10">
        <v>1977</v>
      </c>
      <c r="D2038" s="2" t="str">
        <f t="shared" si="30"/>
        <v>OK</v>
      </c>
    </row>
    <row r="2039" spans="1:4" x14ac:dyDescent="0.2">
      <c r="A2039" s="5">
        <v>1978</v>
      </c>
      <c r="B2039" s="138">
        <f>'Cap Outlay Deprec 26'!I8</f>
        <v>213821</v>
      </c>
      <c r="D2039" s="2" t="str">
        <f t="shared" si="30"/>
        <v>Error?</v>
      </c>
    </row>
    <row r="2040" spans="1:4" x14ac:dyDescent="0.2">
      <c r="A2040" s="5">
        <v>1979</v>
      </c>
      <c r="B2040" s="138">
        <f>'Cap Outlay Deprec 26'!I10</f>
        <v>1307</v>
      </c>
      <c r="D2040" s="2" t="str">
        <f t="shared" si="30"/>
        <v>Error?</v>
      </c>
    </row>
    <row r="2041" spans="1:4" x14ac:dyDescent="0.2">
      <c r="A2041" s="5">
        <v>1980</v>
      </c>
      <c r="B2041" s="138">
        <f>'Cap Outlay Deprec 26'!I12</f>
        <v>46913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262041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6519926</v>
      </c>
      <c r="C2051" s="2" t="s">
        <v>573</v>
      </c>
      <c r="D2051" s="2" t="str">
        <f t="shared" si="31"/>
        <v>Error?</v>
      </c>
    </row>
    <row r="2052" spans="1:4" x14ac:dyDescent="0.2">
      <c r="A2052" s="5">
        <v>1991</v>
      </c>
      <c r="B2052" s="138">
        <f>'Cap Outlay Deprec 26'!K10</f>
        <v>175195</v>
      </c>
      <c r="C2052" s="2" t="s">
        <v>573</v>
      </c>
      <c r="D2052" s="2" t="str">
        <f t="shared" si="31"/>
        <v>Error?</v>
      </c>
    </row>
    <row r="2053" spans="1:4" x14ac:dyDescent="0.2">
      <c r="A2053" s="5">
        <v>1992</v>
      </c>
      <c r="B2053" s="138">
        <f>'Cap Outlay Deprec 26'!K12</f>
        <v>1355730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8050851</v>
      </c>
      <c r="C2055" s="2" t="s">
        <v>573</v>
      </c>
      <c r="D2055" s="2" t="str">
        <f t="shared" si="31"/>
        <v>Error?</v>
      </c>
    </row>
    <row r="2056" spans="1:4" x14ac:dyDescent="0.2">
      <c r="A2056" s="5">
        <v>1995</v>
      </c>
      <c r="B2056" s="138">
        <f>'Cap Outlay Deprec 26'!L5</f>
        <v>158453</v>
      </c>
      <c r="C2056" s="2" t="s">
        <v>573</v>
      </c>
      <c r="D2056" s="2" t="str">
        <f t="shared" si="31"/>
        <v>Error?</v>
      </c>
    </row>
    <row r="2057" spans="1:4" x14ac:dyDescent="0.2">
      <c r="A2057" s="5">
        <v>1996</v>
      </c>
      <c r="B2057" s="138">
        <f>'Cap Outlay Deprec 26'!L8</f>
        <v>3728992</v>
      </c>
      <c r="C2057" s="2" t="s">
        <v>573</v>
      </c>
      <c r="D2057" s="2" t="str">
        <f t="shared" si="31"/>
        <v>Error?</v>
      </c>
    </row>
    <row r="2058" spans="1:4" x14ac:dyDescent="0.2">
      <c r="A2058" s="5">
        <v>1997</v>
      </c>
      <c r="B2058" s="138">
        <f>'Cap Outlay Deprec 26'!L10</f>
        <v>22810</v>
      </c>
      <c r="C2058" s="2" t="s">
        <v>573</v>
      </c>
      <c r="D2058" s="2" t="str">
        <f t="shared" si="31"/>
        <v>Error?</v>
      </c>
    </row>
    <row r="2059" spans="1:4" x14ac:dyDescent="0.2">
      <c r="A2059" s="5">
        <v>1998</v>
      </c>
      <c r="B2059" s="138">
        <f>'Cap Outlay Deprec 26'!L12</f>
        <v>256917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5099862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4871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342713</v>
      </c>
      <c r="C2088" s="2" t="s">
        <v>573</v>
      </c>
      <c r="D2088" s="2" t="str">
        <f t="shared" si="31"/>
        <v>Error?</v>
      </c>
    </row>
    <row r="2089" spans="1:4" x14ac:dyDescent="0.2">
      <c r="A2089" s="5">
        <v>2028</v>
      </c>
      <c r="B2089" s="138">
        <f>'Expenditures 15-22'!K92</f>
        <v>129082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350588</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134786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743293</v>
      </c>
      <c r="D2475" s="2" t="str">
        <f t="shared" si="37"/>
        <v>Error?</v>
      </c>
    </row>
    <row r="2476" spans="1:4" x14ac:dyDescent="0.2">
      <c r="A2476" s="10">
        <v>2415</v>
      </c>
      <c r="D2476" s="2" t="str">
        <f t="shared" si="37"/>
        <v>OK</v>
      </c>
    </row>
    <row r="2477" spans="1:4" x14ac:dyDescent="0.2">
      <c r="A2477" s="5">
        <v>2416</v>
      </c>
      <c r="B2477" s="138">
        <f>'Assets-Liab 5-6'!G38</f>
        <v>147135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206145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5100809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4611181</v>
      </c>
      <c r="C2551" s="2" t="s">
        <v>573</v>
      </c>
      <c r="D2551" s="2" t="str">
        <f t="shared" si="38"/>
        <v>Error?</v>
      </c>
    </row>
    <row r="2552" spans="1:4" x14ac:dyDescent="0.2">
      <c r="A2552" s="10">
        <v>2491</v>
      </c>
      <c r="D2552" s="2" t="str">
        <f t="shared" si="38"/>
        <v>OK</v>
      </c>
    </row>
    <row r="2553" spans="1:4" x14ac:dyDescent="0.2">
      <c r="A2553" s="5">
        <v>2492</v>
      </c>
      <c r="B2553" s="138">
        <f>'Acct Summary 7-8'!C6</f>
        <v>2461488</v>
      </c>
      <c r="C2553" s="2" t="s">
        <v>573</v>
      </c>
      <c r="D2553" s="2" t="str">
        <f t="shared" si="38"/>
        <v>Error?</v>
      </c>
    </row>
    <row r="2554" spans="1:4" x14ac:dyDescent="0.2">
      <c r="A2554" s="5">
        <v>2493</v>
      </c>
      <c r="B2554" s="138">
        <f>'Acct Summary 7-8'!C7</f>
        <v>643865</v>
      </c>
      <c r="C2554" s="2" t="s">
        <v>573</v>
      </c>
      <c r="D2554" s="2" t="str">
        <f t="shared" si="38"/>
        <v>Error?</v>
      </c>
    </row>
    <row r="2555" spans="1:4" x14ac:dyDescent="0.2">
      <c r="A2555" s="5">
        <v>2494</v>
      </c>
      <c r="B2555" s="138">
        <f>'Acct Summary 7-8'!C8</f>
        <v>7716534</v>
      </c>
      <c r="C2555" s="2" t="s">
        <v>573</v>
      </c>
      <c r="D2555" s="2" t="str">
        <f t="shared" si="38"/>
        <v>Error?</v>
      </c>
    </row>
    <row r="2556" spans="1:4" x14ac:dyDescent="0.2">
      <c r="A2556" s="5">
        <v>2495</v>
      </c>
      <c r="B2556" s="138">
        <f>'Acct Summary 7-8'!C12</f>
        <v>4581015</v>
      </c>
      <c r="C2556" s="2" t="s">
        <v>573</v>
      </c>
      <c r="D2556" s="2" t="str">
        <f t="shared" si="38"/>
        <v>Error?</v>
      </c>
    </row>
    <row r="2557" spans="1:4" x14ac:dyDescent="0.2">
      <c r="A2557" s="5">
        <v>2496</v>
      </c>
      <c r="B2557" s="138">
        <f>'Acct Summary 7-8'!C13</f>
        <v>2224787</v>
      </c>
      <c r="C2557" s="2" t="s">
        <v>573</v>
      </c>
      <c r="D2557" s="2" t="str">
        <f t="shared" si="38"/>
        <v>Error?</v>
      </c>
    </row>
    <row r="2558" spans="1:4" x14ac:dyDescent="0.2">
      <c r="A2558" s="5">
        <v>2497</v>
      </c>
      <c r="B2558" s="138">
        <f>'Acct Summary 7-8'!C14</f>
        <v>12755</v>
      </c>
      <c r="C2558" s="2" t="s">
        <v>573</v>
      </c>
      <c r="D2558" s="2" t="str">
        <f t="shared" si="38"/>
        <v>Error?</v>
      </c>
    </row>
    <row r="2559" spans="1:4" x14ac:dyDescent="0.2">
      <c r="A2559" s="5">
        <v>2498</v>
      </c>
      <c r="B2559" s="138">
        <f>'Acct Summary 7-8'!C15</f>
        <v>471795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7290352</v>
      </c>
      <c r="C2561" s="2" t="s">
        <v>573</v>
      </c>
      <c r="D2561" s="2" t="str">
        <f t="shared" si="39"/>
        <v>Error?</v>
      </c>
    </row>
    <row r="2562" spans="1:4" x14ac:dyDescent="0.2">
      <c r="A2562" s="5">
        <v>2501</v>
      </c>
      <c r="B2562" s="138">
        <f>'Acct Summary 7-8'!C20</f>
        <v>426182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707252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707252</v>
      </c>
      <c r="C2568" s="2" t="s">
        <v>573</v>
      </c>
      <c r="D2568" s="2" t="str">
        <f t="shared" si="39"/>
        <v>Error?</v>
      </c>
    </row>
    <row r="2569" spans="1:4" x14ac:dyDescent="0.2">
      <c r="A2569" s="5">
        <v>2508</v>
      </c>
      <c r="B2569" s="138">
        <f>'Acct Summary 7-8'!D13</f>
        <v>680999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680999</v>
      </c>
      <c r="C2573" s="2" t="s">
        <v>573</v>
      </c>
      <c r="D2573" s="2" t="str">
        <f t="shared" si="39"/>
        <v>Error?</v>
      </c>
    </row>
    <row r="2574" spans="1:4" x14ac:dyDescent="0.2">
      <c r="A2574" s="5">
        <v>2513</v>
      </c>
      <c r="B2574" s="138">
        <f>'Acct Summary 7-8'!D20</f>
        <v>26253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75459</v>
      </c>
      <c r="C2591" s="2" t="s">
        <v>573</v>
      </c>
      <c r="D2591" s="2" t="str">
        <f t="shared" si="39"/>
        <v>Error?</v>
      </c>
    </row>
    <row r="2592" spans="1:4" x14ac:dyDescent="0.2">
      <c r="A2592" s="10">
        <v>2531</v>
      </c>
      <c r="D2592" s="2" t="str">
        <f t="shared" si="39"/>
        <v>OK</v>
      </c>
    </row>
    <row r="2593" spans="1:4" x14ac:dyDescent="0.2">
      <c r="A2593" s="5">
        <v>2532</v>
      </c>
      <c r="B2593" s="138">
        <f>'Acct Summary 7-8'!F6</f>
        <v>316858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392317</v>
      </c>
      <c r="C2595" s="2" t="s">
        <v>573</v>
      </c>
      <c r="D2595" s="2" t="str">
        <f t="shared" si="39"/>
        <v>Error?</v>
      </c>
    </row>
    <row r="2596" spans="1:4" x14ac:dyDescent="0.2">
      <c r="A2596" s="5">
        <v>2535</v>
      </c>
      <c r="B2596" s="138">
        <f>'Acct Summary 7-8'!F13</f>
        <v>510827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510827</v>
      </c>
      <c r="C2600" s="2" t="s">
        <v>573</v>
      </c>
      <c r="D2600" s="2" t="str">
        <f t="shared" si="39"/>
        <v>Error?</v>
      </c>
    </row>
    <row r="2601" spans="1:4" x14ac:dyDescent="0.2">
      <c r="A2601" s="5">
        <v>2540</v>
      </c>
      <c r="B2601" s="138">
        <f>'Acct Summary 7-8'!F20</f>
        <v>-118510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251490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251490</v>
      </c>
      <c r="C2606" s="2" t="s">
        <v>573</v>
      </c>
      <c r="D2606" s="2" t="str">
        <f t="shared" si="39"/>
        <v>Error?</v>
      </c>
    </row>
    <row r="2607" spans="1:4" x14ac:dyDescent="0.2">
      <c r="A2607" s="5">
        <v>2546</v>
      </c>
      <c r="B2607" s="138">
        <f>'Acct Summary 7-8'!G12</f>
        <v>97726</v>
      </c>
      <c r="C2607" s="2" t="s">
        <v>573</v>
      </c>
      <c r="D2607" s="2" t="str">
        <f t="shared" si="39"/>
        <v>Error?</v>
      </c>
    </row>
    <row r="2608" spans="1:4" x14ac:dyDescent="0.2">
      <c r="A2608" s="5">
        <v>2547</v>
      </c>
      <c r="B2608" s="138">
        <f>'Acct Summary 7-8'!G13</f>
        <v>180738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278464</v>
      </c>
      <c r="C2612" s="2" t="s">
        <v>573</v>
      </c>
      <c r="D2612" s="2" t="str">
        <f t="shared" si="39"/>
        <v>Error?</v>
      </c>
    </row>
    <row r="2613" spans="1:4" x14ac:dyDescent="0.2">
      <c r="A2613" s="5">
        <v>2552</v>
      </c>
      <c r="B2613" s="138">
        <f>'Acct Summary 7-8'!G20</f>
        <v>-26974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443369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443369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869885</v>
      </c>
      <c r="C2634" s="2" t="s">
        <v>573</v>
      </c>
      <c r="D2634" s="2" t="str">
        <f t="shared" si="40"/>
        <v>Error?</v>
      </c>
    </row>
    <row r="2635" spans="1:4" x14ac:dyDescent="0.2">
      <c r="A2635" s="5">
        <v>2574</v>
      </c>
      <c r="B2635" s="138">
        <f>'Acct Summary 7-8'!E17</f>
        <v>869885</v>
      </c>
      <c r="C2635" s="2" t="s">
        <v>573</v>
      </c>
      <c r="D2635" s="2" t="str">
        <f t="shared" si="40"/>
        <v>Error?</v>
      </c>
    </row>
    <row r="2636" spans="1:4" x14ac:dyDescent="0.2">
      <c r="A2636" s="5">
        <v>2575</v>
      </c>
      <c r="B2636" s="138">
        <f>'Acct Summary 7-8'!E20</f>
        <v>-426516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39885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39885</v>
      </c>
      <c r="C2658" s="2" t="s">
        <v>573</v>
      </c>
      <c r="D2658" s="2" t="str">
        <f t="shared" si="40"/>
        <v>Error?</v>
      </c>
    </row>
    <row r="2659" spans="1:4" x14ac:dyDescent="0.2">
      <c r="A2659" s="5">
        <v>2598</v>
      </c>
      <c r="B2659" s="138">
        <f>'Acct Summary 7-8'!H13</f>
        <v>1061276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1061276</v>
      </c>
      <c r="C2661" s="2" t="s">
        <v>573</v>
      </c>
      <c r="D2661" s="2" t="str">
        <f t="shared" si="40"/>
        <v>Error?</v>
      </c>
    </row>
    <row r="2662" spans="1:4" x14ac:dyDescent="0.2">
      <c r="A2662" s="5">
        <v>2601</v>
      </c>
      <c r="B2662" s="138">
        <f>'Acct Summary 7-8'!H20</f>
        <v>-1021391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117468</v>
      </c>
      <c r="D2718" s="2" t="str">
        <f t="shared" si="41"/>
        <v>Error?</v>
      </c>
    </row>
    <row r="2719" spans="1:4" x14ac:dyDescent="0.2">
      <c r="A2719" s="5">
        <v>2658</v>
      </c>
      <c r="B2719" s="138">
        <f>'Expenditures 15-22'!D51</f>
        <v>27017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144485</v>
      </c>
      <c r="C2724" s="2" t="s">
        <v>573</v>
      </c>
      <c r="D2724" s="2" t="str">
        <f t="shared" si="41"/>
        <v>Error?</v>
      </c>
    </row>
    <row r="2725" spans="1:4" x14ac:dyDescent="0.2">
      <c r="A2725" s="5">
        <v>2664</v>
      </c>
      <c r="B2725" s="138">
        <f>'Expenditures 15-22'!D247</f>
        <v>5773</v>
      </c>
      <c r="D2725" s="2" t="str">
        <f t="shared" si="41"/>
        <v>Error?</v>
      </c>
    </row>
    <row r="2726" spans="1:4" x14ac:dyDescent="0.2">
      <c r="A2726" s="5">
        <v>2665</v>
      </c>
      <c r="B2726" s="138">
        <f>'Expenditures 15-22'!K247</f>
        <v>5773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337842</v>
      </c>
      <c r="C2789" s="2" t="s">
        <v>573</v>
      </c>
      <c r="D2789" s="2" t="str">
        <f t="shared" si="42"/>
        <v>Error?</v>
      </c>
    </row>
    <row r="2790" spans="1:4" x14ac:dyDescent="0.2">
      <c r="A2790" s="5">
        <v>2729</v>
      </c>
      <c r="B2790" s="138">
        <f>'Expenditures 15-22'!E102</f>
        <v>337842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932690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189210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85282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189210</v>
      </c>
      <c r="D2912" s="2" t="str">
        <f t="shared" si="44"/>
        <v>Error?</v>
      </c>
    </row>
    <row r="2913" spans="1:4" x14ac:dyDescent="0.2">
      <c r="A2913" s="5">
        <v>2852</v>
      </c>
      <c r="B2913" s="138">
        <f>'Assets-Liab 5-6'!I41</f>
        <v>189210</v>
      </c>
      <c r="C2913" s="2" t="s">
        <v>573</v>
      </c>
      <c r="D2913" s="2" t="str">
        <f t="shared" si="44"/>
        <v>Error?</v>
      </c>
    </row>
    <row r="2914" spans="1:4" x14ac:dyDescent="0.2">
      <c r="A2914" s="5">
        <v>2853</v>
      </c>
      <c r="B2914" s="138">
        <f>'Assets-Liab 5-6'!L33</f>
        <v>85282</v>
      </c>
      <c r="D2914" s="2" t="str">
        <f t="shared" si="44"/>
        <v>Error?</v>
      </c>
    </row>
    <row r="2915" spans="1:4" x14ac:dyDescent="0.2">
      <c r="A2915" s="10">
        <v>2854</v>
      </c>
      <c r="D2915" s="2" t="str">
        <f t="shared" si="44"/>
        <v>OK</v>
      </c>
    </row>
    <row r="2916" spans="1:4" x14ac:dyDescent="0.2">
      <c r="A2916" s="5">
        <v>2855</v>
      </c>
      <c r="B2916" s="138">
        <f>'Assets-Liab 5-6'!L34</f>
        <v>85282</v>
      </c>
      <c r="C2916" s="2" t="s">
        <v>573</v>
      </c>
      <c r="D2916" s="2" t="str">
        <f t="shared" si="44"/>
        <v>Error?</v>
      </c>
    </row>
    <row r="2917" spans="1:4" x14ac:dyDescent="0.2">
      <c r="A2917" s="5">
        <v>2856</v>
      </c>
      <c r="B2917" s="138">
        <f>'Assets-Liab 5-6'!L41</f>
        <v>85282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337842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4871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337842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4871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34432</v>
      </c>
      <c r="D3055" s="2" t="str">
        <f t="shared" si="46"/>
        <v>Error?</v>
      </c>
    </row>
    <row r="3056" spans="1:4" x14ac:dyDescent="0.2">
      <c r="A3056" s="5">
        <v>2995</v>
      </c>
      <c r="B3056" s="138">
        <f>'Expenditures 15-22'!D10</f>
        <v>4938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1074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40444</v>
      </c>
      <c r="C3062" s="2" t="s">
        <v>573</v>
      </c>
      <c r="D3062" s="2" t="str">
        <f t="shared" si="46"/>
        <v>Error?</v>
      </c>
    </row>
    <row r="3063" spans="1:4" x14ac:dyDescent="0.2">
      <c r="A3063" s="10">
        <v>3002</v>
      </c>
      <c r="D3063" s="2" t="str">
        <f t="shared" si="46"/>
        <v>OK</v>
      </c>
    </row>
    <row r="3064" spans="1:4" x14ac:dyDescent="0.2">
      <c r="A3064" s="5">
        <v>3003</v>
      </c>
      <c r="B3064" s="138">
        <f>'Expenditures 15-22'!D219</f>
        <v>1736</v>
      </c>
      <c r="D3064" s="2" t="str">
        <f t="shared" si="46"/>
        <v>Error?</v>
      </c>
    </row>
    <row r="3065" spans="1:4" x14ac:dyDescent="0.2">
      <c r="A3065" s="5">
        <v>3004</v>
      </c>
      <c r="B3065" s="138">
        <f>'Expenditures 15-22'!K219</f>
        <v>1736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7412</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3689</v>
      </c>
      <c r="C3225" s="2" t="s">
        <v>573</v>
      </c>
      <c r="D3225" s="2" t="str">
        <f t="shared" si="49"/>
        <v>Error?</v>
      </c>
    </row>
    <row r="3226" spans="1:4" x14ac:dyDescent="0.2">
      <c r="A3226" s="5">
        <v>3165</v>
      </c>
      <c r="B3226" s="138">
        <f>'Acct Summary 7-8'!I8</f>
        <v>3689</v>
      </c>
      <c r="C3226" s="2" t="s">
        <v>573</v>
      </c>
      <c r="D3226" s="2" t="str">
        <f t="shared" si="49"/>
        <v>Error?</v>
      </c>
    </row>
    <row r="3227" spans="1:4" x14ac:dyDescent="0.2">
      <c r="A3227" s="5">
        <v>3166</v>
      </c>
      <c r="B3227" s="138">
        <f>'Acct Summary 7-8'!I20</f>
        <v>3689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350588</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350588</v>
      </c>
      <c r="C3232" s="2" t="s">
        <v>573</v>
      </c>
      <c r="D3232" s="2" t="str">
        <f t="shared" si="49"/>
        <v>Error?</v>
      </c>
    </row>
    <row r="3233" spans="1:4" x14ac:dyDescent="0.2">
      <c r="A3233" s="5">
        <v>3172</v>
      </c>
      <c r="B3233" s="138">
        <f>'Acct Summary 7-8'!C78</f>
        <v>776770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26253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-118510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-26974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7412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7412</v>
      </c>
      <c r="C3277" s="2" t="s">
        <v>573</v>
      </c>
      <c r="D3277" s="2" t="str">
        <f t="shared" si="50"/>
        <v>Error?</v>
      </c>
    </row>
    <row r="3278" spans="1:4" x14ac:dyDescent="0.2">
      <c r="A3278" s="5">
        <v>3217</v>
      </c>
      <c r="B3278" s="138">
        <f>'Acct Summary 7-8'!E78</f>
        <v>-419104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6122200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6122200</v>
      </c>
      <c r="C3299" s="2" t="s">
        <v>573</v>
      </c>
      <c r="D3299" s="2" t="str">
        <f t="shared" si="50"/>
        <v>Error?</v>
      </c>
    </row>
    <row r="3300" spans="1:4" x14ac:dyDescent="0.2">
      <c r="A3300" s="5">
        <v>3239</v>
      </c>
      <c r="B3300" s="138">
        <f>'Acct Summary 7-8'!H78</f>
        <v>5100809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350588</v>
      </c>
      <c r="C3317" s="2" t="s">
        <v>573</v>
      </c>
      <c r="D3317" s="2" t="str">
        <f t="shared" si="50"/>
        <v>Error?</v>
      </c>
    </row>
    <row r="3318" spans="1:4" x14ac:dyDescent="0.2">
      <c r="A3318" s="5">
        <v>3257</v>
      </c>
      <c r="B3318" s="138">
        <f>'Acct Summary 7-8'!I76</f>
        <v>350588</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3689</v>
      </c>
      <c r="C3320" s="2" t="s">
        <v>573</v>
      </c>
      <c r="D3320" s="2" t="str">
        <f t="shared" si="50"/>
        <v>Error?</v>
      </c>
    </row>
    <row r="3321" spans="1:4" x14ac:dyDescent="0.2">
      <c r="A3321" s="5">
        <v>3260</v>
      </c>
      <c r="B3321" s="138">
        <f>'Acct Summary 7-8'!I79</f>
        <v>185521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189210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824179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111949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22976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16107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1696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976907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41328</v>
      </c>
      <c r="D3387" s="2" t="str">
        <f t="shared" si="51"/>
        <v>Error?</v>
      </c>
    </row>
    <row r="3388" spans="1:4" x14ac:dyDescent="0.2">
      <c r="A3388" s="5">
        <v>3327</v>
      </c>
      <c r="B3388" s="138">
        <f>'Expenditures 15-22'!D217</f>
        <v>52531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41328</v>
      </c>
      <c r="C3390" s="2" t="s">
        <v>573</v>
      </c>
      <c r="D3390" s="2" t="str">
        <f t="shared" si="51"/>
        <v>Error?</v>
      </c>
    </row>
    <row r="3391" spans="1:4" x14ac:dyDescent="0.2">
      <c r="A3391" s="5">
        <v>3330</v>
      </c>
      <c r="B3391" s="138">
        <f>'Expenditures 15-22'!K217</f>
        <v>52531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1711198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185132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206145</v>
      </c>
      <c r="D3417" s="2" t="str">
        <f t="shared" si="52"/>
        <v>Error?</v>
      </c>
    </row>
    <row r="3418" spans="1:4" x14ac:dyDescent="0.2">
      <c r="A3418" s="10">
        <v>3357</v>
      </c>
      <c r="D3418" s="2" t="str">
        <f t="shared" si="52"/>
        <v>OK</v>
      </c>
    </row>
    <row r="3419" spans="1:4" x14ac:dyDescent="0.2">
      <c r="A3419" s="5">
        <v>3358</v>
      </c>
      <c r="B3419" s="138">
        <f>'Assets-Liab 5-6'!F4</f>
        <v>743569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147195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5100809</v>
      </c>
      <c r="D3425" s="2" t="str">
        <f t="shared" si="52"/>
        <v>Error?</v>
      </c>
    </row>
    <row r="3426" spans="1:4" x14ac:dyDescent="0.2">
      <c r="A3426" s="10">
        <v>3365</v>
      </c>
      <c r="D3426" s="2" t="str">
        <f t="shared" si="52"/>
        <v>OK</v>
      </c>
    </row>
    <row r="3427" spans="1:4" x14ac:dyDescent="0.2">
      <c r="A3427" s="5">
        <v>3366</v>
      </c>
      <c r="B3427" s="138">
        <f>'Assets-Liab 5-6'!I4</f>
        <v>139210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85282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125898</v>
      </c>
      <c r="C3446" s="2" t="s">
        <v>573</v>
      </c>
      <c r="D3446" s="2" t="str">
        <f t="shared" si="52"/>
        <v>Error?</v>
      </c>
    </row>
    <row r="3447" spans="1:4" x14ac:dyDescent="0.2">
      <c r="A3447" s="5">
        <v>3386</v>
      </c>
      <c r="B3447" s="138">
        <f>'Tax Sched 23'!D16</f>
        <v>54276</v>
      </c>
      <c r="C3447" s="2" t="s">
        <v>573</v>
      </c>
      <c r="D3447" s="2" t="str">
        <f t="shared" si="52"/>
        <v>Error?</v>
      </c>
    </row>
    <row r="3448" spans="1:4" x14ac:dyDescent="0.2">
      <c r="A3448" s="5">
        <v>3387</v>
      </c>
      <c r="B3448" s="138">
        <f>'Tax Sched 23'!C16</f>
        <v>71622</v>
      </c>
      <c r="D3448" s="2" t="str">
        <f t="shared" si="52"/>
        <v>Error?</v>
      </c>
    </row>
    <row r="3449" spans="1:4" x14ac:dyDescent="0.2">
      <c r="A3449" s="5">
        <v>3388</v>
      </c>
      <c r="B3449" s="138">
        <f>'Tax Sched 23'!F16</f>
        <v>53997</v>
      </c>
      <c r="C3449" s="2" t="s">
        <v>573</v>
      </c>
      <c r="D3449" s="2" t="str">
        <f t="shared" si="52"/>
        <v>Error?</v>
      </c>
    </row>
    <row r="3450" spans="1:4" x14ac:dyDescent="0.2">
      <c r="A3450" s="5">
        <v>3389</v>
      </c>
      <c r="B3450" s="138">
        <f>'Tax Sched 23'!E16</f>
        <v>125619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932690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932690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932690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10401</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5348</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5053</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5354</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10407</v>
      </c>
      <c r="D4111" s="2" t="str">
        <f t="shared" si="63"/>
        <v>Error?</v>
      </c>
    </row>
    <row r="4112" spans="1:4" x14ac:dyDescent="0.2">
      <c r="A4112" s="10">
        <v>4051</v>
      </c>
      <c r="D4112" s="2" t="str">
        <f t="shared" si="63"/>
        <v>OK</v>
      </c>
    </row>
    <row r="4113" spans="1:4" x14ac:dyDescent="0.2">
      <c r="A4113" s="5">
        <v>4052</v>
      </c>
      <c r="B4113" s="138">
        <f>'Acct Summary 7-8'!C9</f>
        <v>2972968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10689502</v>
      </c>
      <c r="C4122" s="2" t="s">
        <v>573</v>
      </c>
      <c r="D4122" s="2" t="str">
        <f t="shared" si="63"/>
        <v>Error?</v>
      </c>
    </row>
    <row r="4123" spans="1:4" x14ac:dyDescent="0.2">
      <c r="A4123" s="5">
        <v>4062</v>
      </c>
      <c r="B4123" s="138">
        <f>'Acct Summary 7-8'!D10</f>
        <v>707252</v>
      </c>
      <c r="C4123" s="2" t="s">
        <v>573</v>
      </c>
      <c r="D4123" s="2" t="str">
        <f t="shared" si="63"/>
        <v>Error?</v>
      </c>
    </row>
    <row r="4124" spans="1:4" x14ac:dyDescent="0.2">
      <c r="A4124" s="5">
        <v>4063</v>
      </c>
      <c r="B4124" s="138">
        <f>'Acct Summary 7-8'!E10</f>
        <v>443369</v>
      </c>
      <c r="C4124" s="2" t="s">
        <v>573</v>
      </c>
      <c r="D4124" s="2" t="str">
        <f t="shared" si="63"/>
        <v>Error?</v>
      </c>
    </row>
    <row r="4125" spans="1:4" x14ac:dyDescent="0.2">
      <c r="A4125" s="5">
        <v>4064</v>
      </c>
      <c r="B4125" s="138">
        <f>'Acct Summary 7-8'!F10</f>
        <v>392317</v>
      </c>
      <c r="C4125" s="2" t="s">
        <v>573</v>
      </c>
      <c r="D4125" s="2" t="str">
        <f t="shared" si="63"/>
        <v>Error?</v>
      </c>
    </row>
    <row r="4126" spans="1:4" x14ac:dyDescent="0.2">
      <c r="A4126" s="5">
        <v>4065</v>
      </c>
      <c r="B4126" s="138">
        <f>'Acct Summary 7-8'!G10</f>
        <v>251490</v>
      </c>
      <c r="C4126" s="2" t="s">
        <v>573</v>
      </c>
      <c r="D4126" s="2" t="str">
        <f t="shared" si="63"/>
        <v>Error?</v>
      </c>
    </row>
    <row r="4127" spans="1:4" x14ac:dyDescent="0.2">
      <c r="A4127" s="5">
        <v>4066</v>
      </c>
      <c r="B4127" s="138">
        <f>'Acct Summary 7-8'!H10</f>
        <v>39885</v>
      </c>
      <c r="C4127" s="2" t="s">
        <v>573</v>
      </c>
      <c r="D4127" s="2" t="str">
        <f t="shared" si="63"/>
        <v>Error?</v>
      </c>
    </row>
    <row r="4128" spans="1:4" x14ac:dyDescent="0.2">
      <c r="A4128" s="5">
        <v>4067</v>
      </c>
      <c r="B4128" s="138">
        <f>'Acct Summary 7-8'!I10</f>
        <v>3689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2972968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10263320</v>
      </c>
      <c r="C4136" s="2" t="s">
        <v>573</v>
      </c>
      <c r="D4136" s="2" t="str">
        <f t="shared" si="63"/>
        <v>Error?</v>
      </c>
    </row>
    <row r="4137" spans="1:4" x14ac:dyDescent="0.2">
      <c r="A4137" s="5">
        <v>4076</v>
      </c>
      <c r="B4137" s="138">
        <f>'Acct Summary 7-8'!D19</f>
        <v>680999</v>
      </c>
      <c r="C4137" s="2" t="s">
        <v>573</v>
      </c>
      <c r="D4137" s="2" t="str">
        <f t="shared" si="63"/>
        <v>Error?</v>
      </c>
    </row>
    <row r="4138" spans="1:4" x14ac:dyDescent="0.2">
      <c r="A4138" s="5">
        <v>4077</v>
      </c>
      <c r="B4138" s="138">
        <f>'Acct Summary 7-8'!E19</f>
        <v>869885</v>
      </c>
      <c r="C4138" s="2" t="s">
        <v>573</v>
      </c>
      <c r="D4138" s="2" t="str">
        <f t="shared" si="63"/>
        <v>Error?</v>
      </c>
    </row>
    <row r="4139" spans="1:4" x14ac:dyDescent="0.2">
      <c r="A4139" s="5">
        <v>4078</v>
      </c>
      <c r="B4139" s="138">
        <f>'Acct Summary 7-8'!F19</f>
        <v>510827</v>
      </c>
      <c r="C4139" s="2" t="s">
        <v>573</v>
      </c>
      <c r="D4139" s="2" t="str">
        <f t="shared" si="63"/>
        <v>Error?</v>
      </c>
    </row>
    <row r="4140" spans="1:4" x14ac:dyDescent="0.2">
      <c r="A4140" s="5">
        <v>4079</v>
      </c>
      <c r="B4140" s="138">
        <f>'Acct Summary 7-8'!G19</f>
        <v>278464</v>
      </c>
      <c r="C4140" s="2" t="s">
        <v>573</v>
      </c>
      <c r="D4140" s="2" t="str">
        <f t="shared" si="63"/>
        <v>Error?</v>
      </c>
    </row>
    <row r="4141" spans="1:4" x14ac:dyDescent="0.2">
      <c r="A4141" s="5">
        <v>4080</v>
      </c>
      <c r="B4141" s="138">
        <f>'Acct Summary 7-8'!H19</f>
        <v>1061276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5980000</v>
      </c>
      <c r="C4171" s="2" t="s">
        <v>573</v>
      </c>
      <c r="D4171" s="2" t="str">
        <f t="shared" si="64"/>
        <v>Error?</v>
      </c>
    </row>
    <row r="4172" spans="1:4" x14ac:dyDescent="0.2">
      <c r="A4172" s="5">
        <v>4111</v>
      </c>
      <c r="B4172" s="138">
        <f>'Short-Term Long-Term Debt 24'!J49</f>
        <v>5980000</v>
      </c>
      <c r="C4172" s="2" t="s">
        <v>573</v>
      </c>
      <c r="D4172" s="2" t="str">
        <f t="shared" si="64"/>
        <v>Error?</v>
      </c>
    </row>
    <row r="4173" spans="1:4" x14ac:dyDescent="0.2">
      <c r="A4173" s="5">
        <v>4112</v>
      </c>
      <c r="B4173" s="138">
        <f>'Short-Term Long-Term Debt 24'!H49</f>
        <v>853000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2582.2999999999997</v>
      </c>
      <c r="C4265" s="2" t="s">
        <v>573</v>
      </c>
      <c r="D4265" s="2" t="str">
        <f t="shared" si="65"/>
        <v>Error?</v>
      </c>
      <c r="E4265" s="128"/>
    </row>
    <row r="4266" spans="1:5" x14ac:dyDescent="0.2">
      <c r="A4266" s="12">
        <v>4205</v>
      </c>
      <c r="B4266" s="138">
        <f>('FP Info 3'!F10)*100000</f>
        <v>412.40000000000003</v>
      </c>
      <c r="C4266" s="2" t="s">
        <v>573</v>
      </c>
      <c r="D4266" s="2" t="str">
        <f t="shared" si="65"/>
        <v>Error?</v>
      </c>
      <c r="E4266" s="128"/>
    </row>
    <row r="4267" spans="1:5" x14ac:dyDescent="0.2">
      <c r="A4267" s="12">
        <v>4206</v>
      </c>
      <c r="B4267" s="138">
        <f>('FP Info 3'!H10)*100000</f>
        <v>39.9</v>
      </c>
      <c r="C4267" s="2" t="s">
        <v>573</v>
      </c>
      <c r="D4267" s="2" t="str">
        <f t="shared" si="65"/>
        <v>Error?</v>
      </c>
      <c r="E4267" s="128"/>
    </row>
    <row r="4268" spans="1:5" x14ac:dyDescent="0.2">
      <c r="A4268" s="12">
        <v>4207</v>
      </c>
      <c r="B4268" s="138">
        <f>('FP Info 3'!J10)*100000</f>
        <v>3035</v>
      </c>
      <c r="C4268" s="2" t="s">
        <v>573</v>
      </c>
      <c r="D4268" s="2" t="str">
        <f t="shared" si="65"/>
        <v>Error?</v>
      </c>
    </row>
    <row r="4269" spans="1:5" x14ac:dyDescent="0.2">
      <c r="A4269" s="12">
        <v>4208</v>
      </c>
      <c r="B4269" s="138">
        <f>'FP Info 3'!J16</f>
        <v>2769157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26125</v>
      </c>
      <c r="D4331" s="2" t="str">
        <f t="shared" si="66"/>
        <v>Error?</v>
      </c>
    </row>
    <row r="4332" spans="1:4" x14ac:dyDescent="0.2">
      <c r="A4332" s="5">
        <v>4271</v>
      </c>
      <c r="B4332" s="138">
        <f>'Revenues 9-14'!C203</f>
        <v>3360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15059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36553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9742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12741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1.5999999999999999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175200099</v>
      </c>
      <c r="D4995" s="2" t="str">
        <f t="shared" si="77"/>
        <v>Error?</v>
      </c>
    </row>
    <row r="4996" spans="1:4" x14ac:dyDescent="0.2">
      <c r="A4996" s="12">
        <v>4935</v>
      </c>
      <c r="B4996" s="138">
        <f>'FP Info 3'!H31</f>
        <v>12088806.831</v>
      </c>
      <c r="D4996" s="2" t="str">
        <f t="shared" si="77"/>
        <v>Error?</v>
      </c>
    </row>
    <row r="4997" spans="1:4" x14ac:dyDescent="0.2">
      <c r="A4997" s="12">
        <v>4936</v>
      </c>
      <c r="B4997" s="138">
        <f>'FP Info 3'!H37</f>
        <v>5980000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4228792</v>
      </c>
      <c r="D5061" s="2" t="str">
        <f t="shared" si="78"/>
        <v>Error?</v>
      </c>
    </row>
    <row r="5062" spans="1:4" x14ac:dyDescent="0.2">
      <c r="A5062" s="10">
        <v>5001</v>
      </c>
      <c r="D5062" s="2" t="str">
        <f t="shared" si="78"/>
        <v>OK</v>
      </c>
    </row>
    <row r="5063" spans="1:4" x14ac:dyDescent="0.2">
      <c r="A5063" s="5">
        <v>5002</v>
      </c>
      <c r="B5063" s="138">
        <f>'Revenues 9-14'!C7</f>
        <v>20180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4248972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29090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29090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4350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17400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21750</v>
      </c>
      <c r="C5087" s="2" t="s">
        <v>573</v>
      </c>
      <c r="D5087" s="2" t="str">
        <f t="shared" si="78"/>
        <v>Error?</v>
      </c>
    </row>
    <row r="5088" spans="1:4" x14ac:dyDescent="0.2">
      <c r="A5088" s="5">
        <v>5027</v>
      </c>
      <c r="B5088" s="138">
        <f>'Revenues 9-14'!C65</f>
        <v>43482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43482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7643</v>
      </c>
      <c r="D5095" s="2" t="str">
        <f t="shared" si="78"/>
        <v>Error?</v>
      </c>
    </row>
    <row r="5096" spans="1:4" x14ac:dyDescent="0.2">
      <c r="A5096" s="5">
        <v>5035</v>
      </c>
      <c r="B5096" s="138">
        <f>'Revenues 9-14'!C75</f>
        <v>101273</v>
      </c>
      <c r="C5096" s="2" t="s">
        <v>573</v>
      </c>
      <c r="D5096" s="2" t="str">
        <f t="shared" si="78"/>
        <v>Error?</v>
      </c>
    </row>
    <row r="5097" spans="1:4" x14ac:dyDescent="0.2">
      <c r="A5097" s="5">
        <v>5036</v>
      </c>
      <c r="B5097" s="138">
        <f>'Revenues 9-14'!C77</f>
        <v>2449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11376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92</v>
      </c>
      <c r="D5101" s="2" t="str">
        <f t="shared" si="78"/>
        <v>Error?</v>
      </c>
    </row>
    <row r="5102" spans="1:4" x14ac:dyDescent="0.2">
      <c r="A5102" s="5">
        <v>5041</v>
      </c>
      <c r="B5102" s="138">
        <f>'Revenues 9-14'!C82</f>
        <v>13917</v>
      </c>
      <c r="C5102" s="2" t="s">
        <v>573</v>
      </c>
      <c r="D5102" s="2" t="str">
        <f t="shared" si="78"/>
        <v>Error?</v>
      </c>
    </row>
    <row r="5103" spans="1:4" x14ac:dyDescent="0.2">
      <c r="A5103" s="5">
        <v>5042</v>
      </c>
      <c r="B5103" s="138">
        <f>'Revenues 9-14'!C84</f>
        <v>58344</v>
      </c>
      <c r="D5103" s="2" t="str">
        <f t="shared" si="78"/>
        <v>Error?</v>
      </c>
    </row>
    <row r="5104" spans="1:4" x14ac:dyDescent="0.2">
      <c r="A5104" s="5">
        <v>5043</v>
      </c>
      <c r="B5104" s="138">
        <f>'Revenues 9-14'!C85</f>
        <v>2406</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16416</v>
      </c>
      <c r="D5111" s="2" t="str">
        <f t="shared" si="78"/>
        <v>Error?</v>
      </c>
    </row>
    <row r="5112" spans="1:4" x14ac:dyDescent="0.2">
      <c r="A5112" s="5">
        <v>5051</v>
      </c>
      <c r="B5112" s="138">
        <f>'Revenues 9-14'!C93</f>
        <v>77166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1534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31048</v>
      </c>
      <c r="D5119" s="2" t="str">
        <f t="shared" ref="D5119:D5182" si="79">IF(ISBLANK(B5119),"OK",IF(A5119-B5119=0,"OK","Error?"))</f>
        <v>Error?</v>
      </c>
    </row>
    <row r="5120" spans="1:4" x14ac:dyDescent="0.2">
      <c r="A5120" s="5">
        <v>5059</v>
      </c>
      <c r="B5120" s="138">
        <f>'Revenues 9-14'!C108</f>
        <v>75531</v>
      </c>
      <c r="C5120" s="2" t="s">
        <v>573</v>
      </c>
      <c r="D5120" s="2" t="str">
        <f t="shared" si="79"/>
        <v>Error?</v>
      </c>
    </row>
    <row r="5121" spans="1:4" x14ac:dyDescent="0.2">
      <c r="A5121" s="5">
        <v>5060</v>
      </c>
      <c r="B5121" s="138">
        <f>'Revenues 9-14'!C109</f>
        <v>4611181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2219133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2219133</v>
      </c>
      <c r="C5132" s="2" t="s">
        <v>573</v>
      </c>
      <c r="D5132" s="2" t="str">
        <f t="shared" si="79"/>
        <v>Error?</v>
      </c>
    </row>
    <row r="5133" spans="1:4" x14ac:dyDescent="0.2">
      <c r="A5133" s="5">
        <v>5072</v>
      </c>
      <c r="B5133" s="138">
        <f>'Revenues 9-14'!C125</f>
        <v>25442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25442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3950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212963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242355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2461488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196398</v>
      </c>
      <c r="D5239" s="2" t="str">
        <f t="shared" si="80"/>
        <v>Error?</v>
      </c>
    </row>
    <row r="5240" spans="1:4" x14ac:dyDescent="0.2">
      <c r="A5240" s="5">
        <v>5179</v>
      </c>
      <c r="B5240" s="138">
        <f>'Revenues 9-14'!C192</f>
        <v>1173</v>
      </c>
      <c r="D5240" s="2" t="str">
        <f t="shared" si="80"/>
        <v>Error?</v>
      </c>
    </row>
    <row r="5241" spans="1:4" x14ac:dyDescent="0.2">
      <c r="A5241" s="5">
        <v>5180</v>
      </c>
      <c r="B5241" s="138">
        <f>'Revenues 9-14'!C193</f>
        <v>42801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266497</v>
      </c>
      <c r="C5246" s="2" t="s">
        <v>573</v>
      </c>
      <c r="D5246" s="2" t="str">
        <f t="shared" si="80"/>
        <v>Error?</v>
      </c>
    </row>
    <row r="5247" spans="1:4" x14ac:dyDescent="0.2">
      <c r="A5247" s="5">
        <v>5186</v>
      </c>
      <c r="B5247" s="138">
        <f>'Revenues 9-14'!C200</f>
        <v>140654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9742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144014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5061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147357</v>
      </c>
      <c r="D5278" s="2" t="str">
        <f t="shared" si="81"/>
        <v>Error?</v>
      </c>
    </row>
    <row r="5279" spans="1:4" x14ac:dyDescent="0.2">
      <c r="A5279" s="5">
        <v>5218</v>
      </c>
      <c r="B5279" s="138">
        <f>'Revenues 9-14'!C214</f>
        <v>6841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159259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643865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643865</v>
      </c>
      <c r="C5326" s="2" t="s">
        <v>573</v>
      </c>
      <c r="D5326" s="2" t="str">
        <f t="shared" si="82"/>
        <v>Error?</v>
      </c>
    </row>
    <row r="5327" spans="1:5" x14ac:dyDescent="0.2">
      <c r="A5327" s="5">
        <v>5266</v>
      </c>
      <c r="B5327" s="138">
        <f>'Revenues 9-14'!C268</f>
        <v>7716534</v>
      </c>
      <c r="C5327" s="2" t="s">
        <v>573</v>
      </c>
      <c r="D5327" s="2" t="str">
        <f t="shared" si="82"/>
        <v>Error?</v>
      </c>
    </row>
    <row r="5328" spans="1:5" x14ac:dyDescent="0.2">
      <c r="A5328" s="5">
        <v>5267</v>
      </c>
      <c r="B5328" s="138">
        <f>'Revenues 9-14'!D5</f>
        <v>692459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692459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155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14638</v>
      </c>
      <c r="D5354" s="2" t="str">
        <f t="shared" si="82"/>
        <v>Error?</v>
      </c>
    </row>
    <row r="5355" spans="1:4" x14ac:dyDescent="0.2">
      <c r="A5355" s="5">
        <v>5294</v>
      </c>
      <c r="B5355" s="138">
        <f>'Revenues 9-14'!D108</f>
        <v>14638</v>
      </c>
      <c r="C5355" s="2" t="s">
        <v>573</v>
      </c>
      <c r="D5355" s="2" t="str">
        <f t="shared" si="82"/>
        <v>Error?</v>
      </c>
    </row>
    <row r="5356" spans="1:4" x14ac:dyDescent="0.2">
      <c r="A5356" s="5">
        <v>5295</v>
      </c>
      <c r="B5356" s="138">
        <f>'Revenues 9-14'!D109</f>
        <v>707252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707252</v>
      </c>
      <c r="C5508" s="2" t="s">
        <v>573</v>
      </c>
      <c r="D5508" s="2" t="str">
        <f t="shared" si="85"/>
        <v>Error?</v>
      </c>
    </row>
    <row r="5509" spans="1:4" x14ac:dyDescent="0.2">
      <c r="A5509" s="5">
        <v>5448</v>
      </c>
      <c r="B5509" s="138">
        <f>'Revenues 9-14'!E5</f>
        <v>443133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443133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443369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443369</v>
      </c>
      <c r="C5552" s="2" t="s">
        <v>573</v>
      </c>
      <c r="D5552" s="2" t="str">
        <f t="shared" si="85"/>
        <v>Error?</v>
      </c>
    </row>
    <row r="5553" spans="1:4" x14ac:dyDescent="0.2">
      <c r="A5553" s="5">
        <v>5492</v>
      </c>
      <c r="B5553" s="138">
        <f>'Revenues 9-14'!F5</f>
        <v>65261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65261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214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214</v>
      </c>
      <c r="C5579" s="2" t="s">
        <v>573</v>
      </c>
      <c r="D5579" s="2" t="str">
        <f t="shared" si="86"/>
        <v>Error?</v>
      </c>
    </row>
    <row r="5580" spans="1:4" x14ac:dyDescent="0.2">
      <c r="A5580" s="5">
        <v>5519</v>
      </c>
      <c r="B5580" s="138">
        <f>'Revenues 9-14'!F65</f>
        <v>855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855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9129</v>
      </c>
      <c r="D5586" s="2" t="str">
        <f t="shared" si="86"/>
        <v>Error?</v>
      </c>
    </row>
    <row r="5587" spans="1:4" x14ac:dyDescent="0.2">
      <c r="A5587" s="5">
        <v>5526</v>
      </c>
      <c r="B5587" s="138">
        <f>'Revenues 9-14'!F108</f>
        <v>9129</v>
      </c>
      <c r="C5587" s="2" t="s">
        <v>573</v>
      </c>
      <c r="D5587" s="2" t="str">
        <f t="shared" si="86"/>
        <v>Error?</v>
      </c>
    </row>
    <row r="5588" spans="1:4" x14ac:dyDescent="0.2">
      <c r="A5588" s="5">
        <v>5527</v>
      </c>
      <c r="B5588" s="138">
        <f>'Revenues 9-14'!F109</f>
        <v>75459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129118</v>
      </c>
      <c r="D5615" s="2" t="str">
        <f t="shared" si="86"/>
        <v>Error?</v>
      </c>
    </row>
    <row r="5616" spans="1:4" x14ac:dyDescent="0.2">
      <c r="A5616" s="10">
        <v>5555</v>
      </c>
      <c r="D5616" s="2" t="str">
        <f t="shared" si="86"/>
        <v>OK</v>
      </c>
    </row>
    <row r="5617" spans="1:5" x14ac:dyDescent="0.2">
      <c r="A5617" s="5">
        <v>5556</v>
      </c>
      <c r="B5617" s="138">
        <f>'Revenues 9-14'!F153</f>
        <v>187740</v>
      </c>
      <c r="D5617" s="2" t="str">
        <f t="shared" si="86"/>
        <v>Error?</v>
      </c>
    </row>
    <row r="5618" spans="1:5" x14ac:dyDescent="0.2">
      <c r="A5618" s="5">
        <v>5557</v>
      </c>
      <c r="B5618" s="138">
        <f>'Revenues 9-14'!F155</f>
        <v>316858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316858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316858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392317</v>
      </c>
      <c r="C5720" s="2" t="s">
        <v>573</v>
      </c>
      <c r="D5720" s="2" t="str">
        <f t="shared" si="88"/>
        <v>Error?</v>
      </c>
    </row>
    <row r="5721" spans="1:4" x14ac:dyDescent="0.2">
      <c r="A5721" s="5">
        <v>5660</v>
      </c>
      <c r="B5721" s="138">
        <f>'Revenues 9-14'!G5</f>
        <v>110982</v>
      </c>
      <c r="D5721" s="2" t="str">
        <f t="shared" si="88"/>
        <v>Error?</v>
      </c>
    </row>
    <row r="5722" spans="1:4" x14ac:dyDescent="0.2">
      <c r="A5722" s="5">
        <v>5661</v>
      </c>
      <c r="B5722" s="138">
        <f>'Revenues 9-14'!G7</f>
        <v>0</v>
      </c>
      <c r="D5722" s="2" t="str">
        <f t="shared" si="88"/>
        <v>Error?</v>
      </c>
    </row>
    <row r="5723" spans="1:4" x14ac:dyDescent="0.2">
      <c r="A5723" s="5">
        <v>5662</v>
      </c>
      <c r="B5723" s="138">
        <f>'Revenues 9-14'!G8</f>
        <v>125898</v>
      </c>
      <c r="D5723" s="2" t="str">
        <f t="shared" si="88"/>
        <v>Error?</v>
      </c>
    </row>
    <row r="5724" spans="1:4" x14ac:dyDescent="0.2">
      <c r="A5724" s="5">
        <v>5663</v>
      </c>
      <c r="B5724" s="138">
        <f>'Revenues 9-14'!G11</f>
        <v>10401</v>
      </c>
      <c r="D5724" s="2" t="str">
        <f t="shared" si="88"/>
        <v>Error?</v>
      </c>
    </row>
    <row r="5725" spans="1:4" x14ac:dyDescent="0.2">
      <c r="A5725" s="5">
        <v>5664</v>
      </c>
      <c r="B5725" s="138">
        <f>'Revenues 9-14'!G12</f>
        <v>247281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4044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4044</v>
      </c>
      <c r="C5730" s="2" t="s">
        <v>573</v>
      </c>
      <c r="D5730" s="2" t="str">
        <f t="shared" si="88"/>
        <v>Error?</v>
      </c>
    </row>
    <row r="5731" spans="1:4" x14ac:dyDescent="0.2">
      <c r="A5731" s="5">
        <v>5670</v>
      </c>
      <c r="B5731" s="138">
        <f>'Revenues 9-14'!G65</f>
        <v>165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251490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39885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39885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39885</v>
      </c>
      <c r="C5915" s="2" t="s">
        <v>573</v>
      </c>
      <c r="D5915" s="2" t="str">
        <f t="shared" si="91"/>
        <v>Error?</v>
      </c>
    </row>
    <row r="5916" spans="1:4" x14ac:dyDescent="0.2">
      <c r="A5916" s="5">
        <v>5855</v>
      </c>
      <c r="B5916" s="138">
        <f>'Revenues 9-14'!I5</f>
        <v>2674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2674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3689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251490</v>
      </c>
      <c r="C6024" s="2" t="s">
        <v>573</v>
      </c>
      <c r="D6024" s="2" t="str">
        <f t="shared" si="93"/>
        <v>Error?</v>
      </c>
    </row>
    <row r="6025" spans="1:5" x14ac:dyDescent="0.2">
      <c r="A6025" s="5">
        <v>5964</v>
      </c>
      <c r="B6025" s="138">
        <f>'Revenues 9-14'!H109</f>
        <v>39885</v>
      </c>
      <c r="C6025" s="2" t="s">
        <v>573</v>
      </c>
      <c r="D6025" s="2" t="str">
        <f t="shared" si="93"/>
        <v>Error?</v>
      </c>
    </row>
    <row r="6026" spans="1:5" x14ac:dyDescent="0.2">
      <c r="A6026" s="5">
        <v>5965</v>
      </c>
      <c r="B6026" s="138">
        <f>'Revenues 9-14'!I109</f>
        <v>3689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93630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731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50000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19708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50000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19708</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19708</v>
      </c>
      <c r="D6216" s="2" t="str">
        <f t="shared" si="96"/>
        <v>Error?</v>
      </c>
      <c r="E6216" s="2" t="s">
        <v>190</v>
      </c>
    </row>
    <row r="6217" spans="1:5" x14ac:dyDescent="0.2">
      <c r="A6217">
        <v>6156</v>
      </c>
      <c r="B6217" s="138">
        <f>'Assets-Liab 5-6'!J4</f>
        <v>19708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99708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99708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99708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82949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82949</v>
      </c>
      <c r="D6229" s="2" t="str">
        <f t="shared" si="96"/>
        <v>Error?</v>
      </c>
      <c r="E6229" s="2" t="s">
        <v>190</v>
      </c>
    </row>
    <row r="6230" spans="1:5" x14ac:dyDescent="0.2">
      <c r="A6230">
        <v>6169</v>
      </c>
      <c r="B6230" s="138">
        <f>'Acct Summary 7-8'!J20</f>
        <v>16759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16759</v>
      </c>
      <c r="D6263" s="2" t="str">
        <f t="shared" si="96"/>
        <v>Error?</v>
      </c>
      <c r="E6263" s="2" t="s">
        <v>190</v>
      </c>
    </row>
    <row r="6264" spans="1:5" x14ac:dyDescent="0.2">
      <c r="A6264">
        <v>6203</v>
      </c>
      <c r="B6264" s="138">
        <f>'Acct Summary 7-8'!J79</f>
        <v>2949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19708</v>
      </c>
      <c r="D6266" s="2" t="str">
        <f t="shared" si="96"/>
        <v>Error?</v>
      </c>
      <c r="E6266" s="2" t="s">
        <v>190</v>
      </c>
    </row>
    <row r="6267" spans="1:5" x14ac:dyDescent="0.2">
      <c r="A6267">
        <v>6206</v>
      </c>
      <c r="B6267" s="138">
        <f>'Acct Summary 7-8'!C82</f>
        <v>776770</v>
      </c>
      <c r="D6267" s="2" t="str">
        <f t="shared" si="96"/>
        <v>Error?</v>
      </c>
      <c r="E6267" s="2" t="s">
        <v>190</v>
      </c>
    </row>
    <row r="6268" spans="1:5" x14ac:dyDescent="0.2">
      <c r="A6268">
        <v>6207</v>
      </c>
      <c r="B6268" s="138">
        <f>'Acct Summary 7-8'!D82</f>
        <v>26253</v>
      </c>
      <c r="D6268" s="2" t="str">
        <f t="shared" si="96"/>
        <v>Error?</v>
      </c>
      <c r="E6268" s="2" t="s">
        <v>190</v>
      </c>
    </row>
    <row r="6269" spans="1:5" x14ac:dyDescent="0.2">
      <c r="A6269">
        <v>6208</v>
      </c>
      <c r="B6269" s="138">
        <f>'Acct Summary 7-8'!E82</f>
        <v>-419104</v>
      </c>
      <c r="D6269" s="2" t="str">
        <f t="shared" si="96"/>
        <v>Error?</v>
      </c>
      <c r="E6269" s="2" t="s">
        <v>190</v>
      </c>
    </row>
    <row r="6270" spans="1:5" x14ac:dyDescent="0.2">
      <c r="A6270">
        <v>6209</v>
      </c>
      <c r="B6270" s="138">
        <f>'Acct Summary 7-8'!F82</f>
        <v>-118510</v>
      </c>
      <c r="D6270" s="2" t="str">
        <f t="shared" si="96"/>
        <v>Error?</v>
      </c>
      <c r="E6270" s="2" t="s">
        <v>190</v>
      </c>
    </row>
    <row r="6271" spans="1:5" x14ac:dyDescent="0.2">
      <c r="A6271">
        <v>6210</v>
      </c>
      <c r="B6271" s="138">
        <f>'Acct Summary 7-8'!G82</f>
        <v>-26974</v>
      </c>
      <c r="D6271" s="2" t="str">
        <f t="shared" ref="D6271:D6334" si="97">IF(ISBLANK(B6271),"OK",IF(A6271-B6271=0,"OK","Error?"))</f>
        <v>Error?</v>
      </c>
      <c r="E6271" s="2" t="s">
        <v>190</v>
      </c>
    </row>
    <row r="6272" spans="1:5" x14ac:dyDescent="0.2">
      <c r="A6272">
        <v>6211</v>
      </c>
      <c r="B6272" s="138">
        <f>'Acct Summary 7-8'!H82</f>
        <v>5100809</v>
      </c>
      <c r="D6272" s="2" t="str">
        <f t="shared" si="97"/>
        <v>Error?</v>
      </c>
      <c r="E6272" s="2" t="s">
        <v>190</v>
      </c>
    </row>
    <row r="6273" spans="1:5" x14ac:dyDescent="0.2">
      <c r="A6273">
        <v>6212</v>
      </c>
      <c r="B6273" s="138">
        <f>'Acct Summary 7-8'!I82</f>
        <v>3689</v>
      </c>
      <c r="D6273" s="2" t="str">
        <f t="shared" si="97"/>
        <v>Error?</v>
      </c>
      <c r="E6273" s="2" t="s">
        <v>190</v>
      </c>
    </row>
    <row r="6274" spans="1:5" x14ac:dyDescent="0.2">
      <c r="A6274">
        <v>6213</v>
      </c>
      <c r="B6274" s="138">
        <f>'Acct Summary 7-8'!J82</f>
        <v>16759</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0.45642200217643203</v>
      </c>
      <c r="D6276" s="2" t="str">
        <f t="shared" si="97"/>
        <v>Error?</v>
      </c>
      <c r="E6276" s="2" t="s">
        <v>190</v>
      </c>
    </row>
    <row r="6277" spans="1:5" x14ac:dyDescent="0.2">
      <c r="A6277">
        <v>6216</v>
      </c>
      <c r="B6277" s="138">
        <f>'Acct Summary 7-8'!D83</f>
        <v>0.19477542177971005</v>
      </c>
      <c r="D6277" s="2" t="str">
        <f t="shared" si="97"/>
        <v>Error?</v>
      </c>
      <c r="E6277" s="2" t="s">
        <v>190</v>
      </c>
    </row>
    <row r="6278" spans="1:5" x14ac:dyDescent="0.2">
      <c r="A6278">
        <v>6217</v>
      </c>
      <c r="B6278" s="138">
        <f>'Acct Summary 7-8'!E83</f>
        <v>-2.0330544034538796</v>
      </c>
      <c r="D6278" s="2" t="str">
        <f t="shared" si="97"/>
        <v>Error?</v>
      </c>
      <c r="E6278" s="2" t="s">
        <v>190</v>
      </c>
    </row>
    <row r="6279" spans="1:5" x14ac:dyDescent="0.2">
      <c r="A6279">
        <v>6218</v>
      </c>
      <c r="B6279" s="138">
        <f>'Acct Summary 7-8'!F83</f>
        <v>-0.15943914445582025</v>
      </c>
      <c r="D6279" s="2" t="str">
        <f t="shared" si="97"/>
        <v>Error?</v>
      </c>
      <c r="E6279" s="2" t="s">
        <v>190</v>
      </c>
    </row>
    <row r="6280" spans="1:5" x14ac:dyDescent="0.2">
      <c r="A6280">
        <v>6219</v>
      </c>
      <c r="B6280" s="138">
        <f>'Acct Summary 7-8'!G83</f>
        <v>-0.1833282359737656</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1.9496855345911949E-2</v>
      </c>
      <c r="D6282" s="2" t="str">
        <f t="shared" si="97"/>
        <v>Error?</v>
      </c>
      <c r="E6282" s="2" t="s">
        <v>190</v>
      </c>
    </row>
    <row r="6283" spans="1:5" x14ac:dyDescent="0.2">
      <c r="A6283">
        <v>6222</v>
      </c>
      <c r="B6283" s="138">
        <f>'Acct Summary 7-8'!J83</f>
        <v>0.8503653338745687</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95776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95776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42949</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3911</v>
      </c>
      <c r="D6350" s="2" t="str">
        <f t="shared" si="98"/>
        <v>Error?</v>
      </c>
      <c r="E6350" s="2" t="s">
        <v>190</v>
      </c>
    </row>
    <row r="6351" spans="1:5" x14ac:dyDescent="0.2">
      <c r="A6351">
        <v>6290</v>
      </c>
      <c r="B6351" s="138">
        <f>'Revenues 9-14'!J108</f>
        <v>3911</v>
      </c>
      <c r="D6351" s="2" t="str">
        <f t="shared" si="98"/>
        <v>Error?</v>
      </c>
      <c r="E6351" s="2" t="s">
        <v>190</v>
      </c>
    </row>
    <row r="6352" spans="1:5" x14ac:dyDescent="0.2">
      <c r="A6352">
        <v>6291</v>
      </c>
      <c r="B6352" s="138">
        <f>'Revenues 9-14'!J109</f>
        <v>99708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699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699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699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129082</v>
      </c>
      <c r="D6993" s="2" t="str">
        <f t="shared" si="108"/>
        <v>Error?</v>
      </c>
    </row>
    <row r="6994" spans="1:4" x14ac:dyDescent="0.2">
      <c r="A6994">
        <v>6933</v>
      </c>
      <c r="B6994" s="138">
        <f>'Expenditures 15-22'!K91</f>
        <v>129082</v>
      </c>
      <c r="D6994" s="2" t="str">
        <f t="shared" si="108"/>
        <v>Error?</v>
      </c>
    </row>
    <row r="6995" spans="1:4" x14ac:dyDescent="0.2">
      <c r="A6995">
        <v>6934</v>
      </c>
      <c r="B6995" s="138">
        <f>'Expenditures 15-22'!H92</f>
        <v>129082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699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82949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99708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73979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73979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8970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8970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82949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82949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82949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82949</v>
      </c>
      <c r="D7224" s="2" t="str">
        <f t="shared" si="111"/>
        <v>Error?</v>
      </c>
    </row>
    <row r="7225" spans="1:4" x14ac:dyDescent="0.2">
      <c r="A7225">
        <v>7164</v>
      </c>
      <c r="B7225" s="138">
        <f>'Expenditures 15-22'!K343</f>
        <v>16759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699</v>
      </c>
      <c r="D7624" s="2" t="str">
        <f t="shared" si="124"/>
        <v>Error?</v>
      </c>
      <c r="E7624" s="2" t="s">
        <v>19</v>
      </c>
    </row>
    <row r="7625" spans="1:5" x14ac:dyDescent="0.2">
      <c r="A7625">
        <f t="shared" si="123"/>
        <v>7564</v>
      </c>
      <c r="B7625" s="138">
        <f>'Cap Outlay Deprec 26'!I17</f>
        <v>69.900000000000006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262110.9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20180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350588</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0.1</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t="e">
        <f>'Contracts Paid in CY 29'!G142</f>
        <v>#VALUE!</v>
      </c>
      <c r="D7799" s="2" t="e">
        <f t="shared" si="127"/>
        <v>#VALUE!</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Gavin SD 37</v>
      </c>
      <c r="B7" s="2407"/>
      <c r="C7" s="2407"/>
      <c r="D7" s="2408"/>
      <c r="E7" s="2409">
        <f>COVER!A13</f>
        <v>34049037002</v>
      </c>
      <c r="F7" s="2410"/>
      <c r="G7" s="2416" t="str">
        <f>COVER!T23</f>
        <v>066-005340</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EVANS, MARSHALL AND PEASE, P.C.</v>
      </c>
      <c r="H9" s="2422"/>
      <c r="I9" s="2422"/>
      <c r="J9" s="2422"/>
      <c r="K9" s="2422"/>
      <c r="L9" s="2423"/>
    </row>
    <row r="10" spans="1:29" ht="13.5" customHeight="1" x14ac:dyDescent="0.2">
      <c r="A10" s="2396">
        <f>COVER!A38</f>
        <v>0</v>
      </c>
      <c r="B10" s="2397"/>
      <c r="C10" s="2397"/>
      <c r="D10" s="2397"/>
      <c r="E10" s="2397"/>
      <c r="F10" s="2398"/>
      <c r="G10" s="2390" t="str">
        <f>COVER!T17</f>
        <v>1875 HICKS ROAD</v>
      </c>
      <c r="H10" s="2391"/>
      <c r="I10" s="2391"/>
      <c r="J10" s="2391"/>
      <c r="K10" s="2391"/>
      <c r="L10" s="2392"/>
    </row>
    <row r="11" spans="1:29" ht="13.5" customHeight="1" x14ac:dyDescent="0.2">
      <c r="A11" s="1184" t="s">
        <v>1519</v>
      </c>
      <c r="B11" s="1185"/>
      <c r="C11" s="1186"/>
      <c r="D11" s="1191"/>
      <c r="E11" s="1186"/>
      <c r="F11" s="1190"/>
      <c r="G11" s="2390" t="str">
        <f>COVER!T19</f>
        <v>ROLLING MEADOWS</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JEFF@EMPCPA.COM</v>
      </c>
      <c r="J13" s="2403"/>
      <c r="K13" s="2403"/>
      <c r="L13" s="2404"/>
    </row>
    <row r="14" spans="1:29" ht="13.5" customHeight="1" x14ac:dyDescent="0.2">
      <c r="A14" s="2390" t="str">
        <f>COVER!A19</f>
        <v>25775 W. HIGHWAY 134</v>
      </c>
      <c r="B14" s="2391"/>
      <c r="C14" s="2391"/>
      <c r="D14" s="2391"/>
      <c r="E14" s="2391"/>
      <c r="F14" s="2392"/>
      <c r="G14" s="1195" t="s">
        <v>1185</v>
      </c>
      <c r="H14" s="1193"/>
      <c r="I14" s="1193"/>
      <c r="J14" s="1193"/>
      <c r="K14" s="1193"/>
      <c r="L14" s="1194"/>
    </row>
    <row r="15" spans="1:29" ht="13.5" customHeight="1" x14ac:dyDescent="0.2">
      <c r="A15" s="2390" t="str">
        <f>COVER!A21</f>
        <v>INGLESIDE</v>
      </c>
      <c r="B15" s="2391"/>
      <c r="C15" s="2391"/>
      <c r="D15" s="2391"/>
      <c r="E15" s="2391"/>
      <c r="F15" s="2392"/>
      <c r="G15" s="2387" t="str">
        <f>COVER!T15</f>
        <v>JEFFERY M. ROLLEFSON</v>
      </c>
      <c r="H15" s="2388"/>
      <c r="I15" s="2388"/>
      <c r="J15" s="2388"/>
      <c r="K15" s="2388"/>
      <c r="L15" s="2389"/>
    </row>
    <row r="16" spans="1:29" ht="12.2" customHeight="1" x14ac:dyDescent="0.2">
      <c r="A16" s="2412">
        <f>COVER!A25</f>
        <v>60041</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847-221-5700</v>
      </c>
      <c r="H18" s="2407"/>
      <c r="I18" s="2407"/>
      <c r="J18" s="2407"/>
      <c r="K18" s="2406" t="str">
        <f>COVER!X21</f>
        <v>847-221-5701</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Gavin SD 37</v>
      </c>
      <c r="B1" s="2405"/>
      <c r="C1" s="2405"/>
      <c r="D1" s="2405"/>
    </row>
    <row r="2" spans="1:11" s="1212" customFormat="1" ht="12.75" x14ac:dyDescent="0.2">
      <c r="A2" s="2429">
        <f>'Single Audit Cover'!E7</f>
        <v>34049037002</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Gavin SD 37</v>
      </c>
      <c r="B1" s="2432"/>
      <c r="C1" s="2432"/>
      <c r="D1" s="2432"/>
      <c r="E1" s="2432"/>
    </row>
    <row r="2" spans="1:5" x14ac:dyDescent="0.2">
      <c r="A2" s="2433">
        <f>'Single Audit Cover'!E7</f>
        <v>34049037002</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643865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-36553</v>
      </c>
    </row>
    <row r="19" spans="1:4" ht="13.5" thickBot="1" x14ac:dyDescent="0.25">
      <c r="A19" s="1262" t="s">
        <v>1235</v>
      </c>
      <c r="D19" s="1263">
        <f>SUM(D10:D17)</f>
        <v>607312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607312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607312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Gavin SD 37</v>
      </c>
      <c r="C1" s="2436"/>
      <c r="D1" s="2436"/>
      <c r="E1" s="2436"/>
      <c r="F1" s="2436"/>
      <c r="G1" s="2436"/>
      <c r="H1" s="2436"/>
      <c r="I1" s="2436"/>
      <c r="J1" s="2436"/>
      <c r="K1" s="2436"/>
      <c r="L1" s="2436"/>
      <c r="M1" s="2436"/>
    </row>
    <row r="2" spans="2:14" ht="15" x14ac:dyDescent="0.2">
      <c r="B2" s="2437">
        <f>'Single Audit Cover'!E7</f>
        <v>34049037002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Gavin SD 37</v>
      </c>
      <c r="B1" s="2449"/>
      <c r="C1" s="2449"/>
      <c r="D1" s="2449"/>
      <c r="E1" s="2449"/>
      <c r="F1" s="2449"/>
    </row>
    <row r="2" spans="1:7" ht="13.5" customHeight="1" x14ac:dyDescent="0.2">
      <c r="A2" s="2437">
        <f>'Single Audit Cover'!E7</f>
        <v>34049037002</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Gavin SD 37</v>
      </c>
      <c r="C1" s="2464"/>
      <c r="D1" s="2464"/>
      <c r="E1" s="2464"/>
      <c r="F1" s="2464"/>
      <c r="G1" s="2464"/>
      <c r="H1" s="2464"/>
      <c r="I1" s="2464"/>
      <c r="J1" s="1406"/>
    </row>
    <row r="2" spans="2:10" s="317" customFormat="1" ht="12.75" customHeight="1" x14ac:dyDescent="0.2">
      <c r="B2" s="2465">
        <f>'Single Audit Cover'!E7</f>
        <v>34049037002</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2062</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Gavin SD 37</v>
      </c>
      <c r="C1" s="2463"/>
      <c r="D1" s="2463"/>
      <c r="E1" s="2463"/>
      <c r="F1" s="2463"/>
      <c r="G1" s="2463"/>
      <c r="H1" s="2463"/>
      <c r="I1" s="2463"/>
      <c r="J1" s="2463"/>
      <c r="K1" s="2463"/>
      <c r="L1" s="1371"/>
      <c r="M1" s="1371"/>
    </row>
    <row r="2" spans="1:13" ht="12" customHeight="1" x14ac:dyDescent="0.2">
      <c r="B2" s="2465">
        <f>'Single Audit Cover'!E7</f>
        <v>34049037002</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Gavin SD 37</v>
      </c>
      <c r="C1" s="2486"/>
      <c r="D1" s="2486"/>
      <c r="E1" s="2486"/>
      <c r="F1" s="2486"/>
      <c r="G1" s="2486"/>
      <c r="H1" s="2486"/>
      <c r="I1" s="2486"/>
      <c r="J1" s="2486"/>
      <c r="K1" s="2486"/>
      <c r="L1" s="1449"/>
    </row>
    <row r="2" spans="1:12" ht="12.75" customHeight="1" x14ac:dyDescent="0.2">
      <c r="B2" s="2487">
        <f>'Single Audit Cover'!E7</f>
        <v>34049037002</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Gavin SD 37</v>
      </c>
      <c r="C1" s="2463"/>
      <c r="D1" s="2463"/>
      <c r="E1" s="1469"/>
    </row>
    <row r="2" spans="2:5" s="1279" customFormat="1" ht="12.75" customHeight="1" x14ac:dyDescent="0.2">
      <c r="B2" s="2465">
        <f>'Single Audit Cover'!E7</f>
        <v>34049037002</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6ce3111e-7420-4802-b50a-75d4e9a0b980"/>
    <ds:schemaRef ds:uri="http://purl.org/dc/elements/1.1/"/>
    <ds:schemaRef ds:uri="http://purl.org/dc/dcmitype/"/>
    <ds:schemaRef ds:uri="http://purl.org/dc/terms/"/>
    <ds:schemaRef ds:uri="http://schemas.microsoft.com/office/2006/metadata/properties"/>
    <ds:schemaRef ds:uri="4d435f69-8686-490b-bd6d-b153bf22ab50"/>
    <ds:schemaRef ds:uri="http://schemas.microsoft.com/sharepoint/v3"/>
    <ds:schemaRef ds:uri="http://schemas.microsoft.com/office/infopath/2007/PartnerControls"/>
    <ds:schemaRef ds:uri="http://schemas.openxmlformats.org/package/2006/metadata/core-properties"/>
    <ds:schemaRef ds:uri="d21dc803-237d-4c68-8692-8d731fd29118"/>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2019-11-27T17:39:56Z</cp:lastPrinted>
  <dcterms:created xsi:type="dcterms:W3CDTF">2003-10-29T19:06:34Z</dcterms:created>
  <dcterms:modified xsi:type="dcterms:W3CDTF">2019-12-30T15:06:13Z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140</vt:lpwstr>
  </property>
  <property fmtid="{D5CDD505-2E9C-101B-9397-08002B2CF9AE}" pid="6" name="workpaperIndex">
    <vt:lpwstr/>
  </property>
</Properties>
</file>