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EE861BB-74E5-47BB-8C0F-A944EBAC143E}"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I10" i="11"/>
  <c r="I8" i="11"/>
  <c r="E8" i="7"/>
  <c r="C8"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G28" i="108"/>
  <c r="G29" i="108"/>
  <c r="D31"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J41" i="3" l="1"/>
  <c r="C342" i="29"/>
  <c r="B7216" i="106" s="1"/>
  <c r="D7216" i="106" s="1"/>
  <c r="L5" i="11"/>
  <c r="B2056" i="106" s="1"/>
  <c r="D2056" i="106" s="1"/>
  <c r="F50" i="34"/>
  <c r="D36" i="108"/>
  <c r="F36" i="108"/>
  <c r="B1124" i="106"/>
  <c r="D1124" i="106" s="1"/>
  <c r="L367" i="29"/>
  <c r="F46" i="34"/>
  <c r="E38" i="108"/>
  <c r="B6995" i="106"/>
  <c r="D6995" i="106" s="1"/>
  <c r="B1274" i="106"/>
  <c r="D1274" i="106" s="1"/>
  <c r="F42" i="34"/>
  <c r="F28" i="108"/>
  <c r="D6103" i="106"/>
  <c r="J210" i="29"/>
  <c r="B7072" i="106" s="1"/>
  <c r="D7072" i="106" s="1"/>
  <c r="F77" i="4"/>
  <c r="B3255" i="106" s="1"/>
  <c r="D3255" i="106" s="1"/>
  <c r="K76" i="4"/>
  <c r="B3586" i="106" s="1"/>
  <c r="D3586" i="106" s="1"/>
  <c r="G15" i="145"/>
  <c r="F19" i="7"/>
  <c r="B1807" i="106" s="1"/>
  <c r="D1807" i="106" s="1"/>
  <c r="B3647" i="106"/>
  <c r="D3647" i="106" s="1"/>
  <c r="E29" i="108"/>
  <c r="G30" i="108"/>
  <c r="C352" i="29"/>
  <c r="C129" i="29"/>
  <c r="J352" i="29"/>
  <c r="J367" i="29" s="1"/>
  <c r="B7245" i="106" s="1"/>
  <c r="D7245" i="106" s="1"/>
  <c r="H342" i="29"/>
  <c r="J129" i="29"/>
  <c r="B7038" i="106" s="1"/>
  <c r="D7038" i="106" s="1"/>
  <c r="I210" i="29"/>
  <c r="B7071" i="106" s="1"/>
  <c r="D7071" i="106" s="1"/>
  <c r="H112" i="29"/>
  <c r="B7018" i="106" s="1"/>
  <c r="D7018" i="106" s="1"/>
  <c r="K184" i="29"/>
  <c r="F13" i="4" s="1"/>
  <c r="B2596" i="106" s="1"/>
  <c r="D2596" i="106" s="1"/>
  <c r="G210" i="29"/>
  <c r="J77" i="4"/>
  <c r="B6262" i="106" s="1"/>
  <c r="D6262"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7254" i="106" l="1"/>
  <c r="K342" i="29"/>
  <c r="F13" i="34" s="1"/>
  <c r="B1365" i="106"/>
  <c r="D1365" i="106" s="1"/>
  <c r="F65" i="34"/>
  <c r="D7251" i="106"/>
  <c r="F41" i="108"/>
  <c r="G43" i="108" s="1"/>
  <c r="D44" i="36"/>
  <c r="D41" i="108"/>
  <c r="E43" i="108" s="1"/>
  <c r="L16" i="11"/>
  <c r="B2061" i="106" s="1"/>
  <c r="D2061" i="106" s="1"/>
  <c r="G6" i="4"/>
  <c r="B2604" i="106" s="1"/>
  <c r="D2604" i="106" s="1"/>
  <c r="B5770" i="106"/>
  <c r="D5770" i="106" s="1"/>
  <c r="L114" i="29"/>
  <c r="C114" i="29"/>
  <c r="B757" i="106" s="1"/>
  <c r="D757" i="106" s="1"/>
  <c r="K365" i="29"/>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F24" i="37"/>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8" i="4" l="1"/>
  <c r="F10" i="4" s="1"/>
  <c r="B4125" i="106" s="1"/>
  <c r="D4125" i="106" s="1"/>
  <c r="J20" i="4"/>
  <c r="B6227" i="106"/>
  <c r="D6227" i="106"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<sst xmlns="http://schemas.openxmlformats.org/spreadsheetml/2006/main" count="5081" uniqueCount="2100">
  <si>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</si>
  <si>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</si>
  <si>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</si>
  <si>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</si>
  <si>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</si>
  <si>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</si>
  <si>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</si>
  <si>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</si>
  <si>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</si>
  <si>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</si>
  <si>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</si>
  <si>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</si>
  <si>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</si>
  <si>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</si>
  <si>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</si>
  <si>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</si>
  <si>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</si>
  <si>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</si>
  <si>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</si>
  <si>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</si>
  <si>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</si>
  <si>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</si>
  <si>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</si>
  <si>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</si>
  <si>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</si>
  <si>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</si>
  <si>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</si>
  <si>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</si>
  <si>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</si>
  <si>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</si>
  <si>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</si>
  <si>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</si>
  <si>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</si>
  <si>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</si>
  <si>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</si>
  <si>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</si>
  <si>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</si>
  <si>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</si>
  <si>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</si>
  <si>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</si>
  <si>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</si>
  <si>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</si>
  <si>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</si>
  <si>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</si>
  <si>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</si>
  <si>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</si>
  <si>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</si>
  <si>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</si>
  <si>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</si>
  <si>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</si>
  <si>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</si>
  <si>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</si>
  <si>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</si>
  <si>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</si>
  <si>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</si>
  <si>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</si>
  <si>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</si>
  <si>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</si>
  <si>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</si>
  <si>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</si>
  <si>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</si>
  <si>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</si>
  <si>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</si>
  <si>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</si>
  <si>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</si>
  <si>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</si>
  <si>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</si>
  <si>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</si>
  <si>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</si>
  <si>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</si>
  <si>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</si>
  <si>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</si>
  <si>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</si>
  <si>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</si>
  <si>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</si>
  <si>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</si>
  <si>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</si>
  <si>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</si>
  <si>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</si>
  <si>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</si>
  <si>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</si>
  <si>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</si>
  <si>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</si>
  <si>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</si>
  <si>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</si>
  <si>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</si>
  <si>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</si>
  <si>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</si>
  <si>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</si>
  <si>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</si>
  <si>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</si>
  <si>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</si>
  <si>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</si>
  <si>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</si>
  <si>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</si>
  <si>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</si>
  <si>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</si>
  <si>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</si>
  <si>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</si>
  <si>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</si>
  <si>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</si>
  <si>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</si>
  <si>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</si>
  <si>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</si>
  <si>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</si>
  <si>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</si>
  <si>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</si>
  <si>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</si>
  <si>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</si>
  <si>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</si>
  <si>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</si>
  <si>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</si>
  <si>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</si>
  <si>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</si>
  <si>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</si>
  <si>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</si>
  <si>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</si>
  <si>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</si>
  <si>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</si>
  <si>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</si>
  <si>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</si>
  <si>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</si>
  <si>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</si>
  <si>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</si>
  <si>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</si>
  <si>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</si>
  <si>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</si>
  <si>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</si>
  <si>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</si>
  <si>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</si>
  <si>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</si>
  <si>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</si>
  <si>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</si>
  <si>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</si>
  <si>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</si>
  <si>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</si>
  <si>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</si>
  <si>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</si>
  <si>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</si>
  <si>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</si>
  <si>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</si>
  <si>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</si>
  <si>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</si>
  <si>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</si>
  <si>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</si>
  <si>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</si>
  <si>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</si>
  <si>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</si>
  <si>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</si>
  <si>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</si>
  <si>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</si>
  <si>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</si>
  <si>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</si>
  <si>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</si>
  <si>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</si>
  <si>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</si>
  <si>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</si>
  <si>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</si>
  <si>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</si>
  <si>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</si>
  <si>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</si>
  <si>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</si>
  <si>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</si>
  <si>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</si>
  <si>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</si>
  <si>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</si>
  <si>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</si>
  <si>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</si>
  <si>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</si>
  <si>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</si>
  <si>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</si>
  <si>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</si>
  <si>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</si>
  <si>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</si>
  <si>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</si>
  <si>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</si>
  <si>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</si>
  <si>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</si>
  <si>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</si>
  <si>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</si>
  <si>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</si>
  <si>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</si>
  <si>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</si>
  <si>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</si>
  <si>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</si>
  <si>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</si>
  <si>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</si>
  <si>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</si>
  <si>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</si>
  <si>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</si>
  <si>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</si>
  <si>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</si>
  <si>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</si>
  <si>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</si>
  <si>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</si>
  <si>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</si>
  <si>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</si>
  <si>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</si>
  <si>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</si>
  <si>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</si>
  <si>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</si>
  <si>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</si>
  <si>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</si>
  <si>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</si>
  <si>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</si>
  <si>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</si>
  <si>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</si>
  <si>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</si>
  <si>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</si>
  <si>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</si>
  <si>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</si>
  <si>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</si>
  <si>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</si>
  <si>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</si>
  <si>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</si>
  <si>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</si>
  <si>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</si>
  <si>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</si>
  <si>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</si>
  <si>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</si>
  <si>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</si>
  <si>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</si>
  <si>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</si>
  <si>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</si>
  <si>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</si>
  <si>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</si>
  <si>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</si>
  <si>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</si>
  <si>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</si>
  <si>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</si>
  <si>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</si>
  <si>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</si>
  <si>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</si>
  <si>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</si>
  <si>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</si>
  <si>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</si>
  <si>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</si>
  <si>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</si>
  <si>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</si>
  <si>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</si>
  <si>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</si>
  <si>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</si>
  <si>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</si>
  <si>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</si>
  <si>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</si>
  <si>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</si>
  <si>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</si>
  <si>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</si>
  <si>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</si>
  <si>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</si>
  <si>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</si>
  <si>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</si>
  <si>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</si>
  <si>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</si>
  <si>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</si>
  <si>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</si>
  <si>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</si>
  <si>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</si>
  <si>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</si>
  <si>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</si>
  <si>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</si>
  <si>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</si>
  <si>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</si>
  <si>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</si>
  <si>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</si>
  <si>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</si>
  <si>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</si>
  <si>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</si>
  <si>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</si>
  <si>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</si>
  <si>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</si>
  <si>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</si>
  <si>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</si>
  <si>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</si>
  <si>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</si>
  <si>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</si>
  <si>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</si>
  <si>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</si>
  <si>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</si>
  <si>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</si>
  <si>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</si>
  <si>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</si>
  <si>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</si>
  <si>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</si>
  <si>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</si>
  <si>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</si>
  <si>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</si>
  <si>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</si>
  <si>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</si>
  <si>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</si>
  <si>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</si>
  <si>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</si>
  <si>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</si>
  <si>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</si>
  <si>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</si>
  <si>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</si>
  <si>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</si>
  <si>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</si>
  <si>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</si>
  <si>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</si>
  <si>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</si>
  <si>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</si>
  <si>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</si>
  <si>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</si>
  <si>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</si>
  <si>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</si>
  <si>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</si>
  <si>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</si>
  <si>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</si>
  <si>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</si>
  <si>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</si>
  <si>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</si>
  <si>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</si>
  <si>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</si>
  <si>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</si>
  <si>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</si>
  <si>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</si>
  <si>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</si>
  <si>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</si>
  <si>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</si>
  <si>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</si>
  <si>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</si>
  <si>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</si>
  <si>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</si>
  <si>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</si>
  <si>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</si>
  <si>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</si>
  <si>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</si>
  <si>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</si>
  <si>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</si>
  <si>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</si>
  <si>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</si>
  <si>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</si>
  <si>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</si>
  <si>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</si>
  <si>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</si>
  <si>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</si>
  <si>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</si>
  <si>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</si>
  <si>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</si>
  <si>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</si>
  <si>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</si>
  <si>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</si>
  <si>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</si>
  <si>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</si>
  <si>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</si>
  <si>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</si>
  <si>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</si>
  <si>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</si>
  <si>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</si>
  <si>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</si>
  <si>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</si>
  <si>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</si>
  <si>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</si>
  <si>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</si>
  <si>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</si>
  <si>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</si>
  <si>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</si>
  <si>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</si>
  <si>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</si>
  <si>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</si>
  <si>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</si>
  <si>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</si>
  <si>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</si>
  <si>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</si>
  <si>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</si>
  <si>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</si>
  <si>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</si>
  <si>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</si>
  <si>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</si>
  <si>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</si>
  <si>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</si>
  <si>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</si>
  <si>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</si>
  <si>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</si>
  <si>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</si>
  <si>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</si>
  <si>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</si>
  <si>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</si>
  <si>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</si>
  <si>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</si>
  <si>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</si>
  <si>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</si>
  <si>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</si>
  <si>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</si>
  <si>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</si>
  <si>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</si>
  <si>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</si>
  <si>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</si>
  <si>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</si>
  <si>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</si>
  <si>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</si>
  <si>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</si>
  <si>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</si>
  <si>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</si>
  <si>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</si>
  <si>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</si>
  <si>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</si>
  <si>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</si>
  <si>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</si>
  <si>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</si>
  <si>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</si>
  <si>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</si>
  <si>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</si>
  <si>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</si>
  <si>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</si>
  <si>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</si>
  <si>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</si>
  <si>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</si>
  <si>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</si>
  <si>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</si>
  <si>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</si>
  <si>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</si>
  <si>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</si>
  <si>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</si>
  <si>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</si>
  <si>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</si>
  <si>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</si>
  <si>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</si>
  <si>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</si>
  <si>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</si>
  <si>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</si>
  <si>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</si>
  <si>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</si>
  <si>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</si>
  <si>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</si>
  <si>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</si>
  <si>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</si>
  <si>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</si>
  <si>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</si>
  <si>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</si>
  <si>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</si>
  <si>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</si>
  <si>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</si>
  <si>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</si>
  <si>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</si>
  <si>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</si>
  <si>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</si>
  <si>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</si>
  <si>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</si>
  <si>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</si>
  <si>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</si>
  <si>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</si>
  <si>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</si>
  <si>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</si>
  <si>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</si>
  <si>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</si>
  <si>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</si>
  <si>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</si>
  <si>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</si>
  <si>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</si>
  <si>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</si>
  <si>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</si>
  <si>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</si>
  <si>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</si>
  <si>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</si>
  <si>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</si>
  <si>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</si>
  <si>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</si>
  <si>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</si>
  <si>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</si>
  <si>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</si>
  <si>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</si>
  <si>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</si>
  <si>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</si>
  <si>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</si>
  <si>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</si>
  <si>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</si>
  <si>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</si>
  <si>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</si>
  <si>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</si>
  <si>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</si>
  <si>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</si>
  <si>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</si>
  <si>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</si>
  <si>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</si>
  <si>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</si>
  <si>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</si>
  <si>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</si>
  <si>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</si>
  <si>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</si>
  <si>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</si>
  <si>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</si>
  <si>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</si>
  <si>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</si>
  <si>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</si>
  <si>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</si>
  <si>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</si>
  <si>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</si>
  <si>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</si>
  <si>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</si>
  <si>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</si>
  <si>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</si>
  <si>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</si>
  <si>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</si>
  <si>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</si>
  <si>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</si>
  <si>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</si>
  <si>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</si>
  <si>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</si>
  <si>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</si>
  <si>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</si>
  <si>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</si>
  <si>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</si>
  <si>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</si>
  <si>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</si>
  <si>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</si>
  <si>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</si>
  <si>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</si>
  <si>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</si>
  <si>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</si>
  <si>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</si>
  <si>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</si>
  <si>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</si>
  <si>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</si>
  <si>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</si>
  <si>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</si>
  <si>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</si>
  <si>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</si>
  <si>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</si>
  <si>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</si>
  <si>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</si>
  <si>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</si>
  <si>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</si>
  <si>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</si>
  <si>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</si>
  <si>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</si>
  <si>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</si>
  <si>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</si>
  <si>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</si>
  <si>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</si>
  <si>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</si>
  <si>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</si>
  <si>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</si>
  <si>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</si>
  <si>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</si>
  <si>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</si>
  <si>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</si>
  <si>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</si>
  <si>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</si>
  <si>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</si>
  <si>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</si>
  <si>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</si>
  <si>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</si>
  <si>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</si>
  <si>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</si>
  <si>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</si>
  <si>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</si>
  <si>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</si>
  <si>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</si>
  <si>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</si>
  <si>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</si>
  <si>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</si>
  <si>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</si>
  <si>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</si>
  <si>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</si>
  <si>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</si>
  <si>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</si>
  <si>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</si>
  <si>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</si>
  <si>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</si>
  <si>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</si>
  <si>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</si>
  <si>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</si>
  <si>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</si>
  <si>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</si>
  <si>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</si>
  <si>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</si>
  <si>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</si>
  <si>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</si>
  <si>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</si>
  <si>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</si>
  <si>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</si>
  <si>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</si>
  <si>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</si>
  <si>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</si>
  <si>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</si>
  <si>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</si>
  <si>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</si>
  <si>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</si>
  <si>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</si>
  <si>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</si>
  <si>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</si>
  <si>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</si>
  <si>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</si>
  <si>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</si>
  <si>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</si>
  <si>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</si>
  <si>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</si>
  <si>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</si>
  <si>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</si>
  <si>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</si>
  <si>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</si>
  <si>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</si>
  <si>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</si>
  <si>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</si>
  <si>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</si>
  <si>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</si>
  <si>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</si>
  <si>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</si>
  <si>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</si>
  <si>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</si>
  <si>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</si>
  <si>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</si>
  <si>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</si>
  <si>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</si>
  <si>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</si>
  <si>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</si>
  <si>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</si>
  <si>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</si>
  <si>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</si>
  <si>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</si>
  <si>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</si>
  <si>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</si>
  <si>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</si>
  <si>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</si>
  <si>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</si>
  <si>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</si>
  <si>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</si>
  <si>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</si>
  <si>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</si>
  <si>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</si>
  <si>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</si>
  <si>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</si>
  <si>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</si>
  <si>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</si>
  <si>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</si>
  <si>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</si>
  <si>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</si>
  <si>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</si>
  <si>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</si>
  <si>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</si>
  <si>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</si>
  <si>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</si>
  <si>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</si>
  <si>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</si>
  <si>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</si>
  <si>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</si>
  <si>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</si>
  <si>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</si>
  <si>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</si>
  <si>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</si>
  <si>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</si>
  <si>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</si>
  <si>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</si>
  <si>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</si>
  <si>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</si>
  <si>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</si>
  <si>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</si>
  <si>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</si>
  <si>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</si>
  <si>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</si>
  <si>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</si>
  <si>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</si>
  <si>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</si>
  <si>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</si>
  <si>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</si>
  <si>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</si>
  <si>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</si>
  <si>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</si>
  <si>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</si>
  <si>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</si>
  <si>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</si>
  <si>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</si>
  <si>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</si>
  <si>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</si>
  <si>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</si>
  <si>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</si>
  <si>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</si>
  <si>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</si>
  <si>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</si>
  <si>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</si>
  <si>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</si>
  <si>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</si>
  <si>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</si>
  <si>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</si>
  <si>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</si>
  <si>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</si>
  <si>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</si>
  <si>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</si>
  <si>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</si>
  <si>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</si>
  <si>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</si>
  <si>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</si>
  <si>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</si>
  <si>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</si>
  <si>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</si>
  <si>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</si>
  <si>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</si>
  <si>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</si>
  <si>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</si>
  <si>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</si>
  <si>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</si>
  <si>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</si>
  <si>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</si>
  <si>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</si>
  <si>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</si>
  <si>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</si>
  <si>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</si>
  <si>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</si>
  <si>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</si>
  <si>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</si>
  <si>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</si>
  <si>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</si>
  <si>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</si>
  <si>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</si>
  <si>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</si>
  <si>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</si>
  <si>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</si>
  <si>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</si>
  <si>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</si>
  <si>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</si>
  <si>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</si>
  <si>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</si>
  <si>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</si>
  <si>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</si>
  <si>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</si>
  <si>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</si>
  <si>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</si>
  <si>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</si>
  <si>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</si>
  <si>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</si>
  <si>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</si>
  <si>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</si>
  <si>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</si>
  <si>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</si>
  <si>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</si>
  <si>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</si>
  <si>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</si>
  <si>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</si>
  <si>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</si>
  <si>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</si>
  <si>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</si>
  <si>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</si>
  <si>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</si>
  <si>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</si>
  <si>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</si>
  <si>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</si>
  <si>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</si>
  <si>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</si>
  <si>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</si>
  <si>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</si>
  <si>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</si>
  <si>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</si>
  <si>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</si>
  <si>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</si>
  <si>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</si>
  <si>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</si>
  <si>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</si>
  <si>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</si>
  <si>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</si>
  <si>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</si>
  <si>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</si>
  <si>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</si>
  <si>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</si>
  <si>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</si>
  <si>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</si>
  <si>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</si>
  <si>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</si>
  <si>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</si>
  <si>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</si>
  <si>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</si>
  <si>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</si>
  <si>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</si>
  <si>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</si>
  <si>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</si>
  <si>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</si>
  <si>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</si>
  <si>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</si>
  <si>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</si>
  <si>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</si>
  <si>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</si>
  <si>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</si>
  <si>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</si>
  <si>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</si>
  <si>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</si>
  <si>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</si>
  <si>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</si>
  <si>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</si>
  <si>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</si>
  <si>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</si>
  <si>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</si>
  <si>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</si>
  <si>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</si>
  <si>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</si>
  <si>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</si>
  <si>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</si>
  <si>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</si>
  <si>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</si>
  <si>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</si>
  <si>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</si>
  <si>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</si>
  <si>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</si>
  <si>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</si>
  <si>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</si>
  <si>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</si>
  <si>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</si>
  <si>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</si>
  <si>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</si>
  <si>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</si>
  <si>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</si>
  <si>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</si>
  <si>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</si>
  <si>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</si>
  <si>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</si>
  <si>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</si>
  <si>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</si>
  <si>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</si>
  <si>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</si>
  <si>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</si>
  <si>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</si>
  <si>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</si>
  <si>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</si>
  <si>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</si>
  <si>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</si>
  <si>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</si>
  <si>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</si>
  <si>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</si>
  <si>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</si>
  <si>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</si>
  <si>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</si>
  <si>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</si>
  <si>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</si>
  <si>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</si>
  <si>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</si>
  <si>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</si>
  <si>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</si>
  <si>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</si>
  <si>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</si>
  <si>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</si>
  <si>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</si>
  <si>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</si>
  <si>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</si>
  <si>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</si>
  <si>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</si>
  <si>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</si>
  <si>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</si>
  <si>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</si>
  <si>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</si>
  <si>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</si>
  <si>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</si>
  <si>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</si>
  <si>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</si>
  <si>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</si>
  <si>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</si>
  <si>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</si>
  <si>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</si>
  <si>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</si>
  <si>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</si>
  <si>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</si>
  <si>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</si>
  <si>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</si>
  <si>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</si>
  <si>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</si>
  <si>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</si>
  <si>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</si>
  <si>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</si>
  <si>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</si>
  <si>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</si>
  <si>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</si>
  <si>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</si>
  <si>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</si>
  <si>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</si>
  <si>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</si>
  <si>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</si>
  <si>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</si>
  <si>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</si>
  <si>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</si>
  <si>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</si>
  <si>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</si>
  <si>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</si>
  <si>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</si>
  <si>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</si>
  <si>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</si>
  <si>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</si>
  <si>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</si>
  <si>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</si>
  <si>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</si>
  <si>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</si>
  <si>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</si>
  <si>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</si>
  <si>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</si>
  <si>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</si>
  <si>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</si>
  <si>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</si>
  <si>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</si>
  <si>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</si>
  <si>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</si>
  <si>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</si>
  <si>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</si>
  <si>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</si>
  <si>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</si>
  <si>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</si>
  <si>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</si>
  <si>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</si>
  <si>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</si>
  <si>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</si>
  <si>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</si>
  <si>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</si>
  <si>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</si>
  <si>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</si>
  <si>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</si>
  <si>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</si>
  <si>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</si>
  <si>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</si>
  <si>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</si>
  <si>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</si>
  <si>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</si>
  <si>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</si>
  <si>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</si>
  <si>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</si>
  <si>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</si>
  <si>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</si>
  <si>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</si>
  <si>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</si>
  <si>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</si>
  <si>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</si>
  <si>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</si>
  <si>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</si>
  <si>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</si>
  <si>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</si>
  <si>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</si>
  <si>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</si>
  <si>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</si>
  <si>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</si>
  <si>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</si>
  <si>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</si>
  <si>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</si>
  <si>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</si>
  <si>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</si>
  <si>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</si>
  <si>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</si>
  <si>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</si>
  <si>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</si>
  <si>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</si>
  <si>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</si>
  <si>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</si>
  <si>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</si>
  <si>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</si>
  <si>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</si>
  <si>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</si>
  <si>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</si>
  <si>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</si>
  <si>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</si>
  <si>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</si>
  <si>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</si>
  <si>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</si>
  <si>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</si>
  <si>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</si>
  <si>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</si>
  <si>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</si>
  <si>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</si>
  <si>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</si>
  <si>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</si>
  <si>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</si>
  <si>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</si>
  <si>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</si>
  <si>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</si>
  <si>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</si>
  <si>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</si>
  <si>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</si>
  <si>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</si>
  <si>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</si>
  <si>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</si>
  <si>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</si>
  <si>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</si>
  <si>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</si>
  <si>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</si>
  <si>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</si>
  <si>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</si>
  <si>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</si>
  <si>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</si>
  <si>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</si>
  <si>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</si>
  <si>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</si>
  <si>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</si>
  <si>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</si>
  <si>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</si>
  <si>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</si>
  <si>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</si>
  <si>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</si>
  <si>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</si>
  <si>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</si>
  <si>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</si>
  <si>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</si>
  <si>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</si>
  <si>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</si>
  <si>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</si>
  <si>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</si>
  <si>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</si>
  <si>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</si>
  <si>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</si>
  <si>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</si>
  <si>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</si>
  <si>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</si>
  <si>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</si>
  <si>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</si>
  <si>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</si>
  <si>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</si>
  <si>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</si>
  <si>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</si>
  <si>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</si>
  <si>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</si>
  <si>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</si>
  <si>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</si>
  <si>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</si>
  <si>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</si>
  <si>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</si>
  <si>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</si>
  <si>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</si>
  <si>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</si>
  <si>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</si>
  <si>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</si>
  <si>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</si>
  <si>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</si>
  <si>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</si>
  <si>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</si>
  <si>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</si>
  <si>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</si>
  <si>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</si>
  <si>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</si>
  <si>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</si>
  <si>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</si>
  <si>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</si>
  <si>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</si>
  <si>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</si>
  <si>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</si>
  <si>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</si>
  <si>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</si>
  <si>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</si>
  <si>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</si>
  <si>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</si>
  <si>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</si>
  <si>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</si>
  <si>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</si>
  <si>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</si>
  <si>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</si>
  <si>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</si>
  <si>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</si>
  <si>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</si>
  <si>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</si>
  <si>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</si>
  <si>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</si>
  <si>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</si>
  <si>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</si>
  <si>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</si>
  <si>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</si>
  <si>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</si>
  <si>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</si>
  <si>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</si>
  <si>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</si>
  <si>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</si>
  <si>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</si>
  <si>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</si>
  <si>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</si>
  <si>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</si>
  <si>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</si>
  <si>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</si>
  <si>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</si>
  <si>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</si>
  <si>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</si>
  <si>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</si>
  <si>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</si>
  <si>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</si>
  <si>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</si>
  <si>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</si>
  <si>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</si>
  <si>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</si>
  <si>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</si>
  <si>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</si>
  <si>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</si>
  <si>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</si>
  <si>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</si>
  <si>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</si>
  <si>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</si>
  <si>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</si>
  <si>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</si>
  <si>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</si>
  <si>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</si>
  <si>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</si>
  <si>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</si>
  <si>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</si>
  <si>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</si>
  <si>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</si>
  <si>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</si>
  <si>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</si>
  <si>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</si>
  <si>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</si>
  <si>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</si>
  <si>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</si>
  <si>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</si>
  <si>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</si>
  <si>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</si>
  <si>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</si>
  <si>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</si>
  <si>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</si>
  <si>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</si>
  <si>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</si>
  <si>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</si>
  <si>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</si>
  <si>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</si>
  <si>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</si>
  <si>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</si>
  <si>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</si>
  <si>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</si>
  <si>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</si>
  <si>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</si>
  <si>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</si>
  <si>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</si>
  <si>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</si>
  <si>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</si>
  <si>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</si>
  <si>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</si>
  <si>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</si>
  <si>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</si>
  <si>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</si>
  <si>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</si>
  <si>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</si>
  <si>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</si>
  <si>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</si>
  <si>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</si>
  <si>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</si>
  <si>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</si>
  <si>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</si>
  <si>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</si>
  <si>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</si>
  <si>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</si>
  <si>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</si>
  <si>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</si>
  <si>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</si>
  <si>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</si>
  <si>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</si>
  <si>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</si>
  <si>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</si>
  <si>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</si>
  <si>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</si>
  <si>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</si>
  <si>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</si>
  <si>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</si>
  <si>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</si>
  <si>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</si>
  <si>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</si>
  <si>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</si>
  <si>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</si>
  <si>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</si>
  <si>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</si>
  <si>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</si>
  <si>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</si>
  <si>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</si>
  <si>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</si>
  <si>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</si>
  <si>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</si>
  <si>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</si>
  <si>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</si>
  <si>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</si>
  <si>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</si>
  <si>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</si>
  <si>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</si>
  <si>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</si>
  <si>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</si>
  <si>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</si>
  <si>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</si>
  <si>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</si>
  <si>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</si>
  <si>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</si>
  <si>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</si>
  <si>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</si>
  <si>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</si>
  <si>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</si>
  <si>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</si>
  <si>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</si>
  <si>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</si>
  <si>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</si>
  <si>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</si>
  <si>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</si>
  <si>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</si>
  <si>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</si>
  <si>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</si>
  <si>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</si>
  <si>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</si>
  <si>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</si>
  <si>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</si>
  <si>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</si>
  <si>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</si>
  <si>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</si>
  <si>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</si>
  <si>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</si>
  <si>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</si>
  <si>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</si>
  <si>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</si>
  <si>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</si>
  <si>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</si>
  <si>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</si>
  <si>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</si>
  <si>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</si>
  <si>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</si>
  <si>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</si>
  <si>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</si>
  <si>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</si>
  <si>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</si>
  <si>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</si>
  <si>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</si>
  <si>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</si>
  <si>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</si>
  <si>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</si>
  <si>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</si>
  <si>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</si>
  <si>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</si>
  <si>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</si>
  <si>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</si>
  <si>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</si>
  <si>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</si>
  <si>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</si>
  <si>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</si>
  <si>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</si>
  <si>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</si>
  <si>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</si>
  <si>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</si>
  <si>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</si>
  <si>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</si>
  <si>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</si>
  <si>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</si>
  <si>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</si>
  <si>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</si>
  <si>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</si>
  <si>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</si>
  <si>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</si>
  <si>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</si>
  <si>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</si>
  <si>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</si>
  <si>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</si>
  <si>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</si>
  <si>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</si>
  <si>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</si>
  <si>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</si>
  <si>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</si>
  <si>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</si>
  <si>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</si>
  <si>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</si>
  <si>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</si>
  <si>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</si>
  <si>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</si>
  <si>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</si>
  <si>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</si>
  <si>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</si>
  <si>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</si>
  <si>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</si>
  <si>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</si>
  <si>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</si>
  <si>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</si>
  <si>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</si>
  <si>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</si>
  <si>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</si>
  <si>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</si>
  <si>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</si>
  <si>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</si>
  <si>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</si>
  <si>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</si>
  <si>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</si>
  <si>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</si>
  <si>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</si>
  <si>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</si>
  <si>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</si>
  <si>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</si>
  <si>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</si>
  <si>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</si>
  <si>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</si>
  <si>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</si>
  <si>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</si>
  <si>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</si>
  <si>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</si>
  <si>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</si>
  <si>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</si>
  <si>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</si>
  <si>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</si>
  <si>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</si>
  <si>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</si>
  <si>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</si>
  <si>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</si>
  <si>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</si>
  <si>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</si>
  <si>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</si>
  <si>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</si>
  <si>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</si>
  <si>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</si>
  <si>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</si>
  <si>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</si>
  <si>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</si>
  <si>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</si>
  <si>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</si>
  <si>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</si>
  <si>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</si>
  <si>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</si>
  <si>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</si>
  <si>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</si>
  <si>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</si>
  <si>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</si>
  <si>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</si>
  <si>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</si>
  <si>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</si>
  <si>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</si>
  <si>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</si>
  <si>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</si>
  <si>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</si>
  <si>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</si>
  <si>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</si>
  <si>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</si>
  <si>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</si>
  <si>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</si>
  <si>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</si>
  <si>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</si>
  <si>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</si>
  <si>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</si>
  <si>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</si>
  <si>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</si>
  <si>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</si>
  <si>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</si>
  <si>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</si>
  <si>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</si>
  <si>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</si>
  <si>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</si>
  <si>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</si>
  <si>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</si>
  <si>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</si>
  <si>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</si>
  <si>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</si>
  <si>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</si>
  <si>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</si>
  <si>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</si>
  <si>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</si>
  <si>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</si>
  <si>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</si>
  <si>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</si>
  <si>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</si>
  <si>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</si>
  <si>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</si>
  <si>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</si>
  <si>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</si>
  <si>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</si>
  <si>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</si>
  <si>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</si>
  <si>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</si>
  <si>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</si>
  <si>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</si>
  <si>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</si>
  <si>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</si>
  <si>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</si>
  <si>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</si>
  <si>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</si>
  <si>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</si>
  <si>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</si>
  <si>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</si>
  <si>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</si>
  <si>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</si>
  <si>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</si>
  <si>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</si>
  <si>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</si>
  <si>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</si>
  <si>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</si>
  <si>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</si>
  <si>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</si>
  <si>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</si>
  <si>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</si>
  <si>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</si>
  <si>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</si>
  <si>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</si>
  <si>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</si>
  <si>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</si>
  <si>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</si>
  <si>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</si>
  <si>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</si>
  <si>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</si>
  <si>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</si>
  <si>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</si>
  <si>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</si>
  <si>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</si>
  <si>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</si>
  <si>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</si>
  <si>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</si>
  <si>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</si>
  <si>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</si>
  <si>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</si>
  <si>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</si>
  <si>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</si>
  <si>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</si>
  <si>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</si>
  <si>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</si>
  <si>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</si>
  <si>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</si>
  <si>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</si>
  <si>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</si>
  <si>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</si>
  <si>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</si>
  <si>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</si>
  <si>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</si>
  <si>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</si>
  <si>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</si>
  <si>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</si>
  <si>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</si>
  <si>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</si>
  <si>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</si>
  <si>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</si>
  <si>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</si>
  <si>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</si>
  <si>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</si>
  <si>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</si>
  <si>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</si>
  <si>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</si>
  <si>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</si>
  <si>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</si>
  <si>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</si>
  <si>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</si>
  <si>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</si>
  <si>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</si>
  <si>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</si>
  <si>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</si>
  <si>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</si>
  <si>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</si>
  <si>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</si>
  <si>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</si>
  <si>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</si>
  <si>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</si>
  <si>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</si>
  <si>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</si>
  <si>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</si>
  <si>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</si>
  <si>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</si>
  <si>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</si>
  <si>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</si>
  <si>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</si>
  <si>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</si>
  <si>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</si>
  <si>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</si>
  <si>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</si>
  <si>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</si>
  <si>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</si>
  <si>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</si>
  <si>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</si>
  <si>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</si>
  <si>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</si>
  <si>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</si>
  <si>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</si>
  <si>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</si>
  <si>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</si>
  <si>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</si>
  <si>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</si>
  <si>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</si>
  <si>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</si>
  <si>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</si>
  <si>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</si>
  <si>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</si>
  <si>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</si>
  <si>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</si>
  <si>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</si>
  <si>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</si>
  <si>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</si>
  <si>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</si>
  <si>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</si>
  <si>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</si>
  <si>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</si>
  <si>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</si>
  <si>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</si>
  <si>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</si>
  <si>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</si>
  <si>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</si>
  <si>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</si>
  <si>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</si>
  <si>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</si>
  <si>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</si>
  <si>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</si>
  <si>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</si>
  <si>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</si>
  <si>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</si>
  <si>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</si>
  <si>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</si>
  <si>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</si>
  <si>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</si>
  <si>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</si>
  <si>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</si>
  <si>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</si>
  <si>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</si>
  <si>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</si>
  <si>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</si>
  <si>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</si>
  <si>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</si>
  <si>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</si>
  <si>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</si>
  <si>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</si>
  <si>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</si>
  <si>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</si>
  <si>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</si>
  <si>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</si>
  <si>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</si>
  <si>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</si>
  <si>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</si>
  <si>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</si>
  <si>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</si>
  <si>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</si>
  <si>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</si>
  <si>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</si>
  <si>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</si>
  <si>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</si>
  <si>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</si>
  <si>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</si>
  <si>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</si>
  <si>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</si>
  <si>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</si>
  <si>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</si>
  <si>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</si>
  <si>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</si>
  <si>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</si>
  <si>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</si>
  <si>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</si>
  <si>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</si>
  <si>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</si>
  <si>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</si>
  <si>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</si>
  <si>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</si>
  <si>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</si>
  <si>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</si>
  <si>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</si>
  <si>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</si>
  <si>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</si>
  <si>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</si>
  <si>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</si>
  <si>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</si>
  <si>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</si>
  <si>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</si>
  <si>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</si>
  <si>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</si>
  <si>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</si>
  <si>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</si>
  <si>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</si>
  <si>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</si>
  <si>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</si>
  <si>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</si>
  <si>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</si>
  <si>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</si>
  <si>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</si>
  <si>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</si>
  <si>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</si>
  <si>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</si>
  <si>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</si>
  <si>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</si>
  <si>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</si>
  <si>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</si>
  <si>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</si>
  <si>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</si>
  <si>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</si>
  <si>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</si>
  <si>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</si>
  <si>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</si>
  <si>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</si>
  <si>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</si>
  <si>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</si>
  <si>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</si>
  <si>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</si>
  <si>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</si>
  <si>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</si>
  <si>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</si>
  <si>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</si>
  <si>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</si>
  <si>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</si>
  <si>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</si>
  <si>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</si>
  <si>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</si>
  <si>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</si>
  <si>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</si>
  <si>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</si>
  <si>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</si>
  <si>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</si>
  <si>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</si>
  <si>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</si>
  <si>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</si>
  <si>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</si>
  <si>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</si>
  <si>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</si>
  <si>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</si>
  <si>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</si>
  <si>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</si>
  <si>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</si>
  <si>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</si>
  <si>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</si>
  <si>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</si>
  <si>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</si>
  <si>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</si>
  <si>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</si>
  <si>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</si>
  <si>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</si>
  <si>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</si>
  <si>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</si>
  <si>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</si>
  <si>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</si>
  <si>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</si>
  <si>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</si>
  <si>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</si>
  <si>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</si>
  <si>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</si>
  <si>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</si>
  <si>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</si>
  <si>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</si>
  <si>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</si>
  <si>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</si>
  <si>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</si>
  <si>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</si>
  <si>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</si>
  <si>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</si>
  <si>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</si>
  <si>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</si>
  <si>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</si>
  <si>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</si>
  <si>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</si>
  <si>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</si>
  <si>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</si>
  <si>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</si>
  <si>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</si>
  <si>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</si>
  <si>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</si>
  <si>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</si>
  <si>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</si>
  <si>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</si>
  <si>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</si>
  <si>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</si>
  <si>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</si>
  <si>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</si>
  <si>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</si>
  <si>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</si>
  <si>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</si>
  <si>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</si>
  <si>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</si>
  <si>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</si>
  <si>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</si>
  <si>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</si>
  <si>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</si>
  <si>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</si>
  <si>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</si>
  <si>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</si>
  <si>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</si>
  <si>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</si>
  <si>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</si>
  <si>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</si>
  <si>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</si>
  <si>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</si>
  <si>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</si>
  <si>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</si>
  <si>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</si>
  <si>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</si>
  <si>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</si>
  <si>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</si>
  <si>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</si>
  <si>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</si>
  <si>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</si>
  <si>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</si>
  <si>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</si>
  <si>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</si>
  <si>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</si>
  <si>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</si>
  <si>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</si>
  <si>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</si>
  <si>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</si>
  <si>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</si>
  <si>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</si>
  <si>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</si>
  <si>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</si>
  <si>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</si>
  <si>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</si>
  <si>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</si>
  <si>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</si>
  <si>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</si>
  <si>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</si>
  <si>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</si>
  <si>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</si>
  <si>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</si>
  <si>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</si>
  <si>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</si>
  <si>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</si>
  <si>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</si>
  <si>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</si>
  <si>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</si>
  <si>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</si>
  <si>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</si>
  <si>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</si>
  <si>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</si>
  <si>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</si>
  <si>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</si>
  <si>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</si>
  <si>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</si>
  <si>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</si>
  <si>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</si>
  <si>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</si>
  <si>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</si>
  <si>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</si>
  <si>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</si>
  <si>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</si>
  <si>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</si>
  <si>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</si>
  <si>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</si>
  <si>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</si>
  <si>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</si>
  <si>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</si>
  <si>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</si>
  <si>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</si>
  <si>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</si>
  <si>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</si>
  <si>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</si>
  <si>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</si>
  <si>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</si>
  <si>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</si>
  <si>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</si>
  <si>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</si>
  <si>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</si>
  <si>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</si>
  <si>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</si>
  <si>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</si>
  <si>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</si>
  <si>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</si>
  <si>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</si>
  <si>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</si>
  <si>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</si>
  <si>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</si>
  <si>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</si>
  <si>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</si>
  <si>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</si>
  <si>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</si>
  <si>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</si>
  <si>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</si>
  <si>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</si>
  <si>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</si>
  <si>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</si>
  <si>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</si>
  <si>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</si>
  <si>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</si>
  <si>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</si>
  <si>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</si>
  <si>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</si>
  <si>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</si>
  <si>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</si>
  <si>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</si>
  <si>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</si>
  <si>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</si>
  <si>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</si>
  <si>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</si>
  <si>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</si>
  <si>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</si>
  <si>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</si>
  <si>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</si>
  <si>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</si>
  <si>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</si>
  <si>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</si>
  <si>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</si>
  <si>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</si>
  <si>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</si>
  <si>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</si>
  <si>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</si>
  <si>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</si>
  <si>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</si>
  <si>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</si>
  <si>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</si>
  <si>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</si>
  <si>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</si>
  <si>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</si>
  <si>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</si>
  <si>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</si>
  <si>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</si>
  <si>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</si>
  <si>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</si>
  <si>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</si>
  <si>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</si>
  <si>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</si>
  <si>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</si>
  <si>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</si>
  <si>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</si>
  <si>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</si>
  <si>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</si>
  <si>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</si>
  <si>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</si>
  <si>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</si>
  <si>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</si>
  <si>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</si>
  <si>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</si>
  <si>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</si>
  <si>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</si>
  <si>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</si>
  <si>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</si>
  <si>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</si>
  <si>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</si>
  <si>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</si>
  <si>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</si>
  <si>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</si>
  <si>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</si>
  <si>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</si>
  <si>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</si>
  <si>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</si>
  <si>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</si>
  <si>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</si>
  <si>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</si>
  <si>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</si>
  <si>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</si>
  <si>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</si>
  <si>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</si>
  <si>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</si>
  <si>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</si>
  <si>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</si>
  <si>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</si>
  <si>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</si>
  <si>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</si>
  <si>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</si>
  <si>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</si>
  <si>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</si>
  <si>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</si>
  <si>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</si>
  <si>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</si>
  <si>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</si>
  <si>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</si>
  <si>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</si>
  <si>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</si>
  <si>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</si>
  <si>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</si>
  <si>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</si>
  <si>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</si>
  <si>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</si>
  <si>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</si>
  <si>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</si>
  <si>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</si>
  <si>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</si>
  <si>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</si>
  <si>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</si>
  <si>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</si>
  <si>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</si>
  <si>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</si>
  <si>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</si>
  <si>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</si>
  <si>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</si>
  <si>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</si>
  <si>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</si>
  <si>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</si>
  <si>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</si>
  <si>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</si>
  <si>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</si>
  <si>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</si>
  <si>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</si>
  <si>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</si>
  <si>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</si>
  <si>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</si>
  <si>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</si>
  <si>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</si>
  <si>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</si>
  <si>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</si>
  <si>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</si>
  <si>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</si>
  <si>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</si>
  <si>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</si>
  <si>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</si>
  <si>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</si>
  <si>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</si>
  <si>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</si>
  <si>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</si>
  <si>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</si>
  <si>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</si>
  <si>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</si>
  <si>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</si>
  <si>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</si>
  <si>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</si>
  <si>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</si>
  <si>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</si>
  <si>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</si>
  <si>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</si>
  <si>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</si>
  <si>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</si>
  <si>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</si>
  <si>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</si>
  <si>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</si>
  <si>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</si>
  <si>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</si>
  <si>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</si>
  <si>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</si>
  <si>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</si>
  <si>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</si>
  <si>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</si>
  <si>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</si>
  <si>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</si>
  <si>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</si>
  <si>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</si>
  <si>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</si>
  <si>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</si>
  <si>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</si>
  <si>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</si>
  <si>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</si>
  <si>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</si>
  <si>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</si>
  <si>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</si>
  <si>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</si>
  <si>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</si>
  <si>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</si>
  <si>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</si>
  <si>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</si>
  <si>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</si>
  <si>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</si>
  <si>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</si>
  <si>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</si>
  <si>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</si>
  <si>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</si>
  <si>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</si>
  <si>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</si>
  <si>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</si>
  <si>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</si>
  <si>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</si>
  <si>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</si>
  <si>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</si>
  <si>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</si>
  <si>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</si>
  <si>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</si>
  <si>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</si>
  <si>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</si>
  <si>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</si>
  <si>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</si>
  <si>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</si>
  <si>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</si>
  <si>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</si>
  <si>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</si>
  <si>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</si>
  <si>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</si>
  <si>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</si>
  <si>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</si>
  <si>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</si>
  <si>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</si>
  <si>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</si>
  <si>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</si>
  <si>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</si>
  <si>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</si>
  <si>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</si>
  <si>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</si>
  <si>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</si>
  <si>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</si>
  <si>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</si>
  <si>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</si>
  <si>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</si>
  <si>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</si>
  <si>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</si>
  <si>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</si>
  <si>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</si>
  <si>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</si>
  <si>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</si>
  <si>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</si>
  <si>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</si>
  <si>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</si>
  <si>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</si>
  <si>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</si>
  <si>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</si>
  <si>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</si>
  <si>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</si>
  <si>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</si>
  <si>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</si>
  <si>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</si>
  <si>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</si>
  <si>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</si>
  <si>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</si>
  <si>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</si>
  <si>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</si>
  <si>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</si>
  <si>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</si>
  <si>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</si>
  <si>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</si>
  <si>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</si>
  <si>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</si>
  <si>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</si>
  <si>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</si>
  <si>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</si>
  <si>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</si>
  <si>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</si>
  <si>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</si>
  <si>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</si>
  <si>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</si>
  <si>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</si>
  <si>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</si>
  <si>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</si>
  <si>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</si>
  <si>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</si>
  <si>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</si>
  <si>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</si>
  <si>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</si>
  <si>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</si>
  <si>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</si>
  <si>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</si>
  <si>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</si>
  <si>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</si>
  <si>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</si>
  <si>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</si>
  <si>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</si>
  <si>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</si>
  <si>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</si>
  <si>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</si>
  <si>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</si>
  <si>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</si>
  <si>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</si>
  <si>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</si>
  <si>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</si>
  <si>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</si>
  <si>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</si>
  <si>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</si>
  <si>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</si>
  <si>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</si>
  <si>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</si>
  <si>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</si>
  <si>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</si>
  <si>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</si>
  <si>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</si>
  <si>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</si>
  <si>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</si>
  <si>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</si>
  <si>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</si>
  <si>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</si>
  <si>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</si>
  <si>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</si>
  <si>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</si>
  <si>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</si>
  <si>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</si>
  <si>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</si>
  <si>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</si>
  <si>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</si>
  <si>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</si>
  <si>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</si>
  <si>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</si>
  <si>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</si>
  <si>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</si>
  <si>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</si>
  <si>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</si>
  <si>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</si>
  <si>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</si>
  <si>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</si>
  <si>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</si>
  <si>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</si>
  <si>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</si>
  <si>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</si>
  <si>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</si>
  <si>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</si>
  <si>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</si>
  <si>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</si>
  <si>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</si>
  <si>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</si>
  <si>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</si>
  <si>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</si>
  <si>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</si>
  <si>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</si>
  <si>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</si>
  <si>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</si>
  <si>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</si>
  <si>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</si>
  <si>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</si>
  <si>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</si>
  <si>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</si>
  <si>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</si>
  <si>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</si>
  <si>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</si>
  <si>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</si>
  <si>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</si>
  <si>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</si>
  <si>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</si>
  <si>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</si>
  <si>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</si>
  <si>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</si>
  <si>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</si>
  <si>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</si>
  <si>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</si>
  <si>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Lake</t>
  </si>
  <si>
    <t>26177 W Grass Lake Road</t>
  </si>
  <si>
    <t>Antioch</t>
  </si>
  <si>
    <t>x</t>
  </si>
  <si>
    <t>Evans, Marshall and Pease, PC</t>
  </si>
  <si>
    <t>Jeffery M. Rollefson, CPA</t>
  </si>
  <si>
    <t>1875 Hicks Road</t>
  </si>
  <si>
    <t>Rolling Meadows</t>
  </si>
  <si>
    <t>Illinois</t>
  </si>
  <si>
    <t>847-221-5700</t>
  </si>
  <si>
    <t>847-221-5701</t>
  </si>
  <si>
    <t>jeff@empcpa.com</t>
  </si>
  <si>
    <t xml:space="preserve">The District prepares its financial statements to comply with requlatory provisions prescribed by the Illinois State Board of Education (ISBE). Which is a comprehensive basis of accounting other than generally accepted accounting principles (GAAP). </t>
  </si>
  <si>
    <t>Constellation (Electric and Gas)</t>
  </si>
  <si>
    <t>ISDLAF</t>
  </si>
  <si>
    <t>Applitrack (Lake Co Schools Consortium)</t>
  </si>
  <si>
    <t>Lake Co Prof Dev Coop, 117, 33, 34, 24</t>
  </si>
  <si>
    <t>SEDOL, Lake Villa Dist 41, Millburn District 24</t>
  </si>
  <si>
    <t>066-005340</t>
  </si>
  <si>
    <t>CLIC - Liability and Worker's Comp</t>
  </si>
  <si>
    <t>TRANS - PURCHASED SERVICES</t>
  </si>
  <si>
    <t>DURHAM</t>
  </si>
  <si>
    <t>SCARIANO HIMES</t>
  </si>
  <si>
    <t>EDUCATIONAL - SPEECH - PURCHASED SERVICES</t>
  </si>
  <si>
    <t>EDUCATIONAL - LEGAL - PURCHASED SERVICES</t>
  </si>
  <si>
    <t>SPEECH PATH SPECIALIST</t>
  </si>
  <si>
    <t>EDUCATIONAL - TECHNOLOGY - PURCHASED SERVICES</t>
  </si>
  <si>
    <t>TECHNOLOGY COACH</t>
  </si>
  <si>
    <t>BUSINESS MANAGER - SHARED SERVICES</t>
  </si>
  <si>
    <t>10-2520-3000</t>
  </si>
  <si>
    <t>FOX LAKE S. D. 114</t>
  </si>
  <si>
    <t>40-2550-3000</t>
  </si>
  <si>
    <t>10-2300-3000</t>
  </si>
  <si>
    <t>10-2100-3000</t>
  </si>
  <si>
    <t>10-2200-3000</t>
  </si>
  <si>
    <t>Grass Lake SD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</si>
</sst>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337704</xdr:colOff>
          <xdr:row>1</xdr:row>
          <xdr:rowOff>69273</xdr:rowOff>
        </xdr:from>
        <xdr:to>
          <xdr:col>1</xdr:col>
          <xdr:colOff>1248641</xdr:colOff>
          <xdr:row>5</xdr:row>
          <xdr:rowOff>107373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1455593</xdr:colOff>
          <xdr:row>1</xdr:row>
          <xdr:rowOff>83127</xdr:rowOff>
        </xdr:from>
        <xdr:to>
          <xdr:col>1</xdr:col>
          <xdr:colOff>2366530</xdr:colOff>
          <xdr:row>5</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6" t="s">
        <v>405</v>
      </c>
      <c r="J1" s="2017"/>
      <c r="K1" s="2017"/>
      <c r="L1" s="2017"/>
      <c r="M1" s="2017"/>
      <c r="N1" s="2017"/>
      <c r="O1" s="2017"/>
      <c r="P1" s="2017"/>
      <c r="Q1" s="2017"/>
      <c r="R1" s="2017"/>
      <c r="S1" s="2017"/>
    </row>
    <row r="2" spans="1:28" ht="12" customHeight="1" x14ac:dyDescent="0.2">
      <c r="A2" s="47" t="s">
        <v>1993</v>
      </c>
      <c r="D2" s="48"/>
      <c r="I2" s="2018" t="s">
        <v>979</v>
      </c>
      <c r="J2" s="2017"/>
      <c r="K2" s="2017"/>
      <c r="L2" s="2017"/>
      <c r="M2" s="2017"/>
      <c r="N2" s="2017"/>
      <c r="O2" s="2017"/>
      <c r="P2" s="2017"/>
      <c r="Q2" s="2017"/>
      <c r="R2" s="2017"/>
      <c r="S2" s="2017"/>
    </row>
    <row r="3" spans="1:28" ht="12" customHeight="1" x14ac:dyDescent="0.2">
      <c r="A3" s="155" t="s">
        <v>1945</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2067</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34049036002</v>
      </c>
      <c r="B13" s="1987"/>
      <c r="C13" s="1987"/>
      <c r="D13" s="1987"/>
      <c r="E13" s="1987"/>
      <c r="F13" s="1987"/>
      <c r="G13" s="1987"/>
      <c r="H13" s="1988"/>
      <c r="I13" s="31"/>
      <c r="J13" s="30"/>
      <c r="K13" s="28"/>
      <c r="L13" s="30"/>
      <c r="M13" s="30"/>
      <c r="N13" s="30"/>
      <c r="O13" s="30"/>
      <c r="P13" s="30"/>
      <c r="Q13" s="30"/>
      <c r="R13" s="30"/>
      <c r="S13" s="30"/>
      <c r="T13" s="1991" t="s">
        <v>2068</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2064</v>
      </c>
      <c r="B15" s="1989"/>
      <c r="C15" s="1989"/>
      <c r="D15" s="1989"/>
      <c r="E15" s="1989"/>
      <c r="F15" s="1989"/>
      <c r="G15" s="1989"/>
      <c r="H15" s="1990"/>
      <c r="T15" s="1952" t="s">
        <v>2069</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2099</v>
      </c>
      <c r="B17" s="2014"/>
      <c r="C17" s="2014"/>
      <c r="D17" s="2014"/>
      <c r="E17" s="2014"/>
      <c r="F17" s="2014"/>
      <c r="G17" s="2014"/>
      <c r="H17" s="2015"/>
      <c r="T17" s="2001" t="s">
        <v>2070</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2065</v>
      </c>
      <c r="B19" s="1985"/>
      <c r="C19" s="1985"/>
      <c r="D19" s="1985"/>
      <c r="E19" s="1985"/>
      <c r="F19" s="1985"/>
      <c r="G19" s="1985"/>
      <c r="H19" s="1983"/>
      <c r="I19" s="30"/>
      <c r="J19" s="99"/>
      <c r="K19" s="40"/>
      <c r="L19" s="38"/>
      <c r="M19" s="112" t="s">
        <v>315</v>
      </c>
      <c r="P19" s="27"/>
      <c r="Q19" s="27"/>
      <c r="R19" s="27"/>
      <c r="S19" s="31"/>
      <c r="T19" s="1984" t="s">
        <v>2071</v>
      </c>
      <c r="U19" s="1982"/>
      <c r="V19" s="1982"/>
      <c r="W19" s="1983"/>
      <c r="X19" s="1999" t="s">
        <v>2072</v>
      </c>
      <c r="Y19" s="2000"/>
      <c r="Z19" s="1997">
        <v>60008</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2066</v>
      </c>
      <c r="B21" s="1982"/>
      <c r="C21" s="1982"/>
      <c r="D21" s="1982"/>
      <c r="E21" s="1982"/>
      <c r="F21" s="1982"/>
      <c r="G21" s="1982"/>
      <c r="H21" s="1983"/>
      <c r="I21" s="2007" t="s">
        <v>678</v>
      </c>
      <c r="J21" s="1970"/>
      <c r="K21" s="1970"/>
      <c r="L21" s="1970"/>
      <c r="M21" s="1970"/>
      <c r="N21" s="1970"/>
      <c r="O21" s="1970"/>
      <c r="P21" s="1970"/>
      <c r="Q21" s="1970"/>
      <c r="R21" s="1970"/>
      <c r="S21" s="1971"/>
      <c r="T21" s="1949" t="s">
        <v>2073</v>
      </c>
      <c r="U21" s="1950"/>
      <c r="V21" s="1950"/>
      <c r="W21" s="1950"/>
      <c r="X21" s="1963" t="s">
        <v>2074</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c r="B23" s="2005"/>
      <c r="C23" s="2005"/>
      <c r="D23" s="2005"/>
      <c r="E23" s="2005"/>
      <c r="F23" s="2005"/>
      <c r="G23" s="2005"/>
      <c r="H23" s="2006"/>
      <c r="T23" s="1944" t="s">
        <v>2082</v>
      </c>
      <c r="U23" s="1945"/>
      <c r="V23" s="1945"/>
      <c r="W23" s="1945"/>
      <c r="X23" s="1960">
        <v>44530</v>
      </c>
      <c r="Y23" s="1961"/>
      <c r="Z23" s="1961"/>
      <c r="AA23" s="1962"/>
    </row>
    <row r="24" spans="1:27" ht="14.1" customHeight="1" x14ac:dyDescent="0.2">
      <c r="A24" s="88" t="s">
        <v>677</v>
      </c>
      <c r="B24" s="49"/>
      <c r="C24" s="49"/>
      <c r="D24" s="49"/>
      <c r="E24" s="49"/>
      <c r="F24" s="49"/>
      <c r="G24" s="49"/>
      <c r="H24" s="61"/>
      <c r="J24" s="2046" t="str">
        <f>IF(B5="x",IF(AUDITCHECK!D29="AFR form Incomplete.","",IF(AUDITCHECK!D29="Deficit reduction plan is required.","School District must complete a deficit reduction plan in the 2019-2020 Budget",)),"")</f>
        <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60002</v>
      </c>
      <c r="B25" s="1982"/>
      <c r="C25" s="1982"/>
      <c r="D25" s="1982"/>
      <c r="E25" s="1982"/>
      <c r="F25" s="1982"/>
      <c r="G25" s="1982"/>
      <c r="H25" s="1983"/>
      <c r="I25" s="113"/>
      <c r="J25" s="2048"/>
      <c r="K25" s="2048"/>
      <c r="L25" s="2048"/>
      <c r="M25" s="2048"/>
      <c r="N25" s="2048"/>
      <c r="O25" s="2048"/>
      <c r="P25" s="2048"/>
      <c r="Q25" s="2048"/>
      <c r="R25" s="2048"/>
      <c r="S25" s="2049"/>
      <c r="T25" s="1941" t="s">
        <v>2075</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2067</v>
      </c>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02"/>
      <c r="K30" s="28" t="s">
        <v>576</v>
      </c>
      <c r="L30" s="148" t="s">
        <v>2067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c r="B42" s="2031"/>
      <c r="C42" s="2032"/>
      <c r="D42" s="2045"/>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6" sqref="E1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2232359</v>
      </c>
      <c r="C4" s="1524">
        <v>987676</v>
      </c>
      <c r="D4" s="1752">
        <f>B4-C4</f>
        <v>1244683</v>
      </c>
      <c r="E4" s="1524">
        <v>2715718</v>
      </c>
      <c r="F4" s="1752">
        <f>E4-C4</f>
        <v>1728042</v>
      </c>
    </row>
    <row r="5" spans="1:6" ht="13.7" customHeight="1" x14ac:dyDescent="0.2">
      <c r="A5" s="715" t="s">
        <v>870</v>
      </c>
      <c r="B5" s="1750">
        <f>'Revenues 9-14'!D5</f>
        <v>237979</v>
      </c>
      <c r="C5" s="585">
        <v>133856</v>
      </c>
      <c r="D5" s="1753">
        <f t="shared" ref="D5:D18" si="0">B5-C5</f>
        <v>104123</v>
      </c>
      <c r="E5" s="585">
        <v>265791</v>
      </c>
      <c r="F5" s="1753">
        <f>E5-C5</f>
        <v>131935</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74908</v>
      </c>
      <c r="C7" s="585">
        <v>74852</v>
      </c>
      <c r="D7" s="1753">
        <f t="shared" si="0"/>
        <v>56</v>
      </c>
      <c r="E7" s="585">
        <v>194299</v>
      </c>
      <c r="F7" s="1753">
        <f t="shared" si="1"/>
        <v>119447</v>
      </c>
    </row>
    <row r="8" spans="1:6" ht="13.7" customHeight="1" x14ac:dyDescent="0.2">
      <c r="A8" s="715" t="s">
        <v>1179</v>
      </c>
      <c r="B8" s="1750">
        <f>'Revenues 9-14'!G5</f>
        <v>44477</v>
      </c>
      <c r="C8" s="585">
        <f>22701+2615</f>
        <v>25316</v>
      </c>
      <c r="D8" s="1753">
        <f t="shared" si="0"/>
        <v>19161</v>
      </c>
      <c r="E8" s="585">
        <f>45075+5193</f>
        <v>50268</v>
      </c>
      <c r="F8" s="1753">
        <f t="shared" si="1"/>
        <v>24952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19509</v>
      </c>
      <c r="C10" s="585">
        <v>19538</v>
      </c>
      <c r="D10" s="1753">
        <f t="shared" si="0"/>
        <v>-29</v>
      </c>
      <c r="E10" s="585">
        <v>38796</v>
      </c>
      <c r="F10" s="1753">
        <f t="shared" si="1"/>
        <v>19258</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312096</v>
      </c>
      <c r="C14" s="585">
        <v>156306</v>
      </c>
      <c r="D14" s="1753">
        <f t="shared" si="0"/>
        <v>155790</v>
      </c>
      <c r="E14" s="585">
        <v>310368</v>
      </c>
      <c r="F14" s="1753">
        <f t="shared" si="1"/>
        <v>154062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41924</v>
      </c>
      <c r="C16" s="585">
        <v>22701</v>
      </c>
      <c r="D16" s="1753">
        <f t="shared" si="0"/>
        <v>19223</v>
      </c>
      <c r="E16" s="585">
        <v>45075</v>
      </c>
      <c r="F16" s="1753">
        <f t="shared" si="1"/>
        <v>22374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2963252</v>
      </c>
      <c r="C19" s="1751">
        <f>SUM(C4:C18)</f>
        <v>1420245</v>
      </c>
      <c r="D19" s="1751">
        <f>SUM(D4:D18)</f>
        <v>1543007</v>
      </c>
      <c r="E19" s="1751">
        <f>SUM(E4:E18)</f>
        <v>3620315</v>
      </c>
      <c r="F19" s="1751">
        <f>SUM(F4:F18)</f>
        <v>2200070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2" sqref="A2:B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1956</v>
      </c>
      <c r="D2" s="723" t="s">
        <v>1957</v>
      </c>
      <c r="E2" s="723" t="s">
        <v>1958</v>
      </c>
      <c r="F2" s="1884" t="s">
        <v>1959</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1964</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312906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312906</v>
      </c>
      <c r="I12" s="1758">
        <f>SUM(I5:I11)</f>
        <v>0</v>
      </c>
      <c r="J12" s="1758">
        <f>SUM(J5:J11)</f>
        <v>0</v>
      </c>
      <c r="K12" s="1758">
        <f>SUM(K5:K11)</f>
        <v>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312906</v>
      </c>
      <c r="I14" s="771"/>
      <c r="J14" s="773"/>
      <c r="K14" s="765"/>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312906</v>
      </c>
      <c r="I23" s="1758">
        <f>SUM(I14:I16,I21,I22)</f>
        <v>0</v>
      </c>
      <c r="J23" s="1758">
        <f>SUM(J14:J16,J21,J22)</f>
        <v>0</v>
      </c>
      <c r="K23" s="1758">
        <f>SUM(K14:K16,K21,K22)</f>
        <v>0</v>
      </c>
    </row>
    <row r="24" spans="1:11" ht="14.25" thickTop="1" thickBot="1" x14ac:dyDescent="0.25">
      <c r="A24" s="2235" t="s">
        <v>1965</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42000</v>
      </c>
      <c r="D5" s="841"/>
      <c r="E5" s="841"/>
      <c r="F5" s="1760">
        <f>(C5+D5)-E5</f>
        <v>42000</v>
      </c>
      <c r="G5" s="837"/>
      <c r="H5" s="842"/>
      <c r="I5" s="842"/>
      <c r="J5" s="842"/>
      <c r="K5" s="793"/>
      <c r="L5" s="1769">
        <f>F5-K5</f>
        <v>42000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6899449</v>
      </c>
      <c r="D8" s="844">
        <v>1420897</v>
      </c>
      <c r="E8" s="844"/>
      <c r="F8" s="1760">
        <f>(C8+D8)-E8</f>
        <v>8320346</v>
      </c>
      <c r="G8" s="843">
        <v>50</v>
      </c>
      <c r="H8" s="765">
        <v>1489770</v>
      </c>
      <c r="I8" s="765">
        <f>8320346/50</f>
        <v>166406.92000000001</v>
      </c>
      <c r="J8" s="765"/>
      <c r="K8" s="1769">
        <f>(H8+I8)-J8</f>
        <v>1656176.92</v>
      </c>
      <c r="L8" s="1769">
        <f>F8-K8</f>
        <v>6664169.0800000001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377369</v>
      </c>
      <c r="D10" s="846"/>
      <c r="E10" s="846"/>
      <c r="F10" s="1764">
        <f>(C10+D10)-E10</f>
        <v>377369</v>
      </c>
      <c r="G10" s="843">
        <v>20</v>
      </c>
      <c r="H10" s="847">
        <v>60306</v>
      </c>
      <c r="I10" s="847">
        <f>377369/50</f>
        <v>7547.38</v>
      </c>
      <c r="J10" s="847"/>
      <c r="K10" s="1769">
        <f>(H10+I10)-J10</f>
        <v>67853.38</v>
      </c>
      <c r="L10" s="1769">
        <f>F10-K10</f>
        <v>309515.62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938162</v>
      </c>
      <c r="D12" s="844">
        <v>96742</v>
      </c>
      <c r="E12" s="844"/>
      <c r="F12" s="1760">
        <f>(C12+D12)-E12</f>
        <v>1034904</v>
      </c>
      <c r="G12" s="843">
        <v>10</v>
      </c>
      <c r="H12" s="765">
        <v>600913</v>
      </c>
      <c r="I12" s="765">
        <f>1034904/10</f>
        <v>103490.4</v>
      </c>
      <c r="J12" s="765"/>
      <c r="K12" s="1769">
        <f>(H12+I12)-J12</f>
        <v>704403.4</v>
      </c>
      <c r="L12" s="1769">
        <f>F12-K12</f>
        <v>330500.59999999998</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8256980</v>
      </c>
      <c r="D16" s="1760">
        <f>SUM(D3,D5:D6,D8:D10,D12:D15)</f>
        <v>1517639</v>
      </c>
      <c r="E16" s="1760">
        <f>SUM(E3,E5:E6,E8:E10,E12:E15)</f>
        <v>0</v>
      </c>
      <c r="F16" s="1760">
        <f>SUM(F3,F5:F6,F8:F10,F12:F15)</f>
        <v>9774619</v>
      </c>
      <c r="G16" s="843"/>
      <c r="H16" s="1760">
        <f>SUM(H3,H6,H8:H10,H12:H14,)</f>
        <v>2150989</v>
      </c>
      <c r="I16" s="1760">
        <f>SUM(I3,I6,I8:I10,I12:I14,)</f>
        <v>277444.7</v>
      </c>
      <c r="J16" s="1760">
        <f>SUM(J3,J6,J8:J10,J12:J14,)</f>
        <v>0</v>
      </c>
      <c r="K16" s="1760">
        <f>(H16+I16)-J16</f>
        <v>2428433.7000000002</v>
      </c>
      <c r="L16" s="1760">
        <f>F16-K16</f>
        <v>7346185.2999999998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149203</v>
      </c>
      <c r="G17" s="837">
        <v>10</v>
      </c>
      <c r="H17" s="769"/>
      <c r="I17" s="1769">
        <f>F17/G17</f>
        <v>14920.3</v>
      </c>
      <c r="J17" s="769"/>
      <c r="K17" s="795"/>
      <c r="L17" s="795"/>
    </row>
    <row r="18" spans="1:12" ht="14.25" thickTop="1" thickBot="1" x14ac:dyDescent="0.25">
      <c r="A18" s="1767" t="s">
        <v>685</v>
      </c>
      <c r="B18" s="1768"/>
      <c r="C18" s="771"/>
      <c r="D18" s="771"/>
      <c r="E18" s="771"/>
      <c r="F18" s="850"/>
      <c r="G18" s="851"/>
      <c r="H18" s="773"/>
      <c r="I18" s="1760">
        <f>SUM(I16,I17)</f>
        <v>292365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3254358</v>
      </c>
      <c r="G8" s="865"/>
    </row>
    <row r="9" spans="1:7" x14ac:dyDescent="0.2">
      <c r="A9" s="869" t="s">
        <v>460</v>
      </c>
      <c r="B9" s="870" t="s">
        <v>1877</v>
      </c>
      <c r="C9" s="871"/>
      <c r="D9" s="869" t="s">
        <v>501</v>
      </c>
      <c r="E9" s="868"/>
      <c r="F9" s="1909">
        <f>'Expenditures 15-22'!K151</f>
        <v>1128891</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404293</v>
      </c>
      <c r="G11" s="872"/>
    </row>
    <row r="12" spans="1:7" x14ac:dyDescent="0.2">
      <c r="A12" s="869" t="s">
        <v>462</v>
      </c>
      <c r="B12" s="870" t="s">
        <v>1880</v>
      </c>
      <c r="C12" s="871"/>
      <c r="D12" s="869" t="s">
        <v>501</v>
      </c>
      <c r="E12" s="868"/>
      <c r="F12" s="1909">
        <f>'Expenditures 15-22'!K295</f>
        <v>86136</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4873678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82441</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318876</v>
      </c>
      <c r="G53" s="865"/>
    </row>
    <row r="54" spans="1:7" x14ac:dyDescent="0.2">
      <c r="A54" s="869" t="s">
        <v>459</v>
      </c>
      <c r="B54" s="869" t="s">
        <v>1476</v>
      </c>
      <c r="C54" s="889" t="s">
        <v>982</v>
      </c>
      <c r="D54" s="885" t="s">
        <v>1095</v>
      </c>
      <c r="E54" s="868"/>
      <c r="F54" s="1913">
        <f>'Expenditures 15-22'!G114</f>
        <v>29646</v>
      </c>
      <c r="G54" s="865"/>
    </row>
    <row r="55" spans="1:7" x14ac:dyDescent="0.2">
      <c r="A55" s="869" t="s">
        <v>459</v>
      </c>
      <c r="B55" s="869" t="s">
        <v>1477</v>
      </c>
      <c r="C55" s="889" t="s">
        <v>982</v>
      </c>
      <c r="D55" s="885" t="s">
        <v>291</v>
      </c>
      <c r="E55" s="868"/>
      <c r="F55" s="1913">
        <f>'Expenditures 15-22'!I114</f>
        <v>27463</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732847</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5950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1197223</v>
      </c>
      <c r="G76" s="865"/>
    </row>
    <row r="77" spans="1:8" s="893" customFormat="1" ht="12" customHeight="1" thickTop="1" thickBot="1" x14ac:dyDescent="0.25">
      <c r="A77" s="1779"/>
      <c r="B77" s="1776"/>
      <c r="C77" s="1772"/>
      <c r="D77" s="1777" t="s">
        <v>1900</v>
      </c>
      <c r="E77" s="1774"/>
      <c r="F77" s="1780">
        <f>(F14-F76)</f>
        <v>3676455</v>
      </c>
      <c r="G77" s="869"/>
    </row>
    <row r="78" spans="1:8" s="893" customFormat="1" ht="12" customHeight="1" thickTop="1" x14ac:dyDescent="0.2">
      <c r="A78" s="1781"/>
      <c r="B78" s="1776"/>
      <c r="C78" s="1772"/>
      <c r="D78" s="1777" t="s">
        <v>2062</v>
      </c>
      <c r="E78" s="1774"/>
      <c r="F78" s="898">
        <v>159.69999999999999</v>
      </c>
      <c r="G78" s="899"/>
      <c r="H78" s="869"/>
    </row>
    <row r="79" spans="1:8" s="893" customFormat="1" ht="12" customHeight="1" thickBot="1" x14ac:dyDescent="0.25">
      <c r="A79" s="1782"/>
      <c r="B79" s="1776"/>
      <c r="C79" s="1772"/>
      <c r="D79" s="1777" t="s">
        <v>1901</v>
      </c>
      <c r="E79" s="1774" t="s">
        <v>958</v>
      </c>
      <c r="F79" s="1783">
        <f>IF(F78&gt;0,F77/F78," Complete Line 78")</f>
        <v>23021.008140262995</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17928</v>
      </c>
      <c r="G94" s="912"/>
    </row>
    <row r="95" spans="1:7" x14ac:dyDescent="0.2">
      <c r="A95" s="908" t="s">
        <v>140</v>
      </c>
      <c r="B95" s="908" t="s">
        <v>175</v>
      </c>
      <c r="C95" s="910">
        <v>1700</v>
      </c>
      <c r="D95" s="918" t="str">
        <f>'Revenues 9-14'!A82</f>
        <v>Total District/School Activity Income</v>
      </c>
      <c r="E95" s="906"/>
      <c r="F95" s="1789">
        <f>SUM('Revenues 9-14'!C82,'Revenues 9-14'!D82)</f>
        <v>8676</v>
      </c>
      <c r="G95" s="912"/>
    </row>
    <row r="96" spans="1:7" x14ac:dyDescent="0.2">
      <c r="A96" s="908" t="s">
        <v>459</v>
      </c>
      <c r="B96" s="908" t="s">
        <v>176</v>
      </c>
      <c r="C96" s="910">
        <f>'Revenues 9-14'!B84</f>
        <v>1811</v>
      </c>
      <c r="D96" s="911" t="str">
        <f>'Revenues 9-14'!A84</f>
        <v>Rentals - Regular Textbooks</v>
      </c>
      <c r="E96" s="906"/>
      <c r="F96" s="1789">
        <f>'Revenues 9-14'!C84</f>
        <v>21072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12386</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180336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13939</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40832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36866</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4665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3821</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340521</v>
      </c>
    </row>
    <row r="175" spans="1:7" ht="12" customHeight="1" x14ac:dyDescent="0.2">
      <c r="A175" s="1770"/>
      <c r="B175" s="1784"/>
      <c r="C175" s="1785"/>
      <c r="D175" s="1786" t="s">
        <v>2057</v>
      </c>
      <c r="E175" s="1787"/>
      <c r="F175" s="1789">
        <f>'PCTC-OEPP 27-28'!F77-F174</f>
        <v>3335934</v>
      </c>
    </row>
    <row r="176" spans="1:7" ht="12" customHeight="1" x14ac:dyDescent="0.2">
      <c r="A176" s="1770"/>
      <c r="B176" s="1784"/>
      <c r="C176" s="1785"/>
      <c r="D176" s="1786" t="s">
        <v>1817</v>
      </c>
      <c r="E176" s="1787"/>
      <c r="F176" s="1789">
        <f>'Cap Outlay Deprec 26'!I18</f>
        <v>292365</v>
      </c>
    </row>
    <row r="177" spans="1:7" ht="12" customHeight="1" x14ac:dyDescent="0.2">
      <c r="A177" s="1770"/>
      <c r="B177" s="1784"/>
      <c r="C177" s="1785"/>
      <c r="D177" s="1786" t="s">
        <v>2058</v>
      </c>
      <c r="E177" s="1787"/>
      <c r="F177" s="1789">
        <f>F175+F176</f>
        <v>3628299</v>
      </c>
    </row>
    <row r="178" spans="1:7" ht="12" customHeight="1" x14ac:dyDescent="0.2">
      <c r="A178" s="1770"/>
      <c r="B178" s="1790"/>
      <c r="C178" s="1785"/>
      <c r="D178" s="1786" t="str">
        <f>D78</f>
        <v>9 Month ADA from District Average Daily Attendance/Prior General State Aid Inquiry 2018-2019</v>
      </c>
      <c r="E178" s="1787"/>
      <c r="F178" s="1791">
        <f>'PCTC-OEPP 27-28'!F78</f>
        <v>159.69999999999999</v>
      </c>
      <c r="G178" s="930"/>
    </row>
    <row r="179" spans="1:7" ht="12" customHeight="1" thickBot="1" x14ac:dyDescent="0.25">
      <c r="A179" s="1770"/>
      <c r="B179" s="1790"/>
      <c r="C179" s="1785"/>
      <c r="D179" s="1786" t="s">
        <v>2059</v>
      </c>
      <c r="E179" s="1787" t="s">
        <v>1545</v>
      </c>
      <c r="F179" s="1792">
        <f>F177/F178</f>
        <v>22719.467752035067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23" sqref="B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2084</v>
      </c>
      <c r="B17" s="1940" t="s">
        <v>2095</v>
      </c>
      <c r="C17" s="1939" t="s">
        <v>2085</v>
      </c>
      <c r="D17" s="1844">
        <v>350909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7" t="s">
        <v>2088</v>
      </c>
      <c r="B18" s="2487" t="s">
        <v>2096</v>
      </c>
      <c r="C18" s="1939" t="s">
        <v>2086</v>
      </c>
      <c r="D18" s="1844">
        <v>66699</v>
      </c>
      <c r="E18" s="1540">
        <f t="shared" ref="E18:E140" si="2">IF(D18&lt;=25000,D18,IF(D18&gt;25000,25000,0))</f>
        <v>25000</v>
      </c>
      <c r="F18" s="1932">
        <f t="shared" si="1"/>
        <v>0</v>
      </c>
      <c r="G18" s="1793">
        <f t="shared" ref="G18:G140" si="3">IF(F18=0,0,D18-F18)</f>
        <v>0</v>
      </c>
    </row>
    <row r="19" spans="1:8" x14ac:dyDescent="0.25">
      <c r="A19" s="1937" t="s">
        <v>2087</v>
      </c>
      <c r="B19" s="2487" t="s">
        <v>2097</v>
      </c>
      <c r="C19" s="1939" t="s">
        <v>2089</v>
      </c>
      <c r="D19" s="1844">
        <v>37657</v>
      </c>
      <c r="E19" s="1540">
        <f t="shared" si="2"/>
        <v>25000</v>
      </c>
      <c r="F19" s="1932">
        <f t="shared" si="1"/>
        <v>0</v>
      </c>
      <c r="G19" s="1793">
        <f t="shared" si="3"/>
        <v>0</v>
      </c>
    </row>
    <row r="20" spans="1:8" x14ac:dyDescent="0.25">
      <c r="A20" s="1937" t="s">
        <v>2090</v>
      </c>
      <c r="B20" s="2487" t="s">
        <v>2098</v>
      </c>
      <c r="C20" s="1939" t="s">
        <v>2091</v>
      </c>
      <c r="D20" s="1844">
        <v>67562</v>
      </c>
      <c r="E20" s="1540">
        <f t="shared" si="2"/>
        <v>25000</v>
      </c>
      <c r="F20" s="1932">
        <f t="shared" si="1"/>
        <v>0</v>
      </c>
      <c r="G20" s="1793">
        <f t="shared" si="3"/>
        <v>0</v>
      </c>
    </row>
    <row r="21" spans="1:8" x14ac:dyDescent="0.25">
      <c r="A21" s="1937" t="s">
        <v>2092</v>
      </c>
      <c r="B21" s="1938" t="s">
        <v>2093</v>
      </c>
      <c r="C21" s="1939" t="s">
        <v>2094</v>
      </c>
      <c r="D21" s="1844">
        <v>58603</v>
      </c>
      <c r="E21" s="1540">
        <f t="shared" si="2"/>
        <v>25000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581430</v>
      </c>
      <c r="E141" s="1541">
        <f t="shared" si="0"/>
        <v>25000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7" t="s">
        <v>1977</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1648780</v>
      </c>
      <c r="F19" s="1799"/>
      <c r="G19" s="1801">
        <f>'Expenditures 15-22'!K33-SUM('Expenditures 15-22'!G33,'Expenditures 15-22'!I33)+'Expenditures 15-22'!D229</f>
        <v>1648780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219519</v>
      </c>
      <c r="F21" s="1802"/>
      <c r="G21" s="1805">
        <f>'Expenditures 15-22'!K42-SUM('Expenditures 15-22'!G42,'Expenditures 15-22'!I42)+'Expenditures 15-22'!K120-SUM('Expenditures 15-22'!G120,'Expenditures 15-22'!I120)+'Expenditures 15-22'!K180-SUM('Expenditures 15-22'!G180,'Expenditures 15-22'!I180)+'Expenditures 15-22'!D238</f>
        <v>219519</v>
      </c>
      <c r="H21" s="987"/>
      <c r="I21" s="162"/>
    </row>
    <row r="22" spans="1:9" s="668" customFormat="1" ht="12" customHeight="1" x14ac:dyDescent="0.2">
      <c r="A22" s="994" t="s">
        <v>564</v>
      </c>
      <c r="B22" s="995"/>
      <c r="C22" s="993">
        <v>2200</v>
      </c>
      <c r="D22" s="1802"/>
      <c r="E22" s="1804">
        <f>'Expenditures 15-22'!K47-SUM('Expenditures 15-22'!G47,'Expenditures 15-22'!I47)+'Expenditures 15-22'!D243</f>
        <v>102129</v>
      </c>
      <c r="F22" s="1802"/>
      <c r="G22" s="1805">
        <f>'Expenditures 15-22'!K47-SUM('Expenditures 15-22'!G47,'Expenditures 15-22'!I47)+'Expenditures 15-22'!D243</f>
        <v>102129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399140</v>
      </c>
      <c r="F23" s="1802"/>
      <c r="G23" s="1804">
        <f>'Expenditures 15-22'!K53-SUM('Expenditures 15-22'!G53,'Expenditures 15-22'!I53)+'Expenditures 15-22'!D257+'Expenditures 15-22'!K330-SUM('Expenditures 15-22'!G330,'Expenditures 15-22'!I330)</f>
        <v>399140</v>
      </c>
      <c r="H23" s="987"/>
      <c r="I23" s="162"/>
    </row>
    <row r="24" spans="1:9" s="668" customFormat="1" ht="12" customHeight="1" x14ac:dyDescent="0.2">
      <c r="A24" s="994" t="s">
        <v>566</v>
      </c>
      <c r="B24" s="995"/>
      <c r="C24" s="993">
        <v>2400</v>
      </c>
      <c r="D24" s="1802"/>
      <c r="E24" s="1804">
        <f>'Expenditures 15-22'!K57-SUM('Expenditures 15-22'!G57,'Expenditures 15-22'!I57)+'Expenditures 15-22'!D261</f>
        <v>264024</v>
      </c>
      <c r="F24" s="1802"/>
      <c r="G24" s="1805">
        <f>'Expenditures 15-22'!K57-SUM('Expenditures 15-22'!G57,'Expenditures 15-22'!I57)+'Expenditures 15-22'!D261</f>
        <v>264024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98144</v>
      </c>
      <c r="E27" s="1804">
        <f>E8</f>
        <v>0</v>
      </c>
      <c r="F27" s="1804">
        <f>'Expenditures 15-22'!K60-SUM('Expenditures 15-22'!G60,'Expenditures 15-22'!I60)+'Expenditures 15-22'!D264-E8</f>
        <v>98144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403540</v>
      </c>
      <c r="F28" s="1806">
        <f>'Expenditures 15-22'!K61-SUM('Expenditures 15-22'!G61,'Expenditures 15-22'!I61)+'Expenditures 15-22'!K124-SUM('Expenditures 15-22'!G124,'Expenditures 15-22'!I124)+'Expenditures 15-22'!D266-E9</f>
        <v>403540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404293</v>
      </c>
      <c r="F29" s="1802"/>
      <c r="G29" s="1805">
        <f>'Expenditures 15-22'!K62-SUM('Expenditures 15-22'!G62,'Expenditures 15-22'!I62)+'Expenditures 15-22'!K125-SUM('Expenditures 15-22'!G125,'Expenditures 15-22'!I125)+'Expenditures 15-22'!K182-SUM('Expenditures 15-22'!G182,'Expenditures 15-22'!I182)+'Expenditures 15-22'!D267</f>
        <v>404293</v>
      </c>
      <c r="H29" s="985"/>
    </row>
    <row r="30" spans="1:9" ht="12" customHeight="1" x14ac:dyDescent="0.2">
      <c r="A30" s="994" t="s">
        <v>100</v>
      </c>
      <c r="B30" s="997"/>
      <c r="C30" s="993">
        <v>2560</v>
      </c>
      <c r="D30" s="1802"/>
      <c r="E30" s="1804">
        <f>'Expenditures 15-22'!K63-SUM('Expenditures 15-22'!G63,'Expenditures 15-22'!I63)+'Expenditures 15-22'!D268-E10</f>
        <v>45855</v>
      </c>
      <c r="F30" s="1802"/>
      <c r="G30" s="1804">
        <f>'Expenditures 15-22'!K63-SUM('Expenditures 15-22'!G63,'Expenditures 15-22'!I63)+'Expenditures 15-22'!D268-E10</f>
        <v>45855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173472</v>
      </c>
      <c r="F35" s="1802"/>
      <c r="G35" s="1804">
        <f>'Expenditures 15-22'!K69-SUM('Expenditures 15-22'!G69,'Expenditures 15-22'!I69)+'Expenditures 15-22'!D274</f>
        <v>173472</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98144</v>
      </c>
      <c r="E41" s="1806">
        <f>SUM(E19:E40)</f>
        <v>3660752</v>
      </c>
      <c r="F41" s="1806">
        <f>SUM(F19:F39)</f>
        <v>501684</v>
      </c>
      <c r="G41" s="1806">
        <f>SUM(G19:G40)</f>
        <v>3257212</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98144</v>
      </c>
      <c r="F43" s="1807" t="s">
        <v>473</v>
      </c>
      <c r="G43" s="1808">
        <f>F41</f>
        <v>501684</v>
      </c>
    </row>
    <row r="44" spans="1:7" ht="12" customHeight="1" x14ac:dyDescent="0.2">
      <c r="A44" s="987"/>
      <c r="B44" s="162"/>
      <c r="C44" s="1001"/>
      <c r="D44" s="1807" t="s">
        <v>474</v>
      </c>
      <c r="E44" s="1808">
        <f>E41</f>
        <v>3660752</v>
      </c>
      <c r="F44" s="1807" t="s">
        <v>474</v>
      </c>
      <c r="G44" s="1808">
        <f>G41</f>
        <v>3257212</v>
      </c>
    </row>
    <row r="45" spans="1:7" ht="12" customHeight="1" x14ac:dyDescent="0.2">
      <c r="A45" s="987"/>
      <c r="B45" s="162"/>
      <c r="C45" s="162"/>
      <c r="D45" s="1809" t="s">
        <v>1006</v>
      </c>
      <c r="E45" s="1810">
        <f>(E43/E44)</f>
        <v>2.6809792086434699E-2</v>
      </c>
      <c r="F45" s="1809" t="s">
        <v>1006</v>
      </c>
      <c r="G45" s="1810">
        <f>(G43/G44)</f>
        <v>0.15402251987282375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20" sqref="F2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Grass Lake SD 36</v>
      </c>
      <c r="D6" s="2297"/>
      <c r="E6" s="2297"/>
      <c r="F6" s="1852"/>
    </row>
    <row r="7" spans="1:10" ht="11.25" customHeight="1" thickBot="1" x14ac:dyDescent="0.3">
      <c r="A7" s="1850"/>
      <c r="B7" s="1851"/>
      <c r="C7" s="2298">
        <f>COVER!A13</f>
        <v>34049036002</v>
      </c>
      <c r="D7" s="2298"/>
      <c r="E7" s="229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2067</v>
      </c>
      <c r="D15" s="1865" t="s">
        <v>2067</v>
      </c>
      <c r="E15" s="1868" t="s">
        <v>2067</v>
      </c>
      <c r="F15" s="1867" t="s">
        <v>2077</v>
      </c>
      <c r="H15" s="1878">
        <f t="shared" si="0"/>
        <v>5</v>
      </c>
      <c r="I15" s="1878">
        <f t="shared" si="1"/>
        <v>5</v>
      </c>
      <c r="J15" s="1878">
        <f t="shared" si="2"/>
        <v>5</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t="s">
        <v>2067</v>
      </c>
      <c r="E19" s="1868" t="s">
        <v>2067</v>
      </c>
      <c r="F19" s="1867" t="s">
        <v>2083</v>
      </c>
      <c r="H19" s="1878">
        <f t="shared" si="0"/>
        <v>0</v>
      </c>
      <c r="I19" s="1878">
        <f t="shared" si="1"/>
        <v>5</v>
      </c>
      <c r="J19" s="1878">
        <f t="shared" si="2"/>
        <v>5</v>
      </c>
    </row>
    <row r="20" spans="1:12" ht="12" customHeight="1" x14ac:dyDescent="0.2">
      <c r="A20" s="1863" t="s">
        <v>1528</v>
      </c>
      <c r="B20" s="1864"/>
      <c r="C20" s="1865" t="s">
        <v>2067</v>
      </c>
      <c r="D20" s="1865" t="s">
        <v>2067</v>
      </c>
      <c r="E20" s="1868" t="s">
        <v>2067</v>
      </c>
      <c r="F20" s="1867" t="s">
        <v>2078</v>
      </c>
      <c r="H20" s="1878">
        <f t="shared" si="0"/>
        <v>5</v>
      </c>
      <c r="I20" s="1878">
        <f t="shared" si="1"/>
        <v>5</v>
      </c>
      <c r="J20" s="1878">
        <f t="shared" si="2"/>
        <v>5</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2067</v>
      </c>
      <c r="D23" s="1865" t="s">
        <v>2067</v>
      </c>
      <c r="E23" s="1868" t="s">
        <v>2067</v>
      </c>
      <c r="F23" s="1867" t="s">
        <v>2079</v>
      </c>
      <c r="H23" s="1878">
        <f t="shared" si="0"/>
        <v>5</v>
      </c>
      <c r="I23" s="1878">
        <f t="shared" si="1"/>
        <v>5</v>
      </c>
      <c r="J23" s="1878">
        <f t="shared" si="2"/>
        <v>5</v>
      </c>
    </row>
    <row r="24" spans="1:12" ht="12" customHeight="1" x14ac:dyDescent="0.2">
      <c r="A24" s="1863" t="s">
        <v>1532</v>
      </c>
      <c r="B24" s="1864"/>
      <c r="C24" s="1865" t="s">
        <v>2067</v>
      </c>
      <c r="D24" s="1865" t="s">
        <v>2067</v>
      </c>
      <c r="E24" s="1868" t="s">
        <v>2067</v>
      </c>
      <c r="F24" s="1867" t="s">
        <v>2080</v>
      </c>
      <c r="H24" s="1878">
        <f t="shared" si="0"/>
        <v>5</v>
      </c>
      <c r="I24" s="1878">
        <f t="shared" si="1"/>
        <v>5</v>
      </c>
      <c r="J24" s="1878">
        <f t="shared" si="2"/>
        <v>5</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2067</v>
      </c>
      <c r="D26" s="1865" t="s">
        <v>2067</v>
      </c>
      <c r="E26" s="1868" t="s">
        <v>2067</v>
      </c>
      <c r="F26" s="1867" t="s">
        <v>2081</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30</v>
      </c>
      <c r="J34" s="1878">
        <f>SUM(J11:J32)</f>
        <v>30</v>
      </c>
      <c r="K34" s="1878">
        <f>SUM(H34:J34)</f>
        <v>85</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14" sqref="G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Grass Lake SD 36</v>
      </c>
      <c r="J6" s="2318"/>
      <c r="Q6" s="1664"/>
    </row>
    <row r="7" spans="1:17" x14ac:dyDescent="0.2">
      <c r="A7" s="2319" t="s">
        <v>869</v>
      </c>
      <c r="B7" s="2320"/>
      <c r="C7" s="2320"/>
      <c r="D7" s="2320"/>
      <c r="E7" s="2321"/>
      <c r="F7" s="1017"/>
      <c r="G7" s="1009"/>
      <c r="H7" s="1016" t="s">
        <v>372</v>
      </c>
      <c r="I7" s="2322">
        <f>COVER!A13</f>
        <v>34049036002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189138</v>
      </c>
      <c r="F12" s="1039"/>
      <c r="G12" s="1811">
        <f t="shared" ref="G12:G18" si="0">SUM(E12:F12)</f>
        <v>189138</v>
      </c>
      <c r="H12" s="1040">
        <v>181280</v>
      </c>
      <c r="I12" s="1039"/>
      <c r="J12" s="1811">
        <f t="shared" ref="J12:J18" si="1">SUM(H12:I12)</f>
        <v>181280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189138</v>
      </c>
      <c r="F19" s="1813">
        <f t="shared" si="2"/>
        <v>0</v>
      </c>
      <c r="G19" s="1813">
        <f t="shared" si="2"/>
        <v>189138</v>
      </c>
      <c r="H19" s="1813">
        <f t="shared" si="2"/>
        <v>181280</v>
      </c>
      <c r="I19" s="1813">
        <f t="shared" si="2"/>
        <v>0</v>
      </c>
      <c r="J19" s="1813">
        <f t="shared" si="2"/>
        <v>181280</v>
      </c>
    </row>
    <row r="20" spans="1:10" ht="13.5" thickTop="1" x14ac:dyDescent="0.2">
      <c r="A20" s="1035">
        <v>9</v>
      </c>
      <c r="B20" s="2329" t="s">
        <v>1981</v>
      </c>
      <c r="C20" s="2329"/>
      <c r="D20" s="2330"/>
      <c r="E20" s="1046"/>
      <c r="F20" s="1046"/>
      <c r="G20" s="1046"/>
      <c r="H20" s="1046"/>
      <c r="I20" s="1046"/>
      <c r="J20" s="1814">
        <f>IF(AND(G19&gt;0,J19&gt;0),(((J19-G19)/G19)),"Enter Budget Data")</f>
        <v>-4.1546384121646629E-2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Grass Lake SD 36</v>
      </c>
    </row>
    <row r="65" spans="2:2" x14ac:dyDescent="0.2">
      <c r="B65" s="1070">
        <f>COVER!A13</f>
        <v>34049036002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4" sqref="G1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333375</xdr:colOff>
                <xdr:row>1</xdr:row>
                <xdr:rowOff>66675</xdr:rowOff>
              </from>
              <to>
                <xdr:col>1</xdr:col>
                <xdr:colOff>1247775</xdr:colOff>
                <xdr:row>5</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1457325</xdr:colOff>
                <xdr:row>1</xdr:row>
                <xdr:rowOff>85725</xdr:rowOff>
              </from>
              <to>
                <xdr:col>1</xdr:col>
                <xdr:colOff>2362200</xdr:colOff>
                <xdr:row>5</xdr:row>
                <xdr:rowOff>123825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2891598</v>
      </c>
      <c r="C8" s="1815">
        <f>'Acct Summary 7-8'!D8</f>
        <v>309000</v>
      </c>
      <c r="D8" s="1815">
        <f>'Acct Summary 7-8'!F8</f>
        <v>265206</v>
      </c>
      <c r="E8" s="1815">
        <f>'Acct Summary 7-8'!I8</f>
        <v>34766</v>
      </c>
      <c r="F8" s="1815">
        <f>SUM(B8:E8)</f>
        <v>3500570</v>
      </c>
    </row>
    <row r="9" spans="1:8" s="1079" customFormat="1" ht="14.25" customHeight="1" thickBot="1" x14ac:dyDescent="0.25">
      <c r="A9" s="1078" t="s">
        <v>1369</v>
      </c>
      <c r="B9" s="1816">
        <f>'Acct Summary 7-8'!C17</f>
        <v>3254358</v>
      </c>
      <c r="C9" s="1816">
        <f>'Acct Summary 7-8'!D17</f>
        <v>1128891</v>
      </c>
      <c r="D9" s="1816">
        <f>'Acct Summary 7-8'!F17</f>
        <v>404293</v>
      </c>
      <c r="E9" s="1815"/>
      <c r="F9" s="1815">
        <f>SUM(B9:E9)</f>
        <v>4787542</v>
      </c>
    </row>
    <row r="10" spans="1:8" s="1079" customFormat="1" ht="14.25" thickTop="1" thickBot="1" x14ac:dyDescent="0.25">
      <c r="A10" s="1080" t="s">
        <v>1370</v>
      </c>
      <c r="B10" s="1817">
        <f>(B8-B9)</f>
        <v>-362760</v>
      </c>
      <c r="C10" s="1817">
        <f>(C8-C9)</f>
        <v>-819891</v>
      </c>
      <c r="D10" s="1817">
        <f>(D8-D9)</f>
        <v>-139087</v>
      </c>
      <c r="E10" s="1816">
        <f>(E8-E9)</f>
        <v>34766</v>
      </c>
      <c r="F10" s="1818">
        <f>SUM(F8-F9)</f>
        <v>-1286972</v>
      </c>
    </row>
    <row r="11" spans="1:8" s="1079" customFormat="1" ht="14.25" thickTop="1" thickBot="1" x14ac:dyDescent="0.25">
      <c r="A11" s="1081" t="s">
        <v>1985</v>
      </c>
      <c r="B11" s="1819">
        <f>'Acct Summary 7-8'!C81</f>
        <v>2890806</v>
      </c>
      <c r="C11" s="1819">
        <f>'Acct Summary 7-8'!D81</f>
        <v>448367</v>
      </c>
      <c r="D11" s="1819">
        <f>'Acct Summary 7-8'!F81</f>
        <v>447462</v>
      </c>
      <c r="E11" s="1819">
        <f>'Acct Summary 7-8'!I81</f>
        <v>667050</v>
      </c>
      <c r="F11" s="1820">
        <f>SUM(B11:E11)</f>
        <v>4453685</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34049036002</v>
      </c>
    </row>
    <row r="3" spans="1:2" x14ac:dyDescent="0.2">
      <c r="A3" t="s">
        <v>956</v>
      </c>
      <c r="B3" s="138" t="str">
        <f>COVER!A15</f>
        <v>Lake</v>
      </c>
    </row>
    <row r="4" spans="1:2" x14ac:dyDescent="0.2">
      <c r="A4" t="s">
        <v>1007</v>
      </c>
      <c r="B4" s="138" t="str">
        <f>COVER!A17</f>
        <v>Grass Lake SD 36</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and Pease, PC</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Illinois</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2890752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-54</v>
      </c>
      <c r="C91" s="2" t="s">
        <v>573</v>
      </c>
      <c r="D91" s="2" t="str">
        <f t="shared" si="0"/>
        <v>Error?</v>
      </c>
    </row>
    <row r="92" spans="1:4" x14ac:dyDescent="0.2">
      <c r="A92" s="5">
        <v>31</v>
      </c>
      <c r="B92" s="138">
        <f>'Assets-Liab 5-6'!C39</f>
        <v>2890806</v>
      </c>
      <c r="D92" s="2" t="str">
        <f t="shared" si="0"/>
        <v>Error?</v>
      </c>
    </row>
    <row r="93" spans="1:4" x14ac:dyDescent="0.2">
      <c r="A93" s="5">
        <v>32</v>
      </c>
      <c r="B93" s="138">
        <f>'Assets-Liab 5-6'!C41</f>
        <v>2890752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448367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448367</v>
      </c>
      <c r="D123" s="2" t="str">
        <f t="shared" si="0"/>
        <v>Error?</v>
      </c>
    </row>
    <row r="124" spans="1:4" x14ac:dyDescent="0.2">
      <c r="A124" s="5">
        <v>63</v>
      </c>
      <c r="B124" s="138">
        <f>'Assets-Liab 5-6'!D41</f>
        <v>448367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447612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150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150</v>
      </c>
      <c r="C169" s="2" t="s">
        <v>573</v>
      </c>
      <c r="D169" s="2" t="str">
        <f t="shared" si="1"/>
        <v>Error?</v>
      </c>
    </row>
    <row r="170" spans="1:4" x14ac:dyDescent="0.2">
      <c r="A170" s="5">
        <v>109</v>
      </c>
      <c r="B170" s="138">
        <f>'Assets-Liab 5-6'!F39</f>
        <v>447462</v>
      </c>
      <c r="D170" s="2" t="str">
        <f t="shared" si="1"/>
        <v>Error?</v>
      </c>
    </row>
    <row r="171" spans="1:4" x14ac:dyDescent="0.2">
      <c r="A171" s="5">
        <v>110</v>
      </c>
      <c r="B171" s="138">
        <f>'Assets-Liab 5-6'!F41</f>
        <v>447612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102405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102405</v>
      </c>
      <c r="D189" s="2" t="str">
        <f t="shared" si="1"/>
        <v>Error?</v>
      </c>
    </row>
    <row r="190" spans="1:4" x14ac:dyDescent="0.2">
      <c r="A190" s="5">
        <v>129</v>
      </c>
      <c r="B190" s="138">
        <f>'Assets-Liab 5-6'!G41</f>
        <v>102405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42000</v>
      </c>
      <c r="D273" s="2" t="str">
        <f t="shared" si="3"/>
        <v>Error?</v>
      </c>
    </row>
    <row r="274" spans="1:4" x14ac:dyDescent="0.2">
      <c r="A274" s="5">
        <v>213</v>
      </c>
      <c r="B274" s="138">
        <f>'Assets-Liab 5-6'!M17</f>
        <v>8320346</v>
      </c>
      <c r="D274" s="2" t="str">
        <f t="shared" si="3"/>
        <v>Error?</v>
      </c>
    </row>
    <row r="275" spans="1:4" x14ac:dyDescent="0.2">
      <c r="A275" s="5">
        <v>214</v>
      </c>
      <c r="B275" s="138">
        <f>'Assets-Liab 5-6'!M18</f>
        <v>377369</v>
      </c>
      <c r="D275" s="2" t="str">
        <f t="shared" si="3"/>
        <v>Error?</v>
      </c>
    </row>
    <row r="276" spans="1:4" x14ac:dyDescent="0.2">
      <c r="A276" s="5">
        <v>215</v>
      </c>
      <c r="B276" s="138">
        <f>'Assets-Liab 5-6'!M19</f>
        <v>1034904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9774619</v>
      </c>
      <c r="C279" s="2" t="s">
        <v>573</v>
      </c>
      <c r="D279" s="2" t="str">
        <f t="shared" si="3"/>
        <v>Error?</v>
      </c>
    </row>
    <row r="280" spans="1:4" x14ac:dyDescent="0.2">
      <c r="A280" s="5">
        <v>219</v>
      </c>
      <c r="B280" s="138">
        <f>'Assets-Liab 5-6'!M40</f>
        <v>9774619</v>
      </c>
      <c r="D280" s="2" t="str">
        <f t="shared" si="3"/>
        <v>Error?</v>
      </c>
    </row>
    <row r="281" spans="1:4" x14ac:dyDescent="0.2">
      <c r="A281" s="5">
        <v>220</v>
      </c>
      <c r="B281" s="138">
        <f>'Assets-Liab 5-6'!M41</f>
        <v>9774619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1049422</v>
      </c>
      <c r="D705" s="2" t="str">
        <f t="shared" si="10"/>
        <v>Error?</v>
      </c>
    </row>
    <row r="706" spans="1:4" x14ac:dyDescent="0.2">
      <c r="A706" s="5">
        <v>645</v>
      </c>
      <c r="B706" s="138">
        <f>'Expenditures 15-22'!C16</f>
        <v>86158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34130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1255239</v>
      </c>
      <c r="C720" s="2" t="s">
        <v>573</v>
      </c>
      <c r="D720" s="2" t="str">
        <f t="shared" si="10"/>
        <v>Error?</v>
      </c>
    </row>
    <row r="721" spans="1:4" x14ac:dyDescent="0.2">
      <c r="A721" s="5">
        <v>660</v>
      </c>
      <c r="B721" s="138">
        <f>'Expenditures 15-22'!C36</f>
        <v>54279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48285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102564</v>
      </c>
      <c r="C727" s="2" t="s">
        <v>573</v>
      </c>
      <c r="D727" s="2" t="str">
        <f t="shared" si="10"/>
        <v>Error?</v>
      </c>
    </row>
    <row r="728" spans="1:4" x14ac:dyDescent="0.2">
      <c r="A728" s="5">
        <v>667</v>
      </c>
      <c r="B728" s="138">
        <f>'Expenditures 15-22'!C44</f>
        <v>980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980</v>
      </c>
      <c r="C731" s="2" t="s">
        <v>573</v>
      </c>
      <c r="D731" s="2" t="str">
        <f t="shared" si="10"/>
        <v>Error?</v>
      </c>
    </row>
    <row r="732" spans="1:4" x14ac:dyDescent="0.2">
      <c r="A732" s="5">
        <v>671</v>
      </c>
      <c r="B732" s="138">
        <f>'Expenditures 15-22'!C49</f>
        <v>47276</v>
      </c>
      <c r="D732" s="2" t="str">
        <f t="shared" si="10"/>
        <v>Error?</v>
      </c>
    </row>
    <row r="733" spans="1:4" x14ac:dyDescent="0.2">
      <c r="A733" s="5">
        <v>672</v>
      </c>
      <c r="B733" s="138">
        <f>'Expenditures 15-22'!C50</f>
        <v>142485</v>
      </c>
      <c r="D733" s="2" t="str">
        <f t="shared" si="10"/>
        <v>Error?</v>
      </c>
    </row>
    <row r="734" spans="1:4" x14ac:dyDescent="0.2">
      <c r="A734" s="5">
        <v>673</v>
      </c>
      <c r="B734" s="138">
        <f>'Expenditures 15-22'!C53</f>
        <v>189761</v>
      </c>
      <c r="C734" s="2" t="s">
        <v>573</v>
      </c>
      <c r="D734" s="2" t="str">
        <f t="shared" si="10"/>
        <v>Error?</v>
      </c>
    </row>
    <row r="735" spans="1:4" x14ac:dyDescent="0.2">
      <c r="A735" s="5">
        <v>674</v>
      </c>
      <c r="B735" s="138">
        <f>'Expenditures 15-22'!C55</f>
        <v>199592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199592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32416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14958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47374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53193</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53193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593464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1848703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109305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120598</v>
      </c>
      <c r="C778" s="2" t="s">
        <v>573</v>
      </c>
      <c r="D778" s="2" t="str">
        <f t="shared" si="11"/>
        <v>Error?</v>
      </c>
    </row>
    <row r="779" spans="1:4" x14ac:dyDescent="0.2">
      <c r="A779" s="5">
        <v>718</v>
      </c>
      <c r="B779" s="138">
        <f>'Expenditures 15-22'!D36</f>
        <v>8073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8111</v>
      </c>
      <c r="C785" s="2" t="s">
        <v>573</v>
      </c>
      <c r="D785" s="2" t="str">
        <f t="shared" si="11"/>
        <v>Error?</v>
      </c>
    </row>
    <row r="786" spans="1:4" x14ac:dyDescent="0.2">
      <c r="A786" s="5">
        <v>725</v>
      </c>
      <c r="B786" s="138">
        <f>'Expenditures 15-22'!D44</f>
        <v>15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v>
      </c>
      <c r="C789" s="2" t="s">
        <v>573</v>
      </c>
      <c r="D789" s="2" t="str">
        <f t="shared" si="11"/>
        <v>Error?</v>
      </c>
    </row>
    <row r="790" spans="1:4" x14ac:dyDescent="0.2">
      <c r="A790" s="5">
        <v>729</v>
      </c>
      <c r="B790" s="138">
        <f>'Expenditures 15-22'!D49</f>
        <v>6074</v>
      </c>
      <c r="D790" s="2" t="str">
        <f t="shared" si="11"/>
        <v>Error?</v>
      </c>
    </row>
    <row r="791" spans="1:4" x14ac:dyDescent="0.2">
      <c r="A791" s="5">
        <v>730</v>
      </c>
      <c r="B791" s="138">
        <f>'Expenditures 15-22'!D50</f>
        <v>31919</v>
      </c>
      <c r="D791" s="2" t="str">
        <f t="shared" si="11"/>
        <v>Error?</v>
      </c>
    </row>
    <row r="792" spans="1:4" x14ac:dyDescent="0.2">
      <c r="A792" s="5">
        <v>731</v>
      </c>
      <c r="B792" s="138">
        <f>'Expenditures 15-22'!D53</f>
        <v>37993</v>
      </c>
      <c r="C792" s="2" t="s">
        <v>573</v>
      </c>
      <c r="D792" s="2" t="str">
        <f t="shared" si="11"/>
        <v>Error?</v>
      </c>
    </row>
    <row r="793" spans="1:4" x14ac:dyDescent="0.2">
      <c r="A793" s="5">
        <v>732</v>
      </c>
      <c r="B793" s="138">
        <f>'Expenditures 15-22'!D55</f>
        <v>45808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45808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3742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3781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7556</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7556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103264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223862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68038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75980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24377</v>
      </c>
      <c r="D840" s="2" t="str">
        <f t="shared" si="12"/>
        <v>Error?</v>
      </c>
    </row>
    <row r="841" spans="1:4" x14ac:dyDescent="0.2">
      <c r="A841" s="5">
        <v>780</v>
      </c>
      <c r="B841" s="138">
        <f>'Expenditures 15-22'!E40</f>
        <v>55309</v>
      </c>
      <c r="D841" s="2" t="str">
        <f t="shared" si="12"/>
        <v>Error?</v>
      </c>
    </row>
    <row r="842" spans="1:4" x14ac:dyDescent="0.2">
      <c r="A842" s="5">
        <v>781</v>
      </c>
      <c r="B842" s="138">
        <f>'Expenditures 15-22'!E41</f>
        <v>19770</v>
      </c>
      <c r="D842" s="2" t="str">
        <f t="shared" si="12"/>
        <v>Error?</v>
      </c>
    </row>
    <row r="843" spans="1:4" x14ac:dyDescent="0.2">
      <c r="A843" s="5">
        <v>782</v>
      </c>
      <c r="B843" s="138">
        <f>'Expenditures 15-22'!E42</f>
        <v>99456</v>
      </c>
      <c r="C843" s="2" t="s">
        <v>573</v>
      </c>
      <c r="D843" s="2" t="str">
        <f t="shared" si="12"/>
        <v>Error?</v>
      </c>
    </row>
    <row r="844" spans="1:4" x14ac:dyDescent="0.2">
      <c r="A844" s="5">
        <v>783</v>
      </c>
      <c r="B844" s="138">
        <f>'Expenditures 15-22'!E44</f>
        <v>96073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96073</v>
      </c>
      <c r="C847" s="2" t="s">
        <v>573</v>
      </c>
      <c r="D847" s="2" t="str">
        <f t="shared" si="12"/>
        <v>Error?</v>
      </c>
    </row>
    <row r="848" spans="1:4" x14ac:dyDescent="0.2">
      <c r="A848" s="5">
        <v>787</v>
      </c>
      <c r="B848" s="138">
        <f>'Expenditures 15-22'!E49</f>
        <v>134733</v>
      </c>
      <c r="D848" s="2" t="str">
        <f t="shared" si="12"/>
        <v>Error?</v>
      </c>
    </row>
    <row r="849" spans="1:4" x14ac:dyDescent="0.2">
      <c r="A849" s="5">
        <v>788</v>
      </c>
      <c r="B849" s="138">
        <f>'Expenditures 15-22'!E50</f>
        <v>6964</v>
      </c>
      <c r="D849" s="2" t="str">
        <f t="shared" si="12"/>
        <v>Error?</v>
      </c>
    </row>
    <row r="850" spans="1:4" x14ac:dyDescent="0.2">
      <c r="A850" s="5">
        <v>789</v>
      </c>
      <c r="B850" s="138">
        <f>'Expenditures 15-22'!E53</f>
        <v>141697</v>
      </c>
      <c r="C850" s="2" t="s">
        <v>573</v>
      </c>
      <c r="D850" s="2" t="str">
        <f t="shared" si="12"/>
        <v>Error?</v>
      </c>
    </row>
    <row r="851" spans="1:4" x14ac:dyDescent="0.2">
      <c r="A851" s="5">
        <v>790</v>
      </c>
      <c r="B851" s="138">
        <f>'Expenditures 15-22'!E55</f>
        <v>561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58816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59810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37223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37223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434820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765187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79756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2879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82863</v>
      </c>
      <c r="C894" s="2" t="s">
        <v>573</v>
      </c>
      <c r="D894" s="2" t="str">
        <f t="shared" si="12"/>
        <v>Error?</v>
      </c>
    </row>
    <row r="895" spans="1:4" x14ac:dyDescent="0.2">
      <c r="A895" s="5">
        <v>834</v>
      </c>
      <c r="B895" s="138">
        <f>'Expenditures 15-22'!F36</f>
        <v>356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1290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1646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2717</v>
      </c>
      <c r="D903" s="2" t="str">
        <f t="shared" si="13"/>
        <v>Error?</v>
      </c>
    </row>
    <row r="904" spans="1:4" x14ac:dyDescent="0.2">
      <c r="A904" s="5">
        <v>843</v>
      </c>
      <c r="B904" s="138">
        <f>'Expenditures 15-22'!F46</f>
        <v>2344</v>
      </c>
      <c r="D904" s="2" t="str">
        <f t="shared" si="13"/>
        <v>Error?</v>
      </c>
    </row>
    <row r="905" spans="1:4" x14ac:dyDescent="0.2">
      <c r="A905" s="5">
        <v>844</v>
      </c>
      <c r="B905" s="138">
        <f>'Expenditures 15-22'!F47</f>
        <v>5061</v>
      </c>
      <c r="C905" s="2" t="s">
        <v>573</v>
      </c>
      <c r="D905" s="2" t="str">
        <f t="shared" si="13"/>
        <v>Error?</v>
      </c>
    </row>
    <row r="906" spans="1:4" x14ac:dyDescent="0.2">
      <c r="A906" s="5">
        <v>845</v>
      </c>
      <c r="B906" s="138">
        <f>'Expenditures 15-22'!F49</f>
        <v>5878</v>
      </c>
      <c r="D906" s="2" t="str">
        <f t="shared" si="13"/>
        <v>Error?</v>
      </c>
    </row>
    <row r="907" spans="1:4" x14ac:dyDescent="0.2">
      <c r="A907" s="5">
        <v>846</v>
      </c>
      <c r="B907" s="138">
        <f>'Expenditures 15-22'!F50</f>
        <v>3632</v>
      </c>
      <c r="D907" s="2" t="str">
        <f t="shared" si="13"/>
        <v>Error?</v>
      </c>
    </row>
    <row r="908" spans="1:4" x14ac:dyDescent="0.2">
      <c r="A908" s="5">
        <v>847</v>
      </c>
      <c r="B908" s="138">
        <f>'Expenditures 15-22'!F53</f>
        <v>9510</v>
      </c>
      <c r="C908" s="2" t="s">
        <v>573</v>
      </c>
      <c r="D908" s="2" t="str">
        <f t="shared" si="13"/>
        <v>Error?</v>
      </c>
    </row>
    <row r="909" spans="1:4" x14ac:dyDescent="0.2">
      <c r="A909" s="5">
        <v>848</v>
      </c>
      <c r="B909" s="138">
        <f>'Expenditures 15-22'!F55</f>
        <v>4888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4888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1991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24153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26144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68224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68224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115473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198336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29646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29646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29646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83926</v>
      </c>
      <c r="C1010" s="2" t="s">
        <v>573</v>
      </c>
      <c r="D1010" s="2" t="str">
        <f t="shared" si="14"/>
        <v>Error?</v>
      </c>
    </row>
    <row r="1011" spans="1:4" x14ac:dyDescent="0.2">
      <c r="A1011" s="5">
        <v>950</v>
      </c>
      <c r="B1011" s="138">
        <f>'Expenditures 15-22'!H36</f>
        <v>125</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125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7133</v>
      </c>
      <c r="D1022" s="2" t="str">
        <f t="shared" si="14"/>
        <v>Error?</v>
      </c>
    </row>
    <row r="1023" spans="1:4" x14ac:dyDescent="0.2">
      <c r="A1023" s="5">
        <v>962</v>
      </c>
      <c r="B1023" s="138">
        <f>'Expenditures 15-22'!H50</f>
        <v>4138</v>
      </c>
      <c r="D1023" s="2" t="str">
        <f t="shared" ref="D1023:D1086" si="15">IF(ISBLANK(B1023),"OK",IF(A1023-B1023=0,"OK","Error?"))</f>
        <v>Error?</v>
      </c>
    </row>
    <row r="1024" spans="1:4" x14ac:dyDescent="0.2">
      <c r="A1024" s="5">
        <v>963</v>
      </c>
      <c r="B1024" s="138">
        <f>'Expenditures 15-22'!H53</f>
        <v>11271</v>
      </c>
      <c r="C1024" s="2" t="s">
        <v>573</v>
      </c>
      <c r="D1024" s="2" t="str">
        <f t="shared" si="15"/>
        <v>Error?</v>
      </c>
    </row>
    <row r="1025" spans="1:4" x14ac:dyDescent="0.2">
      <c r="A1025" s="5">
        <v>964</v>
      </c>
      <c r="B1025" s="138">
        <f>'Expenditures 15-22'!H55</f>
        <v>739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739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611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611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12746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64489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161161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1363630</v>
      </c>
      <c r="C1093" s="2" t="s">
        <v>573</v>
      </c>
      <c r="D1093" s="2" t="str">
        <f t="shared" si="16"/>
        <v>Error?</v>
      </c>
    </row>
    <row r="1094" spans="1:4" x14ac:dyDescent="0.2">
      <c r="A1094" s="5">
        <v>1033</v>
      </c>
      <c r="B1094" s="138">
        <f>'Expenditures 15-22'!K16</f>
        <v>86158</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40708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1675715</v>
      </c>
      <c r="C1108" s="2" t="s">
        <v>573</v>
      </c>
      <c r="D1108" s="2" t="str">
        <f t="shared" si="16"/>
        <v>Error?</v>
      </c>
    </row>
    <row r="1109" spans="1:4" x14ac:dyDescent="0.2">
      <c r="A1109" s="5">
        <v>1048</v>
      </c>
      <c r="B1109" s="138">
        <f>'Expenditures 15-22'!K36</f>
        <v>62833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49613</v>
      </c>
      <c r="C1111" s="2" t="s">
        <v>573</v>
      </c>
      <c r="D1111" s="2" t="str">
        <f t="shared" si="16"/>
        <v>Error?</v>
      </c>
    </row>
    <row r="1112" spans="1:4" x14ac:dyDescent="0.2">
      <c r="A1112" s="5">
        <v>1051</v>
      </c>
      <c r="B1112" s="138">
        <f>'Expenditures 15-22'!K39</f>
        <v>24377</v>
      </c>
      <c r="C1112" s="2" t="s">
        <v>573</v>
      </c>
      <c r="D1112" s="2" t="str">
        <f t="shared" si="16"/>
        <v>Error?</v>
      </c>
    </row>
    <row r="1113" spans="1:4" x14ac:dyDescent="0.2">
      <c r="A1113" s="5">
        <v>1052</v>
      </c>
      <c r="B1113" s="138">
        <f>'Expenditures 15-22'!K40</f>
        <v>55309</v>
      </c>
      <c r="C1113" s="2" t="s">
        <v>573</v>
      </c>
      <c r="D1113" s="2" t="str">
        <f t="shared" si="16"/>
        <v>Error?</v>
      </c>
    </row>
    <row r="1114" spans="1:4" x14ac:dyDescent="0.2">
      <c r="A1114" s="5">
        <v>1053</v>
      </c>
      <c r="B1114" s="138">
        <f>'Expenditures 15-22'!K41</f>
        <v>19770</v>
      </c>
      <c r="C1114" s="2" t="s">
        <v>573</v>
      </c>
      <c r="D1114" s="2" t="str">
        <f t="shared" si="16"/>
        <v>Error?</v>
      </c>
    </row>
    <row r="1115" spans="1:4" x14ac:dyDescent="0.2">
      <c r="A1115" s="5">
        <v>1054</v>
      </c>
      <c r="B1115" s="138">
        <f>'Expenditures 15-22'!K42</f>
        <v>211902</v>
      </c>
      <c r="C1115" s="2" t="s">
        <v>573</v>
      </c>
      <c r="D1115" s="2" t="str">
        <f t="shared" si="16"/>
        <v>Error?</v>
      </c>
    </row>
    <row r="1116" spans="1:4" x14ac:dyDescent="0.2">
      <c r="A1116" s="5">
        <v>1055</v>
      </c>
      <c r="B1116" s="138">
        <f>'Expenditures 15-22'!K44</f>
        <v>97068</v>
      </c>
      <c r="C1116" s="2" t="s">
        <v>573</v>
      </c>
      <c r="D1116" s="2" t="str">
        <f t="shared" si="16"/>
        <v>Error?</v>
      </c>
    </row>
    <row r="1117" spans="1:4" x14ac:dyDescent="0.2">
      <c r="A1117" s="5">
        <v>1056</v>
      </c>
      <c r="B1117" s="138">
        <f>'Expenditures 15-22'!K45</f>
        <v>2717</v>
      </c>
      <c r="C1117" s="2" t="s">
        <v>573</v>
      </c>
      <c r="D1117" s="2" t="str">
        <f t="shared" si="16"/>
        <v>Error?</v>
      </c>
    </row>
    <row r="1118" spans="1:4" x14ac:dyDescent="0.2">
      <c r="A1118" s="5">
        <v>1057</v>
      </c>
      <c r="B1118" s="138">
        <f>'Expenditures 15-22'!K46</f>
        <v>2344</v>
      </c>
      <c r="C1118" s="2" t="s">
        <v>573</v>
      </c>
      <c r="D1118" s="2" t="str">
        <f t="shared" si="16"/>
        <v>Error?</v>
      </c>
    </row>
    <row r="1119" spans="1:4" x14ac:dyDescent="0.2">
      <c r="A1119" s="5">
        <v>1058</v>
      </c>
      <c r="B1119" s="138">
        <f>'Expenditures 15-22'!K47</f>
        <v>102129</v>
      </c>
      <c r="C1119" s="2" t="s">
        <v>573</v>
      </c>
      <c r="D1119" s="2" t="str">
        <f t="shared" si="16"/>
        <v>Error?</v>
      </c>
    </row>
    <row r="1120" spans="1:4" x14ac:dyDescent="0.2">
      <c r="A1120" s="5">
        <v>1059</v>
      </c>
      <c r="B1120" s="138">
        <f>'Expenditures 15-22'!K49</f>
        <v>201094</v>
      </c>
      <c r="C1120" s="2" t="s">
        <v>573</v>
      </c>
      <c r="D1120" s="2" t="str">
        <f t="shared" si="16"/>
        <v>Error?</v>
      </c>
    </row>
    <row r="1121" spans="1:4" x14ac:dyDescent="0.2">
      <c r="A1121" s="5">
        <v>1060</v>
      </c>
      <c r="B1121" s="138">
        <f>'Expenditures 15-22'!K50</f>
        <v>189138</v>
      </c>
      <c r="C1121" s="2" t="s">
        <v>573</v>
      </c>
      <c r="D1121" s="2" t="str">
        <f t="shared" si="16"/>
        <v>Error?</v>
      </c>
    </row>
    <row r="1122" spans="1:4" x14ac:dyDescent="0.2">
      <c r="A1122" s="5">
        <v>1061</v>
      </c>
      <c r="B1122" s="138">
        <f>'Expenditures 15-22'!K53</f>
        <v>390232</v>
      </c>
      <c r="C1122" s="2" t="s">
        <v>573</v>
      </c>
      <c r="D1122" s="2" t="str">
        <f t="shared" si="16"/>
        <v>Error?</v>
      </c>
    </row>
    <row r="1123" spans="1:4" x14ac:dyDescent="0.2">
      <c r="A1123" s="5">
        <v>1062</v>
      </c>
      <c r="B1123" s="138">
        <f>'Expenditures 15-22'!K55</f>
        <v>251588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251588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93873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43847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137720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166196</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166196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1259767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318876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3254358</v>
      </c>
      <c r="C1152" s="2" t="s">
        <v>573</v>
      </c>
      <c r="D1152" s="2" t="str">
        <f t="shared" si="17"/>
        <v>Error?</v>
      </c>
    </row>
    <row r="1153" spans="1:4" x14ac:dyDescent="0.2">
      <c r="A1153" s="5">
        <v>1092</v>
      </c>
      <c r="B1153" s="138">
        <f>'Expenditures 15-22'!K115</f>
        <v>-362760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54190</v>
      </c>
      <c r="D1221" s="2" t="str">
        <f t="shared" si="18"/>
        <v>Error?</v>
      </c>
    </row>
    <row r="1222" spans="1:4" x14ac:dyDescent="0.2">
      <c r="A1222" s="10">
        <v>1161</v>
      </c>
      <c r="D1222" s="2" t="str">
        <f t="shared" si="18"/>
        <v>OK</v>
      </c>
    </row>
    <row r="1223" spans="1:4" x14ac:dyDescent="0.2">
      <c r="A1223" s="5">
        <v>1162</v>
      </c>
      <c r="B1223" s="138">
        <f>'Expenditures 15-22'!C127</f>
        <v>54190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54190</v>
      </c>
      <c r="C1225" s="2" t="s">
        <v>573</v>
      </c>
      <c r="D1225" s="2" t="str">
        <f t="shared" si="18"/>
        <v>Error?</v>
      </c>
    </row>
    <row r="1226" spans="1:4" x14ac:dyDescent="0.2">
      <c r="A1226" s="5">
        <v>1165</v>
      </c>
      <c r="B1226" s="138">
        <f>'Expenditures 15-22'!C151</f>
        <v>54190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7637</v>
      </c>
      <c r="D1229" s="2" t="str">
        <f t="shared" si="18"/>
        <v>Error?</v>
      </c>
    </row>
    <row r="1230" spans="1:4" x14ac:dyDescent="0.2">
      <c r="A1230" s="10">
        <v>1169</v>
      </c>
      <c r="D1230" s="2" t="str">
        <f t="shared" si="18"/>
        <v>OK</v>
      </c>
    </row>
    <row r="1231" spans="1:4" x14ac:dyDescent="0.2">
      <c r="A1231" s="5">
        <v>1170</v>
      </c>
      <c r="B1231" s="138">
        <f>'Expenditures 15-22'!D127</f>
        <v>7637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7637</v>
      </c>
      <c r="C1233" s="2" t="s">
        <v>573</v>
      </c>
      <c r="D1233" s="2" t="str">
        <f t="shared" si="18"/>
        <v>Error?</v>
      </c>
    </row>
    <row r="1234" spans="1:4" x14ac:dyDescent="0.2">
      <c r="A1234" s="5">
        <v>1173</v>
      </c>
      <c r="B1234" s="138">
        <f>'Expenditures 15-22'!D151</f>
        <v>7637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264343</v>
      </c>
      <c r="D1237" s="2" t="str">
        <f t="shared" si="18"/>
        <v>Error?</v>
      </c>
    </row>
    <row r="1238" spans="1:4" x14ac:dyDescent="0.2">
      <c r="A1238" s="10">
        <v>1177</v>
      </c>
      <c r="D1238" s="2" t="str">
        <f t="shared" si="18"/>
        <v>OK</v>
      </c>
    </row>
    <row r="1239" spans="1:4" x14ac:dyDescent="0.2">
      <c r="A1239" s="5">
        <v>1178</v>
      </c>
      <c r="B1239" s="138">
        <f>'Expenditures 15-22'!E127</f>
        <v>264343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264343</v>
      </c>
      <c r="C1241" s="2" t="s">
        <v>573</v>
      </c>
      <c r="D1241" s="2" t="str">
        <f t="shared" si="18"/>
        <v>Error?</v>
      </c>
    </row>
    <row r="1242" spans="1:4" x14ac:dyDescent="0.2">
      <c r="A1242" s="5">
        <v>1181</v>
      </c>
      <c r="B1242" s="138">
        <f>'Expenditures 15-22'!E151</f>
        <v>264343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69874</v>
      </c>
      <c r="D1245" s="2" t="str">
        <f t="shared" si="18"/>
        <v>Error?</v>
      </c>
    </row>
    <row r="1246" spans="1:4" x14ac:dyDescent="0.2">
      <c r="A1246" s="10">
        <v>1185</v>
      </c>
      <c r="D1246" s="2" t="str">
        <f t="shared" si="18"/>
        <v>OK</v>
      </c>
    </row>
    <row r="1247" spans="1:4" x14ac:dyDescent="0.2">
      <c r="A1247" s="5">
        <v>1186</v>
      </c>
      <c r="B1247" s="138">
        <f>'Expenditures 15-22'!F127</f>
        <v>69874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69874</v>
      </c>
      <c r="C1249" s="2" t="s">
        <v>573</v>
      </c>
      <c r="D1249" s="2" t="str">
        <f t="shared" si="18"/>
        <v>Error?</v>
      </c>
    </row>
    <row r="1250" spans="1:4" x14ac:dyDescent="0.2">
      <c r="A1250" s="5">
        <v>1189</v>
      </c>
      <c r="B1250" s="138">
        <f>'Expenditures 15-22'!F151</f>
        <v>69874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732847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732847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732847</v>
      </c>
      <c r="C1258" s="2" t="s">
        <v>573</v>
      </c>
      <c r="D1258" s="2" t="str">
        <f t="shared" si="18"/>
        <v>Error?</v>
      </c>
    </row>
    <row r="1259" spans="1:4" x14ac:dyDescent="0.2">
      <c r="A1259" s="5">
        <v>1198</v>
      </c>
      <c r="B1259" s="138">
        <f>'Expenditures 15-22'!G151</f>
        <v>732847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1128891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1128891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1128891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1128891</v>
      </c>
      <c r="C1288" s="2" t="s">
        <v>573</v>
      </c>
      <c r="D1288" s="2" t="str">
        <f t="shared" si="19"/>
        <v>Error?</v>
      </c>
    </row>
    <row r="1289" spans="1:4" x14ac:dyDescent="0.2">
      <c r="A1289" s="5">
        <v>1228</v>
      </c>
      <c r="B1289" s="138">
        <f>'Expenditures 15-22'!K152</f>
        <v>-819891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11361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11361</v>
      </c>
      <c r="C1339" s="2" t="s">
        <v>573</v>
      </c>
      <c r="D1339" s="2" t="str">
        <f t="shared" si="19"/>
        <v>Error?</v>
      </c>
    </row>
    <row r="1340" spans="1:4" x14ac:dyDescent="0.2">
      <c r="A1340" s="5">
        <v>1279</v>
      </c>
      <c r="B1340" s="138">
        <f>'Expenditures 15-22'!C210</f>
        <v>11361</v>
      </c>
      <c r="C1340" s="2" t="s">
        <v>573</v>
      </c>
      <c r="D1340" s="2" t="str">
        <f t="shared" si="19"/>
        <v>Error?</v>
      </c>
    </row>
    <row r="1341" spans="1:4" x14ac:dyDescent="0.2">
      <c r="A1341" s="5">
        <v>1280</v>
      </c>
      <c r="B1341" s="138">
        <f>'Expenditures 15-22'!D182</f>
        <v>2298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2298</v>
      </c>
      <c r="C1345" s="2" t="s">
        <v>573</v>
      </c>
      <c r="D1345" s="2" t="str">
        <f t="shared" si="20"/>
        <v>Error?</v>
      </c>
    </row>
    <row r="1346" spans="1:4" x14ac:dyDescent="0.2">
      <c r="A1346" s="5">
        <v>1285</v>
      </c>
      <c r="B1346" s="138">
        <f>'Expenditures 15-22'!D210</f>
        <v>2298</v>
      </c>
      <c r="C1346" s="2" t="s">
        <v>573</v>
      </c>
      <c r="D1346" s="2" t="str">
        <f t="shared" si="20"/>
        <v>Error?</v>
      </c>
    </row>
    <row r="1347" spans="1:4" x14ac:dyDescent="0.2">
      <c r="A1347" s="5">
        <v>1286</v>
      </c>
      <c r="B1347" s="138">
        <f>'Expenditures 15-22'!E182</f>
        <v>390634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390634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390634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404293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404293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404293</v>
      </c>
      <c r="C1388" s="2" t="s">
        <v>573</v>
      </c>
      <c r="D1388" s="2" t="str">
        <f t="shared" si="20"/>
        <v>Error?</v>
      </c>
    </row>
    <row r="1389" spans="1:4" x14ac:dyDescent="0.2">
      <c r="A1389" s="5">
        <v>1328</v>
      </c>
      <c r="B1389" s="138">
        <f>'Expenditures 15-22'!K211</f>
        <v>-139087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1222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1887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30174</v>
      </c>
      <c r="C1410" s="2" t="s">
        <v>573</v>
      </c>
      <c r="D1410" s="2" t="str">
        <f t="shared" si="21"/>
        <v>Error?</v>
      </c>
    </row>
    <row r="1411" spans="1:4" x14ac:dyDescent="0.2">
      <c r="A1411" s="5">
        <v>1350</v>
      </c>
      <c r="B1411" s="138">
        <f>'Expenditures 15-22'!D232</f>
        <v>780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6837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7617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6670</v>
      </c>
      <c r="D1422" s="2" t="str">
        <f t="shared" si="21"/>
        <v>Error?</v>
      </c>
    </row>
    <row r="1423" spans="1:4" x14ac:dyDescent="0.2">
      <c r="A1423" s="5">
        <v>1362</v>
      </c>
      <c r="B1423" s="138">
        <f>'Expenditures 15-22'!D246</f>
        <v>2238</v>
      </c>
      <c r="D1423" s="2" t="str">
        <f t="shared" si="21"/>
        <v>Error?</v>
      </c>
    </row>
    <row r="1424" spans="1:4" x14ac:dyDescent="0.2">
      <c r="A1424" s="5">
        <v>1363</v>
      </c>
      <c r="B1424" s="138">
        <f>'Expenditures 15-22'!D257</f>
        <v>8908</v>
      </c>
      <c r="C1424" s="2" t="s">
        <v>573</v>
      </c>
      <c r="D1424" s="2" t="str">
        <f t="shared" si="21"/>
        <v>Error?</v>
      </c>
    </row>
    <row r="1425" spans="1:4" x14ac:dyDescent="0.2">
      <c r="A1425" s="5">
        <v>1364</v>
      </c>
      <c r="B1425" s="138">
        <f>'Expenditures 15-22'!D259</f>
        <v>12436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12436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4271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7496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2008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13775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7276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7276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50012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86136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1222</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1887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30174</v>
      </c>
      <c r="C1474" s="2" t="s">
        <v>573</v>
      </c>
      <c r="D1474" s="2" t="str">
        <f t="shared" si="22"/>
        <v>Error?</v>
      </c>
    </row>
    <row r="1475" spans="1:4" x14ac:dyDescent="0.2">
      <c r="A1475" s="5">
        <v>1414</v>
      </c>
      <c r="B1475" s="138">
        <f>'Expenditures 15-22'!K232</f>
        <v>780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6837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7617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6670</v>
      </c>
      <c r="C1486" s="2" t="s">
        <v>573</v>
      </c>
      <c r="D1486" s="2" t="str">
        <f t="shared" si="22"/>
        <v>Error?</v>
      </c>
    </row>
    <row r="1487" spans="1:4" x14ac:dyDescent="0.2">
      <c r="A1487" s="5">
        <v>1426</v>
      </c>
      <c r="B1487" s="138">
        <f>'Expenditures 15-22'!K246</f>
        <v>2238</v>
      </c>
      <c r="C1487" s="2" t="s">
        <v>573</v>
      </c>
      <c r="D1487" s="2" t="str">
        <f t="shared" si="22"/>
        <v>Error?</v>
      </c>
    </row>
    <row r="1488" spans="1:4" x14ac:dyDescent="0.2">
      <c r="A1488" s="5">
        <v>1427</v>
      </c>
      <c r="B1488" s="138">
        <f>'Expenditures 15-22'!K257</f>
        <v>8908</v>
      </c>
      <c r="C1488" s="2" t="s">
        <v>573</v>
      </c>
      <c r="D1488" s="2" t="str">
        <f t="shared" si="22"/>
        <v>Error?</v>
      </c>
    </row>
    <row r="1489" spans="1:4" x14ac:dyDescent="0.2">
      <c r="A1489" s="5">
        <v>1428</v>
      </c>
      <c r="B1489" s="138">
        <f>'Expenditures 15-22'!K259</f>
        <v>12436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12436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4271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7496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2008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13775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7276</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7276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50012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86136</v>
      </c>
      <c r="C1517" s="2" t="s">
        <v>573</v>
      </c>
      <c r="D1517" s="2" t="str">
        <f t="shared" si="22"/>
        <v>Error?</v>
      </c>
    </row>
    <row r="1518" spans="1:4" x14ac:dyDescent="0.2">
      <c r="A1518" s="5">
        <v>1457</v>
      </c>
      <c r="B1518" s="138">
        <f>'Expenditures 15-22'!K296</f>
        <v>8887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8700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8700</v>
      </c>
      <c r="C1535" s="2" t="s">
        <v>573</v>
      </c>
      <c r="D1535" s="2" t="str">
        <f t="shared" ref="D1535:D1598" si="23">IF(ISBLANK(B1535),"OK",IF(A1535-B1535=0,"OK","Error?"))</f>
        <v>Error?</v>
      </c>
    </row>
    <row r="1536" spans="1:4" x14ac:dyDescent="0.2">
      <c r="A1536" s="5">
        <v>1475</v>
      </c>
      <c r="B1536" s="138">
        <f>'Expenditures 15-22'!E312</f>
        <v>8700</v>
      </c>
      <c r="C1536" s="2" t="s">
        <v>573</v>
      </c>
      <c r="D1536" s="2" t="str">
        <f t="shared" si="23"/>
        <v>Error?</v>
      </c>
    </row>
    <row r="1537" spans="1:4" x14ac:dyDescent="0.2">
      <c r="A1537" s="5">
        <v>1476</v>
      </c>
      <c r="B1537" s="138">
        <f>'Expenditures 15-22'!F301</f>
        <v>14990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14990</v>
      </c>
      <c r="C1541" s="2" t="s">
        <v>573</v>
      </c>
      <c r="D1541" s="2" t="str">
        <f t="shared" si="23"/>
        <v>Error?</v>
      </c>
    </row>
    <row r="1542" spans="1:4" x14ac:dyDescent="0.2">
      <c r="A1542" s="5">
        <v>1481</v>
      </c>
      <c r="B1542" s="138">
        <f>'Expenditures 15-22'!F312</f>
        <v>14990</v>
      </c>
      <c r="C1542" s="2" t="s">
        <v>573</v>
      </c>
      <c r="D1542" s="2" t="str">
        <f t="shared" si="23"/>
        <v>Error?</v>
      </c>
    </row>
    <row r="1543" spans="1:4" x14ac:dyDescent="0.2">
      <c r="A1543" s="5">
        <v>1482</v>
      </c>
      <c r="B1543" s="138">
        <f>'Expenditures 15-22'!G301</f>
        <v>584894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584894</v>
      </c>
      <c r="C1547" s="2" t="s">
        <v>573</v>
      </c>
      <c r="D1547" s="2" t="str">
        <f t="shared" si="23"/>
        <v>Error?</v>
      </c>
    </row>
    <row r="1548" spans="1:4" x14ac:dyDescent="0.2">
      <c r="A1548" s="5">
        <v>1487</v>
      </c>
      <c r="B1548" s="138">
        <f>'Expenditures 15-22'!G312</f>
        <v>584894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730324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730324</v>
      </c>
      <c r="C1559" s="2" t="s">
        <v>573</v>
      </c>
      <c r="D1559" s="2" t="str">
        <f t="shared" si="23"/>
        <v>Error?</v>
      </c>
    </row>
    <row r="1560" spans="1:4" x14ac:dyDescent="0.2">
      <c r="A1560" s="5">
        <v>1499</v>
      </c>
      <c r="B1560" s="138">
        <f>'Expenditures 15-22'!K312</f>
        <v>730324</v>
      </c>
      <c r="C1560" s="2" t="s">
        <v>573</v>
      </c>
      <c r="D1560" s="2" t="str">
        <f t="shared" si="23"/>
        <v>Error?</v>
      </c>
    </row>
    <row r="1561" spans="1:4" x14ac:dyDescent="0.2">
      <c r="A1561" s="5">
        <v>1500</v>
      </c>
      <c r="B1561" s="138">
        <f>'Expenditures 15-22'!K313</f>
        <v>-728779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3253566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2890806</v>
      </c>
      <c r="C1630" s="2" t="s">
        <v>573</v>
      </c>
      <c r="D1630" s="2" t="str">
        <f t="shared" si="24"/>
        <v>Error?</v>
      </c>
    </row>
    <row r="1631" spans="1:4" x14ac:dyDescent="0.2">
      <c r="A1631" s="5">
        <v>1570</v>
      </c>
      <c r="B1631" s="138">
        <f>'Acct Summary 7-8'!D79</f>
        <v>1505099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448367</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586549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447462</v>
      </c>
      <c r="C1672" s="2" t="s">
        <v>573</v>
      </c>
      <c r="D1672" s="2" t="str">
        <f t="shared" si="25"/>
        <v>Error?</v>
      </c>
    </row>
    <row r="1673" spans="1:4" x14ac:dyDescent="0.2">
      <c r="A1673" s="5">
        <v>1612</v>
      </c>
      <c r="B1673" s="138">
        <f>'Acct Summary 7-8'!G79</f>
        <v>93518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102405</v>
      </c>
      <c r="C1686" s="2" t="s">
        <v>573</v>
      </c>
      <c r="D1686" s="2" t="str">
        <f t="shared" si="25"/>
        <v>Error?</v>
      </c>
    </row>
    <row r="1687" spans="1:4" x14ac:dyDescent="0.2">
      <c r="A1687" s="5">
        <v>1626</v>
      </c>
      <c r="B1687" s="138">
        <f>'Acct Summary 7-8'!H79</f>
        <v>491938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2232359</v>
      </c>
      <c r="C1744" s="2" t="s">
        <v>573</v>
      </c>
      <c r="D1744" s="2" t="str">
        <f t="shared" si="26"/>
        <v>Error?</v>
      </c>
    </row>
    <row r="1745" spans="1:5" x14ac:dyDescent="0.2">
      <c r="A1745" s="5">
        <v>1684</v>
      </c>
      <c r="B1745" s="138">
        <f>'Tax Sched 23'!B5</f>
        <v>237979</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74908</v>
      </c>
      <c r="C1747" s="2" t="s">
        <v>573</v>
      </c>
      <c r="D1747" s="2" t="str">
        <f t="shared" si="26"/>
        <v>Error?</v>
      </c>
    </row>
    <row r="1748" spans="1:5" x14ac:dyDescent="0.2">
      <c r="A1748" s="5">
        <v>1687</v>
      </c>
      <c r="B1748" s="138">
        <f>'Tax Sched 23'!B8</f>
        <v>44477</v>
      </c>
      <c r="C1748" s="2" t="s">
        <v>573</v>
      </c>
      <c r="D1748" s="2" t="str">
        <f t="shared" si="26"/>
        <v>Error?</v>
      </c>
    </row>
    <row r="1749" spans="1:5" x14ac:dyDescent="0.2">
      <c r="A1749" s="5">
        <v>1688</v>
      </c>
      <c r="B1749" s="138">
        <f>'Tax Sched 23'!B10</f>
        <v>19509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312096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2963252</v>
      </c>
      <c r="C1759" s="2" t="s">
        <v>573</v>
      </c>
      <c r="D1759" s="2" t="str">
        <f t="shared" si="26"/>
        <v>Error?</v>
      </c>
    </row>
    <row r="1760" spans="1:5" x14ac:dyDescent="0.2">
      <c r="A1760" s="5">
        <v>1699</v>
      </c>
      <c r="B1760" s="138">
        <f>'Tax Sched 23'!D4</f>
        <v>1244683</v>
      </c>
      <c r="C1760" s="2" t="s">
        <v>573</v>
      </c>
      <c r="D1760" s="2" t="str">
        <f t="shared" si="26"/>
        <v>Error?</v>
      </c>
    </row>
    <row r="1761" spans="1:5" x14ac:dyDescent="0.2">
      <c r="A1761" s="5">
        <v>1700</v>
      </c>
      <c r="B1761" s="138">
        <f>'Tax Sched 23'!D5</f>
        <v>104123</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56</v>
      </c>
      <c r="C1763" s="2" t="s">
        <v>573</v>
      </c>
      <c r="D1763" s="2" t="str">
        <f t="shared" si="26"/>
        <v>Error?</v>
      </c>
    </row>
    <row r="1764" spans="1:5" x14ac:dyDescent="0.2">
      <c r="A1764" s="5">
        <v>1703</v>
      </c>
      <c r="B1764" s="138">
        <f>'Tax Sched 23'!D8</f>
        <v>19161</v>
      </c>
      <c r="C1764" s="2" t="s">
        <v>573</v>
      </c>
      <c r="D1764" s="2" t="str">
        <f t="shared" si="26"/>
        <v>Error?</v>
      </c>
    </row>
    <row r="1765" spans="1:5" x14ac:dyDescent="0.2">
      <c r="A1765" s="5">
        <v>1704</v>
      </c>
      <c r="B1765" s="138">
        <f>'Tax Sched 23'!D10</f>
        <v>-29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155790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1543007</v>
      </c>
      <c r="C1775" s="2" t="s">
        <v>573</v>
      </c>
      <c r="D1775" s="2" t="str">
        <f t="shared" si="26"/>
        <v>Error?</v>
      </c>
    </row>
    <row r="1776" spans="1:5" x14ac:dyDescent="0.2">
      <c r="A1776" s="5">
        <v>1715</v>
      </c>
      <c r="B1776" s="138">
        <f>'Tax Sched 23'!C4</f>
        <v>987676</v>
      </c>
      <c r="D1776" s="2" t="str">
        <f t="shared" si="26"/>
        <v>Error?</v>
      </c>
    </row>
    <row r="1777" spans="1:4" x14ac:dyDescent="0.2">
      <c r="A1777" s="5">
        <v>1716</v>
      </c>
      <c r="B1777" s="138">
        <f>'Tax Sched 23'!C5</f>
        <v>133856</v>
      </c>
      <c r="D1777" s="2" t="str">
        <f t="shared" si="26"/>
        <v>Error?</v>
      </c>
    </row>
    <row r="1778" spans="1:4" x14ac:dyDescent="0.2">
      <c r="A1778" s="5">
        <v>1717</v>
      </c>
      <c r="B1778" s="138">
        <f>'Tax Sched 23'!C6</f>
        <v>0</v>
      </c>
      <c r="D1778" s="2" t="str">
        <f t="shared" si="26"/>
        <v>Error?</v>
      </c>
    </row>
    <row r="1779" spans="1:4" x14ac:dyDescent="0.2">
      <c r="A1779" s="5">
        <v>1718</v>
      </c>
      <c r="B1779" s="138">
        <f>'Tax Sched 23'!C7</f>
        <v>74852</v>
      </c>
      <c r="D1779" s="2" t="str">
        <f t="shared" si="26"/>
        <v>Error?</v>
      </c>
    </row>
    <row r="1780" spans="1:4" x14ac:dyDescent="0.2">
      <c r="A1780" s="5">
        <v>1719</v>
      </c>
      <c r="B1780" s="138">
        <f>'Tax Sched 23'!C8</f>
        <v>25316</v>
      </c>
      <c r="D1780" s="2" t="str">
        <f t="shared" si="26"/>
        <v>Error?</v>
      </c>
    </row>
    <row r="1781" spans="1:4" x14ac:dyDescent="0.2">
      <c r="A1781" s="5">
        <v>1720</v>
      </c>
      <c r="B1781" s="138">
        <f>'Tax Sched 23'!C10</f>
        <v>19538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156306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1420245</v>
      </c>
      <c r="C1791" s="2" t="s">
        <v>573</v>
      </c>
      <c r="D1791" s="2" t="str">
        <f t="shared" ref="D1791:D1854" si="27">IF(ISBLANK(B1791),"OK",IF(A1791-B1791=0,"OK","Error?"))</f>
        <v>Error?</v>
      </c>
    </row>
    <row r="1792" spans="1:4" x14ac:dyDescent="0.2">
      <c r="A1792" s="5">
        <v>1731</v>
      </c>
      <c r="B1792" s="138">
        <f>'Tax Sched 23'!F4</f>
        <v>1728042</v>
      </c>
      <c r="C1792" s="2" t="s">
        <v>573</v>
      </c>
      <c r="D1792" s="2" t="str">
        <f t="shared" si="27"/>
        <v>Error?</v>
      </c>
    </row>
    <row r="1793" spans="1:4" x14ac:dyDescent="0.2">
      <c r="A1793" s="5">
        <v>1732</v>
      </c>
      <c r="B1793" s="138">
        <f>'Tax Sched 23'!F5</f>
        <v>131935</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119447</v>
      </c>
      <c r="C1795" s="2" t="s">
        <v>573</v>
      </c>
      <c r="D1795" s="2" t="str">
        <f t="shared" si="27"/>
        <v>Error?</v>
      </c>
    </row>
    <row r="1796" spans="1:4" x14ac:dyDescent="0.2">
      <c r="A1796" s="5">
        <v>1735</v>
      </c>
      <c r="B1796" s="138">
        <f>'Tax Sched 23'!F8</f>
        <v>24952</v>
      </c>
      <c r="C1796" s="2" t="s">
        <v>573</v>
      </c>
      <c r="D1796" s="2" t="str">
        <f t="shared" si="27"/>
        <v>Error?</v>
      </c>
    </row>
    <row r="1797" spans="1:4" x14ac:dyDescent="0.2">
      <c r="A1797" s="5">
        <v>1736</v>
      </c>
      <c r="B1797" s="138">
        <f>'Tax Sched 23'!F10</f>
        <v>19258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154062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2200070</v>
      </c>
      <c r="C1807" s="2" t="s">
        <v>573</v>
      </c>
      <c r="D1807" s="2" t="str">
        <f t="shared" si="27"/>
        <v>Error?</v>
      </c>
    </row>
    <row r="1808" spans="1:4" x14ac:dyDescent="0.2">
      <c r="A1808" s="5">
        <v>1747</v>
      </c>
      <c r="B1808" s="138">
        <f>'Tax Sched 23'!E4</f>
        <v>2715718</v>
      </c>
      <c r="D1808" s="2" t="str">
        <f t="shared" si="27"/>
        <v>Error?</v>
      </c>
    </row>
    <row r="1809" spans="1:4" x14ac:dyDescent="0.2">
      <c r="A1809" s="5">
        <v>1748</v>
      </c>
      <c r="B1809" s="138">
        <f>'Tax Sched 23'!E5</f>
        <v>265791</v>
      </c>
      <c r="D1809" s="2" t="str">
        <f t="shared" si="27"/>
        <v>Error?</v>
      </c>
    </row>
    <row r="1810" spans="1:4" x14ac:dyDescent="0.2">
      <c r="A1810" s="5">
        <v>1749</v>
      </c>
      <c r="B1810" s="138">
        <f>'Tax Sched 23'!E6</f>
        <v>0</v>
      </c>
      <c r="D1810" s="2" t="str">
        <f t="shared" si="27"/>
        <v>Error?</v>
      </c>
    </row>
    <row r="1811" spans="1:4" x14ac:dyDescent="0.2">
      <c r="A1811" s="5">
        <v>1750</v>
      </c>
      <c r="B1811" s="138">
        <f>'Tax Sched 23'!E7</f>
        <v>194299</v>
      </c>
      <c r="D1811" s="2" t="str">
        <f t="shared" si="27"/>
        <v>Error?</v>
      </c>
    </row>
    <row r="1812" spans="1:4" x14ac:dyDescent="0.2">
      <c r="A1812" s="5">
        <v>1751</v>
      </c>
      <c r="B1812" s="138">
        <f>'Tax Sched 23'!E8</f>
        <v>50268</v>
      </c>
      <c r="D1812" s="2" t="str">
        <f t="shared" si="27"/>
        <v>Error?</v>
      </c>
    </row>
    <row r="1813" spans="1:4" x14ac:dyDescent="0.2">
      <c r="A1813" s="5">
        <v>1752</v>
      </c>
      <c r="B1813" s="138">
        <f>'Tax Sched 23'!E10</f>
        <v>38796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310368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3620315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312906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312906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312906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42000</v>
      </c>
      <c r="D2008" s="2" t="str">
        <f t="shared" si="30"/>
        <v>Error?</v>
      </c>
    </row>
    <row r="2009" spans="1:4" x14ac:dyDescent="0.2">
      <c r="A2009" s="5">
        <v>1948</v>
      </c>
      <c r="B2009" s="138">
        <f>'Cap Outlay Deprec 26'!C8</f>
        <v>6899449</v>
      </c>
      <c r="D2009" s="2" t="str">
        <f t="shared" si="30"/>
        <v>Error?</v>
      </c>
    </row>
    <row r="2010" spans="1:4" x14ac:dyDescent="0.2">
      <c r="A2010" s="5">
        <v>1949</v>
      </c>
      <c r="B2010" s="138">
        <f>'Cap Outlay Deprec 26'!C10</f>
        <v>377369</v>
      </c>
      <c r="D2010" s="2" t="str">
        <f t="shared" si="30"/>
        <v>Error?</v>
      </c>
    </row>
    <row r="2011" spans="1:4" x14ac:dyDescent="0.2">
      <c r="A2011" s="5">
        <v>1950</v>
      </c>
      <c r="B2011" s="138">
        <f>'Cap Outlay Deprec 26'!C12</f>
        <v>938162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8256980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1420897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96742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1517639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42000</v>
      </c>
      <c r="C2026" s="2" t="s">
        <v>573</v>
      </c>
      <c r="D2026" s="2" t="str">
        <f t="shared" si="30"/>
        <v>Error?</v>
      </c>
    </row>
    <row r="2027" spans="1:4" x14ac:dyDescent="0.2">
      <c r="A2027" s="5">
        <v>1966</v>
      </c>
      <c r="B2027" s="138">
        <f>'Cap Outlay Deprec 26'!F8</f>
        <v>8320346</v>
      </c>
      <c r="C2027" s="2" t="s">
        <v>573</v>
      </c>
      <c r="D2027" s="2" t="str">
        <f t="shared" si="30"/>
        <v>Error?</v>
      </c>
    </row>
    <row r="2028" spans="1:4" x14ac:dyDescent="0.2">
      <c r="A2028" s="5">
        <v>1967</v>
      </c>
      <c r="B2028" s="138">
        <f>'Cap Outlay Deprec 26'!F10</f>
        <v>377369</v>
      </c>
      <c r="C2028" s="2" t="s">
        <v>573</v>
      </c>
      <c r="D2028" s="2" t="str">
        <f t="shared" si="30"/>
        <v>Error?</v>
      </c>
    </row>
    <row r="2029" spans="1:4" x14ac:dyDescent="0.2">
      <c r="A2029" s="5">
        <v>1968</v>
      </c>
      <c r="B2029" s="138">
        <f>'Cap Outlay Deprec 26'!F12</f>
        <v>1034904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9774619</v>
      </c>
      <c r="C2031" s="2" t="s">
        <v>573</v>
      </c>
      <c r="D2031" s="2" t="str">
        <f t="shared" si="30"/>
        <v>Error?</v>
      </c>
    </row>
    <row r="2032" spans="1:4" x14ac:dyDescent="0.2">
      <c r="A2032" s="10">
        <v>1971</v>
      </c>
      <c r="D2032" s="2" t="str">
        <f t="shared" si="30"/>
        <v>OK</v>
      </c>
    </row>
    <row r="2033" spans="1:4" x14ac:dyDescent="0.2">
      <c r="A2033" s="5">
        <v>1972</v>
      </c>
      <c r="B2033" s="138">
        <f>'Cap Outlay Deprec 26'!H8</f>
        <v>1489770</v>
      </c>
      <c r="D2033" s="2" t="str">
        <f t="shared" si="30"/>
        <v>Error?</v>
      </c>
    </row>
    <row r="2034" spans="1:4" x14ac:dyDescent="0.2">
      <c r="A2034" s="5">
        <v>1973</v>
      </c>
      <c r="B2034" s="138">
        <f>'Cap Outlay Deprec 26'!H10</f>
        <v>60306</v>
      </c>
      <c r="D2034" s="2" t="str">
        <f t="shared" si="30"/>
        <v>Error?</v>
      </c>
    </row>
    <row r="2035" spans="1:4" x14ac:dyDescent="0.2">
      <c r="A2035" s="5">
        <v>1974</v>
      </c>
      <c r="B2035" s="138">
        <f>'Cap Outlay Deprec 26'!H12</f>
        <v>600913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2150989</v>
      </c>
      <c r="C2037" s="2" t="s">
        <v>573</v>
      </c>
      <c r="D2037" s="2" t="str">
        <f t="shared" si="30"/>
        <v>Error?</v>
      </c>
    </row>
    <row r="2038" spans="1:4" x14ac:dyDescent="0.2">
      <c r="A2038" s="10">
        <v>1977</v>
      </c>
      <c r="D2038" s="2" t="str">
        <f t="shared" si="30"/>
        <v>OK</v>
      </c>
    </row>
    <row r="2039" spans="1:4" x14ac:dyDescent="0.2">
      <c r="A2039" s="5">
        <v>1978</v>
      </c>
      <c r="B2039" s="138">
        <f>'Cap Outlay Deprec 26'!I8</f>
        <v>166406.92000000001</v>
      </c>
      <c r="D2039" s="2" t="str">
        <f t="shared" si="30"/>
        <v>Error?</v>
      </c>
    </row>
    <row r="2040" spans="1:4" x14ac:dyDescent="0.2">
      <c r="A2040" s="5">
        <v>1979</v>
      </c>
      <c r="B2040" s="138">
        <f>'Cap Outlay Deprec 26'!I10</f>
        <v>7547.38</v>
      </c>
      <c r="D2040" s="2" t="str">
        <f t="shared" si="30"/>
        <v>Error?</v>
      </c>
    </row>
    <row r="2041" spans="1:4" x14ac:dyDescent="0.2">
      <c r="A2041" s="5">
        <v>1980</v>
      </c>
      <c r="B2041" s="138">
        <f>'Cap Outlay Deprec 26'!I12</f>
        <v>103490.4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277444.7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1656176.92</v>
      </c>
      <c r="C2051" s="2" t="s">
        <v>573</v>
      </c>
      <c r="D2051" s="2" t="str">
        <f t="shared" si="31"/>
        <v>Error?</v>
      </c>
    </row>
    <row r="2052" spans="1:4" x14ac:dyDescent="0.2">
      <c r="A2052" s="5">
        <v>1991</v>
      </c>
      <c r="B2052" s="138">
        <f>'Cap Outlay Deprec 26'!K10</f>
        <v>67853.38</v>
      </c>
      <c r="C2052" s="2" t="s">
        <v>573</v>
      </c>
      <c r="D2052" s="2" t="str">
        <f t="shared" si="31"/>
        <v>Error?</v>
      </c>
    </row>
    <row r="2053" spans="1:4" x14ac:dyDescent="0.2">
      <c r="A2053" s="5">
        <v>1992</v>
      </c>
      <c r="B2053" s="138">
        <f>'Cap Outlay Deprec 26'!K12</f>
        <v>704403.4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2428433.7000000002</v>
      </c>
      <c r="C2055" s="2" t="s">
        <v>573</v>
      </c>
      <c r="D2055" s="2" t="str">
        <f t="shared" si="31"/>
        <v>Error?</v>
      </c>
    </row>
    <row r="2056" spans="1:4" x14ac:dyDescent="0.2">
      <c r="A2056" s="5">
        <v>1995</v>
      </c>
      <c r="B2056" s="138">
        <f>'Cap Outlay Deprec 26'!L5</f>
        <v>42000</v>
      </c>
      <c r="C2056" s="2" t="s">
        <v>573</v>
      </c>
      <c r="D2056" s="2" t="str">
        <f t="shared" si="31"/>
        <v>Error?</v>
      </c>
    </row>
    <row r="2057" spans="1:4" x14ac:dyDescent="0.2">
      <c r="A2057" s="5">
        <v>1996</v>
      </c>
      <c r="B2057" s="138">
        <f>'Cap Outlay Deprec 26'!L8</f>
        <v>6664169.0800000001</v>
      </c>
      <c r="C2057" s="2" t="s">
        <v>573</v>
      </c>
      <c r="D2057" s="2" t="str">
        <f t="shared" si="31"/>
        <v>Error?</v>
      </c>
    </row>
    <row r="2058" spans="1:4" x14ac:dyDescent="0.2">
      <c r="A2058" s="5">
        <v>1997</v>
      </c>
      <c r="B2058" s="138">
        <f>'Cap Outlay Deprec 26'!L10</f>
        <v>309515.62</v>
      </c>
      <c r="C2058" s="2" t="s">
        <v>573</v>
      </c>
      <c r="D2058" s="2" t="str">
        <f t="shared" si="31"/>
        <v>Error?</v>
      </c>
    </row>
    <row r="2059" spans="1:4" x14ac:dyDescent="0.2">
      <c r="A2059" s="5">
        <v>1998</v>
      </c>
      <c r="B2059" s="138">
        <f>'Cap Outlay Deprec 26'!L12</f>
        <v>330500.59999999998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7346185.2999999998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64489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318876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2654180</v>
      </c>
      <c r="C2551" s="2" t="s">
        <v>573</v>
      </c>
      <c r="D2551" s="2" t="str">
        <f t="shared" si="38"/>
        <v>Error?</v>
      </c>
    </row>
    <row r="2552" spans="1:4" x14ac:dyDescent="0.2">
      <c r="A2552" s="10">
        <v>2491</v>
      </c>
      <c r="D2552" s="2" t="str">
        <f t="shared" si="38"/>
        <v>OK</v>
      </c>
    </row>
    <row r="2553" spans="1:4" x14ac:dyDescent="0.2">
      <c r="A2553" s="5">
        <v>2492</v>
      </c>
      <c r="B2553" s="138">
        <f>'Acct Summary 7-8'!C6</f>
        <v>136286</v>
      </c>
      <c r="C2553" s="2" t="s">
        <v>573</v>
      </c>
      <c r="D2553" s="2" t="str">
        <f t="shared" si="38"/>
        <v>Error?</v>
      </c>
    </row>
    <row r="2554" spans="1:4" x14ac:dyDescent="0.2">
      <c r="A2554" s="5">
        <v>2493</v>
      </c>
      <c r="B2554" s="138">
        <f>'Acct Summary 7-8'!C7</f>
        <v>101132</v>
      </c>
      <c r="C2554" s="2" t="s">
        <v>573</v>
      </c>
      <c r="D2554" s="2" t="str">
        <f t="shared" si="38"/>
        <v>Error?</v>
      </c>
    </row>
    <row r="2555" spans="1:4" x14ac:dyDescent="0.2">
      <c r="A2555" s="5">
        <v>2494</v>
      </c>
      <c r="B2555" s="138">
        <f>'Acct Summary 7-8'!C8</f>
        <v>2891598</v>
      </c>
      <c r="C2555" s="2" t="s">
        <v>573</v>
      </c>
      <c r="D2555" s="2" t="str">
        <f t="shared" si="38"/>
        <v>Error?</v>
      </c>
    </row>
    <row r="2556" spans="1:4" x14ac:dyDescent="0.2">
      <c r="A2556" s="5">
        <v>2495</v>
      </c>
      <c r="B2556" s="138">
        <f>'Acct Summary 7-8'!C12</f>
        <v>1675715</v>
      </c>
      <c r="C2556" s="2" t="s">
        <v>573</v>
      </c>
      <c r="D2556" s="2" t="str">
        <f t="shared" si="38"/>
        <v>Error?</v>
      </c>
    </row>
    <row r="2557" spans="1:4" x14ac:dyDescent="0.2">
      <c r="A2557" s="5">
        <v>2496</v>
      </c>
      <c r="B2557" s="138">
        <f>'Acct Summary 7-8'!C13</f>
        <v>1259767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318876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3254358</v>
      </c>
      <c r="C2561" s="2" t="s">
        <v>573</v>
      </c>
      <c r="D2561" s="2" t="str">
        <f t="shared" si="39"/>
        <v>Error?</v>
      </c>
    </row>
    <row r="2562" spans="1:4" x14ac:dyDescent="0.2">
      <c r="A2562" s="5">
        <v>2501</v>
      </c>
      <c r="B2562" s="138">
        <f>'Acct Summary 7-8'!C20</f>
        <v>-362760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281473</v>
      </c>
      <c r="C2564" s="2" t="s">
        <v>573</v>
      </c>
      <c r="D2564" s="2" t="str">
        <f t="shared" si="39"/>
        <v>Error?</v>
      </c>
    </row>
    <row r="2565" spans="1:4" x14ac:dyDescent="0.2">
      <c r="A2565" s="10">
        <v>2504</v>
      </c>
      <c r="D2565" s="2" t="str">
        <f t="shared" si="39"/>
        <v>OK</v>
      </c>
    </row>
    <row r="2566" spans="1:4" x14ac:dyDescent="0.2">
      <c r="A2566" s="5">
        <v>2505</v>
      </c>
      <c r="B2566" s="138">
        <f>'Acct Summary 7-8'!D6</f>
        <v>27527</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309000</v>
      </c>
      <c r="C2568" s="2" t="s">
        <v>573</v>
      </c>
      <c r="D2568" s="2" t="str">
        <f t="shared" si="39"/>
        <v>Error?</v>
      </c>
    </row>
    <row r="2569" spans="1:4" x14ac:dyDescent="0.2">
      <c r="A2569" s="5">
        <v>2508</v>
      </c>
      <c r="B2569" s="138">
        <f>'Acct Summary 7-8'!D13</f>
        <v>1128891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1128891</v>
      </c>
      <c r="C2573" s="2" t="s">
        <v>573</v>
      </c>
      <c r="D2573" s="2" t="str">
        <f t="shared" si="39"/>
        <v>Error?</v>
      </c>
    </row>
    <row r="2574" spans="1:4" x14ac:dyDescent="0.2">
      <c r="A2574" s="5">
        <v>2513</v>
      </c>
      <c r="B2574" s="138">
        <f>'Acct Summary 7-8'!D20</f>
        <v>-819891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84870</v>
      </c>
      <c r="C2591" s="2" t="s">
        <v>573</v>
      </c>
      <c r="D2591" s="2" t="str">
        <f t="shared" si="39"/>
        <v>Error?</v>
      </c>
    </row>
    <row r="2592" spans="1:4" x14ac:dyDescent="0.2">
      <c r="A2592" s="10">
        <v>2531</v>
      </c>
      <c r="D2592" s="2" t="str">
        <f t="shared" si="39"/>
        <v>OK</v>
      </c>
    </row>
    <row r="2593" spans="1:4" x14ac:dyDescent="0.2">
      <c r="A2593" s="5">
        <v>2532</v>
      </c>
      <c r="B2593" s="138">
        <f>'Acct Summary 7-8'!F6</f>
        <v>180336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265206</v>
      </c>
      <c r="C2595" s="2" t="s">
        <v>573</v>
      </c>
      <c r="D2595" s="2" t="str">
        <f t="shared" si="39"/>
        <v>Error?</v>
      </c>
    </row>
    <row r="2596" spans="1:4" x14ac:dyDescent="0.2">
      <c r="A2596" s="5">
        <v>2535</v>
      </c>
      <c r="B2596" s="138">
        <f>'Acct Summary 7-8'!F13</f>
        <v>404293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404293</v>
      </c>
      <c r="C2600" s="2" t="s">
        <v>573</v>
      </c>
      <c r="D2600" s="2" t="str">
        <f t="shared" si="39"/>
        <v>Error?</v>
      </c>
    </row>
    <row r="2601" spans="1:4" x14ac:dyDescent="0.2">
      <c r="A2601" s="5">
        <v>2540</v>
      </c>
      <c r="B2601" s="138">
        <f>'Acct Summary 7-8'!F20</f>
        <v>-139087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95023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95023</v>
      </c>
      <c r="C2606" s="2" t="s">
        <v>573</v>
      </c>
      <c r="D2606" s="2" t="str">
        <f t="shared" si="39"/>
        <v>Error?</v>
      </c>
    </row>
    <row r="2607" spans="1:4" x14ac:dyDescent="0.2">
      <c r="A2607" s="5">
        <v>2546</v>
      </c>
      <c r="B2607" s="138">
        <f>'Acct Summary 7-8'!G12</f>
        <v>30174</v>
      </c>
      <c r="C2607" s="2" t="s">
        <v>573</v>
      </c>
      <c r="D2607" s="2" t="str">
        <f t="shared" si="39"/>
        <v>Error?</v>
      </c>
    </row>
    <row r="2608" spans="1:4" x14ac:dyDescent="0.2">
      <c r="A2608" s="5">
        <v>2547</v>
      </c>
      <c r="B2608" s="138">
        <f>'Acct Summary 7-8'!G13</f>
        <v>50012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86136</v>
      </c>
      <c r="C2612" s="2" t="s">
        <v>573</v>
      </c>
      <c r="D2612" s="2" t="str">
        <f t="shared" si="39"/>
        <v>Error?</v>
      </c>
    </row>
    <row r="2613" spans="1:4" x14ac:dyDescent="0.2">
      <c r="A2613" s="5">
        <v>2552</v>
      </c>
      <c r="B2613" s="138">
        <f>'Acct Summary 7-8'!G20</f>
        <v>8887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1545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1545</v>
      </c>
      <c r="C2658" s="2" t="s">
        <v>573</v>
      </c>
      <c r="D2658" s="2" t="str">
        <f t="shared" si="40"/>
        <v>Error?</v>
      </c>
    </row>
    <row r="2659" spans="1:4" x14ac:dyDescent="0.2">
      <c r="A2659" s="5">
        <v>2598</v>
      </c>
      <c r="B2659" s="138">
        <f>'Acct Summary 7-8'!H13</f>
        <v>730324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730324</v>
      </c>
      <c r="C2661" s="2" t="s">
        <v>573</v>
      </c>
      <c r="D2661" s="2" t="str">
        <f t="shared" si="40"/>
        <v>Error?</v>
      </c>
    </row>
    <row r="2662" spans="1:4" x14ac:dyDescent="0.2">
      <c r="A2662" s="5">
        <v>2601</v>
      </c>
      <c r="B2662" s="138">
        <f>'Acct Summary 7-8'!H20</f>
        <v>-728779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254387</v>
      </c>
      <c r="C2789" s="2" t="s">
        <v>573</v>
      </c>
      <c r="D2789" s="2" t="str">
        <f t="shared" si="42"/>
        <v>Error?</v>
      </c>
    </row>
    <row r="2790" spans="1:4" x14ac:dyDescent="0.2">
      <c r="A2790" s="5">
        <v>2729</v>
      </c>
      <c r="B2790" s="138">
        <f>'Expenditures 15-22'!E102</f>
        <v>254387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667050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2676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667050</v>
      </c>
      <c r="D2912" s="2" t="str">
        <f t="shared" si="44"/>
        <v>Error?</v>
      </c>
    </row>
    <row r="2913" spans="1:4" x14ac:dyDescent="0.2">
      <c r="A2913" s="5">
        <v>2852</v>
      </c>
      <c r="B2913" s="138">
        <f>'Assets-Liab 5-6'!I41</f>
        <v>667050</v>
      </c>
      <c r="C2913" s="2" t="s">
        <v>573</v>
      </c>
      <c r="D2913" s="2" t="str">
        <f t="shared" si="44"/>
        <v>Error?</v>
      </c>
    </row>
    <row r="2914" spans="1:4" x14ac:dyDescent="0.2">
      <c r="A2914" s="5">
        <v>2853</v>
      </c>
      <c r="B2914" s="138">
        <f>'Assets-Liab 5-6'!L33</f>
        <v>2676</v>
      </c>
      <c r="D2914" s="2" t="str">
        <f t="shared" si="44"/>
        <v>Error?</v>
      </c>
    </row>
    <row r="2915" spans="1:4" x14ac:dyDescent="0.2">
      <c r="A2915" s="10">
        <v>2854</v>
      </c>
      <c r="D2915" s="2" t="str">
        <f t="shared" si="44"/>
        <v>OK</v>
      </c>
    </row>
    <row r="2916" spans="1:4" x14ac:dyDescent="0.2">
      <c r="A2916" s="5">
        <v>2855</v>
      </c>
      <c r="B2916" s="138">
        <f>'Assets-Liab 5-6'!L34</f>
        <v>2676</v>
      </c>
      <c r="C2916" s="2" t="s">
        <v>573</v>
      </c>
      <c r="D2916" s="2" t="str">
        <f t="shared" si="44"/>
        <v>Error?</v>
      </c>
    </row>
    <row r="2917" spans="1:4" x14ac:dyDescent="0.2">
      <c r="A2917" s="5">
        <v>2856</v>
      </c>
      <c r="B2917" s="138">
        <f>'Assets-Liab 5-6'!L41</f>
        <v>2676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254387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64489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318876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34766</v>
      </c>
      <c r="C3225" s="2" t="s">
        <v>573</v>
      </c>
      <c r="D3225" s="2" t="str">
        <f t="shared" si="49"/>
        <v>Error?</v>
      </c>
    </row>
    <row r="3226" spans="1:4" x14ac:dyDescent="0.2">
      <c r="A3226" s="5">
        <v>3165</v>
      </c>
      <c r="B3226" s="138">
        <f>'Acct Summary 7-8'!I8</f>
        <v>34766</v>
      </c>
      <c r="C3226" s="2" t="s">
        <v>573</v>
      </c>
      <c r="D3226" s="2" t="str">
        <f t="shared" si="49"/>
        <v>Error?</v>
      </c>
    </row>
    <row r="3227" spans="1:4" x14ac:dyDescent="0.2">
      <c r="A3227" s="5">
        <v>3166</v>
      </c>
      <c r="B3227" s="138">
        <f>'Acct Summary 7-8'!I20</f>
        <v>34766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-362760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236841</v>
      </c>
      <c r="D3236" s="2" t="str">
        <f t="shared" si="49"/>
        <v>Error?</v>
      </c>
    </row>
    <row r="3237" spans="1:4" x14ac:dyDescent="0.2">
      <c r="A3237" s="5">
        <v>3176</v>
      </c>
      <c r="B3237" s="138">
        <f>'Acct Summary 7-8'!D76</f>
        <v>236841</v>
      </c>
      <c r="C3237" s="2" t="s">
        <v>573</v>
      </c>
      <c r="D3237" s="2" t="str">
        <f t="shared" si="49"/>
        <v>Error?</v>
      </c>
    </row>
    <row r="3238" spans="1:4" x14ac:dyDescent="0.2">
      <c r="A3238" s="5">
        <v>3177</v>
      </c>
      <c r="B3238" s="138">
        <f>'Acct Summary 7-8'!D77</f>
        <v>-236841</v>
      </c>
      <c r="C3238" s="2" t="s">
        <v>573</v>
      </c>
      <c r="D3238" s="2" t="str">
        <f t="shared" si="49"/>
        <v>Error?</v>
      </c>
    </row>
    <row r="3239" spans="1:4" x14ac:dyDescent="0.2">
      <c r="A3239" s="5">
        <v>3178</v>
      </c>
      <c r="B3239" s="138">
        <f>'Acct Summary 7-8'!D78</f>
        <v>-1056732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-139087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8887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236841</v>
      </c>
      <c r="D3295" s="2" t="str">
        <f t="shared" si="50"/>
        <v>Error?</v>
      </c>
    </row>
    <row r="3296" spans="1:4" x14ac:dyDescent="0.2">
      <c r="A3296" s="5">
        <v>3235</v>
      </c>
      <c r="B3296" s="138">
        <f>'Acct Summary 7-8'!H44</f>
        <v>236841</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236841</v>
      </c>
      <c r="C3299" s="2" t="s">
        <v>573</v>
      </c>
      <c r="D3299" s="2" t="str">
        <f t="shared" si="50"/>
        <v>Error?</v>
      </c>
    </row>
    <row r="3300" spans="1:4" x14ac:dyDescent="0.2">
      <c r="A3300" s="5">
        <v>3239</v>
      </c>
      <c r="B3300" s="138">
        <f>'Acct Summary 7-8'!H78</f>
        <v>-491938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34766</v>
      </c>
      <c r="C3320" s="2" t="s">
        <v>573</v>
      </c>
      <c r="D3320" s="2" t="str">
        <f t="shared" si="50"/>
        <v>Error?</v>
      </c>
    </row>
    <row r="3321" spans="1:4" x14ac:dyDescent="0.2">
      <c r="A3321" s="5">
        <v>3260</v>
      </c>
      <c r="B3321" s="138">
        <f>'Acct Summary 7-8'!I79</f>
        <v>632284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667050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85529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11033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102778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22909</v>
      </c>
      <c r="D3387" s="2" t="str">
        <f t="shared" si="51"/>
        <v>Error?</v>
      </c>
    </row>
    <row r="3388" spans="1:4" x14ac:dyDescent="0.2">
      <c r="A3388" s="5">
        <v>3327</v>
      </c>
      <c r="B3388" s="138">
        <f>'Expenditures 15-22'!D217</f>
        <v>4156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22909</v>
      </c>
      <c r="C3390" s="2" t="s">
        <v>573</v>
      </c>
      <c r="D3390" s="2" t="str">
        <f t="shared" si="51"/>
        <v>Error?</v>
      </c>
    </row>
    <row r="3391" spans="1:4" x14ac:dyDescent="0.2">
      <c r="A3391" s="5">
        <v>3330</v>
      </c>
      <c r="B3391" s="138">
        <f>'Expenditures 15-22'!K217</f>
        <v>4156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2890752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448367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447612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102405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667050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41924</v>
      </c>
      <c r="C3446" s="2" t="s">
        <v>573</v>
      </c>
      <c r="D3446" s="2" t="str">
        <f t="shared" si="52"/>
        <v>Error?</v>
      </c>
    </row>
    <row r="3447" spans="1:4" x14ac:dyDescent="0.2">
      <c r="A3447" s="5">
        <v>3386</v>
      </c>
      <c r="B3447" s="138">
        <f>'Tax Sched 23'!D16</f>
        <v>19223</v>
      </c>
      <c r="C3447" s="2" t="s">
        <v>573</v>
      </c>
      <c r="D3447" s="2" t="str">
        <f t="shared" si="52"/>
        <v>Error?</v>
      </c>
    </row>
    <row r="3448" spans="1:4" x14ac:dyDescent="0.2">
      <c r="A3448" s="5">
        <v>3387</v>
      </c>
      <c r="B3448" s="138">
        <f>'Tax Sched 23'!C16</f>
        <v>22701</v>
      </c>
      <c r="D3448" s="2" t="str">
        <f t="shared" si="52"/>
        <v>Error?</v>
      </c>
    </row>
    <row r="3449" spans="1:4" x14ac:dyDescent="0.2">
      <c r="A3449" s="5">
        <v>3388</v>
      </c>
      <c r="B3449" s="138">
        <f>'Tax Sched 23'!F16</f>
        <v>22374</v>
      </c>
      <c r="C3449" s="2" t="s">
        <v>573</v>
      </c>
      <c r="D3449" s="2" t="str">
        <f t="shared" si="52"/>
        <v>Error?</v>
      </c>
    </row>
    <row r="3450" spans="1:4" x14ac:dyDescent="0.2">
      <c r="A3450" s="5">
        <v>3389</v>
      </c>
      <c r="B3450" s="138">
        <f>'Tax Sched 23'!E16</f>
        <v>45075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2455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2455</v>
      </c>
      <c r="C3571" s="2" t="s">
        <v>573</v>
      </c>
      <c r="D3571" s="2" t="str">
        <f t="shared" si="54"/>
        <v>Error?</v>
      </c>
    </row>
    <row r="3572" spans="1:4" x14ac:dyDescent="0.2">
      <c r="A3572" s="5">
        <v>3511</v>
      </c>
      <c r="B3572" s="138">
        <f>'Acct Summary 7-8'!K13</f>
        <v>170254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170254</v>
      </c>
      <c r="C3575" s="2" t="s">
        <v>573</v>
      </c>
      <c r="D3575" s="2" t="str">
        <f t="shared" si="54"/>
        <v>Error?</v>
      </c>
    </row>
    <row r="3576" spans="1:4" x14ac:dyDescent="0.2">
      <c r="A3576" s="5">
        <v>3515</v>
      </c>
      <c r="B3576" s="138">
        <f>'Acct Summary 7-8'!K20</f>
        <v>-167799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-167799</v>
      </c>
      <c r="C3588" s="2" t="s">
        <v>573</v>
      </c>
      <c r="D3588" s="2" t="str">
        <f t="shared" si="55"/>
        <v>Error?</v>
      </c>
    </row>
    <row r="3589" spans="1:4" x14ac:dyDescent="0.2">
      <c r="A3589" s="5">
        <v>3528</v>
      </c>
      <c r="B3589" s="138">
        <f>'Acct Summary 7-8'!K79</f>
        <v>167799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170254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170254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170254</v>
      </c>
      <c r="C3649" s="2" t="s">
        <v>573</v>
      </c>
      <c r="D3649" s="2" t="str">
        <f t="shared" si="56"/>
        <v>Error?</v>
      </c>
    </row>
    <row r="3650" spans="1:4" x14ac:dyDescent="0.2">
      <c r="A3650" s="5">
        <v>3589</v>
      </c>
      <c r="B3650" s="138">
        <f>'Expenditures 15-22'!G367</f>
        <v>170254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170254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170254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170254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170254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-167799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5950</v>
      </c>
      <c r="D3721" s="2" t="str">
        <f t="shared" si="57"/>
        <v>Error?</v>
      </c>
    </row>
    <row r="3722" spans="1:4" x14ac:dyDescent="0.2">
      <c r="A3722" s="5">
        <v>3661</v>
      </c>
      <c r="B3722" s="138">
        <f>'Expenditures 15-22'!D285</f>
        <v>5950</v>
      </c>
      <c r="C3722" s="2" t="s">
        <v>573</v>
      </c>
      <c r="D3722" s="2" t="str">
        <f t="shared" si="57"/>
        <v>Error?</v>
      </c>
    </row>
    <row r="3723" spans="1:4" x14ac:dyDescent="0.2">
      <c r="A3723" s="5">
        <v>3662</v>
      </c>
      <c r="B3723" s="138">
        <f>'Expenditures 15-22'!K283</f>
        <v>5950</v>
      </c>
      <c r="C3723" s="2" t="s">
        <v>573</v>
      </c>
      <c r="D3723" s="2" t="str">
        <f t="shared" si="57"/>
        <v>Error?</v>
      </c>
    </row>
    <row r="3724" spans="1:4" x14ac:dyDescent="0.2">
      <c r="A3724" s="5">
        <v>3663</v>
      </c>
      <c r="B3724" s="138">
        <f>'Expenditures 15-22'!K285</f>
        <v>5950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909411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3801009</v>
      </c>
      <c r="C4122" s="2" t="s">
        <v>573</v>
      </c>
      <c r="D4122" s="2" t="str">
        <f t="shared" si="63"/>
        <v>Error?</v>
      </c>
    </row>
    <row r="4123" spans="1:4" x14ac:dyDescent="0.2">
      <c r="A4123" s="5">
        <v>4062</v>
      </c>
      <c r="B4123" s="138">
        <f>'Acct Summary 7-8'!D10</f>
        <v>309000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265206</v>
      </c>
      <c r="C4125" s="2" t="s">
        <v>573</v>
      </c>
      <c r="D4125" s="2" t="str">
        <f t="shared" si="63"/>
        <v>Error?</v>
      </c>
    </row>
    <row r="4126" spans="1:4" x14ac:dyDescent="0.2">
      <c r="A4126" s="5">
        <v>4065</v>
      </c>
      <c r="B4126" s="138">
        <f>'Acct Summary 7-8'!G10</f>
        <v>95023</v>
      </c>
      <c r="C4126" s="2" t="s">
        <v>573</v>
      </c>
      <c r="D4126" s="2" t="str">
        <f t="shared" si="63"/>
        <v>Error?</v>
      </c>
    </row>
    <row r="4127" spans="1:4" x14ac:dyDescent="0.2">
      <c r="A4127" s="5">
        <v>4066</v>
      </c>
      <c r="B4127" s="138">
        <f>'Acct Summary 7-8'!H10</f>
        <v>1545</v>
      </c>
      <c r="C4127" s="2" t="s">
        <v>573</v>
      </c>
      <c r="D4127" s="2" t="str">
        <f t="shared" si="63"/>
        <v>Error?</v>
      </c>
    </row>
    <row r="4128" spans="1:4" x14ac:dyDescent="0.2">
      <c r="A4128" s="5">
        <v>4067</v>
      </c>
      <c r="B4128" s="138">
        <f>'Acct Summary 7-8'!I10</f>
        <v>34766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2455</v>
      </c>
      <c r="C4130" s="2" t="s">
        <v>573</v>
      </c>
      <c r="D4130" s="2" t="str">
        <f t="shared" si="63"/>
        <v>Error?</v>
      </c>
    </row>
    <row r="4131" spans="1:4" x14ac:dyDescent="0.2">
      <c r="A4131" s="5">
        <v>4070</v>
      </c>
      <c r="B4131" s="138">
        <f>'Acct Summary 7-8'!C18</f>
        <v>909411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4163769</v>
      </c>
      <c r="C4136" s="2" t="s">
        <v>573</v>
      </c>
      <c r="D4136" s="2" t="str">
        <f t="shared" si="63"/>
        <v>Error?</v>
      </c>
    </row>
    <row r="4137" spans="1:4" x14ac:dyDescent="0.2">
      <c r="A4137" s="5">
        <v>4076</v>
      </c>
      <c r="B4137" s="138">
        <f>'Acct Summary 7-8'!D19</f>
        <v>1128891</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404293</v>
      </c>
      <c r="C4139" s="2" t="s">
        <v>573</v>
      </c>
      <c r="D4139" s="2" t="str">
        <f t="shared" si="63"/>
        <v>Error?</v>
      </c>
    </row>
    <row r="4140" spans="1:4" x14ac:dyDescent="0.2">
      <c r="A4140" s="5">
        <v>4079</v>
      </c>
      <c r="B4140" s="138">
        <f>'Acct Summary 7-8'!G19</f>
        <v>86136</v>
      </c>
      <c r="C4140" s="2" t="s">
        <v>573</v>
      </c>
      <c r="D4140" s="2" t="str">
        <f t="shared" si="63"/>
        <v>Error?</v>
      </c>
    </row>
    <row r="4141" spans="1:4" x14ac:dyDescent="0.2">
      <c r="A4141" s="5">
        <v>4080</v>
      </c>
      <c r="B4141" s="138">
        <f>'Acct Summary 7-8'!H19</f>
        <v>730324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170254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3126.0000000000005</v>
      </c>
      <c r="C4265" s="2" t="s">
        <v>573</v>
      </c>
      <c r="D4265" s="2" t="str">
        <f t="shared" si="65"/>
        <v>Error?</v>
      </c>
      <c r="E4265" s="128"/>
    </row>
    <row r="4266" spans="1:5" x14ac:dyDescent="0.2">
      <c r="A4266" s="12">
        <v>4205</v>
      </c>
      <c r="B4266" s="138">
        <f>('FP Info 3'!F10)*100000</f>
        <v>306</v>
      </c>
      <c r="C4266" s="2" t="s">
        <v>573</v>
      </c>
      <c r="D4266" s="2" t="str">
        <f t="shared" si="65"/>
        <v>Error?</v>
      </c>
      <c r="E4266" s="128"/>
    </row>
    <row r="4267" spans="1:5" x14ac:dyDescent="0.2">
      <c r="A4267" s="12">
        <v>4206</v>
      </c>
      <c r="B4267" s="138">
        <f>('FP Info 3'!H10)*100000</f>
        <v>223.7</v>
      </c>
      <c r="C4267" s="2" t="s">
        <v>573</v>
      </c>
      <c r="D4267" s="2" t="str">
        <f t="shared" si="65"/>
        <v>Error?</v>
      </c>
      <c r="E4267" s="128"/>
    </row>
    <row r="4268" spans="1:5" x14ac:dyDescent="0.2">
      <c r="A4268" s="12">
        <v>4207</v>
      </c>
      <c r="B4268" s="138">
        <f>('FP Info 3'!J10)*100000</f>
        <v>3656</v>
      </c>
      <c r="C4268" s="2" t="s">
        <v>573</v>
      </c>
      <c r="D4268" s="2" t="str">
        <f t="shared" si="65"/>
        <v>Error?</v>
      </c>
    </row>
    <row r="4269" spans="1:5" x14ac:dyDescent="0.2">
      <c r="A4269" s="12">
        <v>4208</v>
      </c>
      <c r="B4269" s="138">
        <f>'FP Info 3'!J16</f>
        <v>4453685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4665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3821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13939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13939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44.7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86873842</v>
      </c>
      <c r="D4995" s="2" t="str">
        <f t="shared" si="77"/>
        <v>Error?</v>
      </c>
    </row>
    <row r="4996" spans="1:4" x14ac:dyDescent="0.2">
      <c r="A4996" s="12">
        <v>4935</v>
      </c>
      <c r="B4996" s="138">
        <f>'FP Info 3'!H31</f>
        <v>5994295.0980000002</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2232359</v>
      </c>
      <c r="D5061" s="2" t="str">
        <f t="shared" si="78"/>
        <v>Error?</v>
      </c>
    </row>
    <row r="5062" spans="1:4" x14ac:dyDescent="0.2">
      <c r="A5062" s="10">
        <v>5001</v>
      </c>
      <c r="D5062" s="2" t="str">
        <f t="shared" si="78"/>
        <v>OK</v>
      </c>
    </row>
    <row r="5063" spans="1:4" x14ac:dyDescent="0.2">
      <c r="A5063" s="5">
        <v>5002</v>
      </c>
      <c r="B5063" s="138">
        <f>'Revenues 9-14'!C7</f>
        <v>312096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2544455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4921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4921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31046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31046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17928</v>
      </c>
      <c r="C5096" s="2" t="s">
        <v>573</v>
      </c>
      <c r="D5096" s="2" t="str">
        <f t="shared" si="78"/>
        <v>Error?</v>
      </c>
    </row>
    <row r="5097" spans="1:4" x14ac:dyDescent="0.2">
      <c r="A5097" s="5">
        <v>5036</v>
      </c>
      <c r="B5097" s="138">
        <f>'Revenues 9-14'!C77</f>
        <v>4986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3690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8676</v>
      </c>
      <c r="C5102" s="2" t="s">
        <v>573</v>
      </c>
      <c r="D5102" s="2" t="str">
        <f t="shared" si="78"/>
        <v>Error?</v>
      </c>
    </row>
    <row r="5103" spans="1:4" x14ac:dyDescent="0.2">
      <c r="A5103" s="5">
        <v>5042</v>
      </c>
      <c r="B5103" s="138">
        <f>'Revenues 9-14'!C84</f>
        <v>21072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21072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2807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23275</v>
      </c>
      <c r="D5119" s="2" t="str">
        <f t="shared" ref="D5119:D5182" si="79">IF(ISBLANK(B5119),"OK",IF(A5119-B5119=0,"OK","Error?"))</f>
        <v>Error?</v>
      </c>
    </row>
    <row r="5120" spans="1:4" x14ac:dyDescent="0.2">
      <c r="A5120" s="5">
        <v>5059</v>
      </c>
      <c r="B5120" s="138">
        <f>'Revenues 9-14'!C108</f>
        <v>26082</v>
      </c>
      <c r="C5120" s="2" t="s">
        <v>573</v>
      </c>
      <c r="D5120" s="2" t="str">
        <f t="shared" si="79"/>
        <v>Error?</v>
      </c>
    </row>
    <row r="5121" spans="1:4" x14ac:dyDescent="0.2">
      <c r="A5121" s="5">
        <v>5060</v>
      </c>
      <c r="B5121" s="138">
        <f>'Revenues 9-14'!C109</f>
        <v>2654180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123900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123900</v>
      </c>
      <c r="C5132" s="2" t="s">
        <v>573</v>
      </c>
      <c r="D5132" s="2" t="str">
        <f t="shared" si="79"/>
        <v>Error?</v>
      </c>
    </row>
    <row r="5133" spans="1:4" x14ac:dyDescent="0.2">
      <c r="A5133" s="5">
        <v>5072</v>
      </c>
      <c r="B5133" s="138">
        <f>'Revenues 9-14'!C125</f>
        <v>12386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12386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12386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136286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40832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40832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1009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36866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37875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101132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101132</v>
      </c>
      <c r="C5326" s="2" t="s">
        <v>573</v>
      </c>
      <c r="D5326" s="2" t="str">
        <f t="shared" si="82"/>
        <v>Error?</v>
      </c>
    </row>
    <row r="5327" spans="1:5" x14ac:dyDescent="0.2">
      <c r="A5327" s="5">
        <v>5266</v>
      </c>
      <c r="B5327" s="138">
        <f>'Revenues 9-14'!C268</f>
        <v>2891598</v>
      </c>
      <c r="C5327" s="2" t="s">
        <v>573</v>
      </c>
      <c r="D5327" s="2" t="str">
        <f t="shared" si="82"/>
        <v>Error?</v>
      </c>
    </row>
    <row r="5328" spans="1:5" x14ac:dyDescent="0.2">
      <c r="A5328" s="5">
        <v>5267</v>
      </c>
      <c r="B5328" s="138">
        <f>'Revenues 9-14'!D5</f>
        <v>237979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237979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198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198</v>
      </c>
      <c r="C5339" s="2" t="s">
        <v>573</v>
      </c>
      <c r="D5339" s="2" t="str">
        <f t="shared" si="82"/>
        <v>Error?</v>
      </c>
    </row>
    <row r="5340" spans="1:4" x14ac:dyDescent="0.2">
      <c r="A5340" s="5">
        <v>5279</v>
      </c>
      <c r="B5340" s="138">
        <f>'Revenues 9-14'!D65</f>
        <v>17140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17140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12840</v>
      </c>
      <c r="D5354" s="2" t="str">
        <f t="shared" si="82"/>
        <v>Error?</v>
      </c>
    </row>
    <row r="5355" spans="1:4" x14ac:dyDescent="0.2">
      <c r="A5355" s="5">
        <v>5294</v>
      </c>
      <c r="B5355" s="138">
        <f>'Revenues 9-14'!D108</f>
        <v>26156</v>
      </c>
      <c r="C5355" s="2" t="s">
        <v>573</v>
      </c>
      <c r="D5355" s="2" t="str">
        <f t="shared" si="82"/>
        <v>Error?</v>
      </c>
    </row>
    <row r="5356" spans="1:4" x14ac:dyDescent="0.2">
      <c r="A5356" s="5">
        <v>5295</v>
      </c>
      <c r="B5356" s="138">
        <f>'Revenues 9-14'!D109</f>
        <v>281473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27527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27527</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27527</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309000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74908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74908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7962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7962</v>
      </c>
      <c r="C5582" s="2" t="s">
        <v>573</v>
      </c>
      <c r="D5582" s="2" t="str">
        <f t="shared" si="86"/>
        <v>Error?</v>
      </c>
    </row>
    <row r="5583" spans="1:4" x14ac:dyDescent="0.2">
      <c r="A5583" s="5">
        <v>5522</v>
      </c>
      <c r="B5583" s="138">
        <f>'Revenues 9-14'!F96</f>
        <v>2000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2000</v>
      </c>
      <c r="C5587" s="2" t="s">
        <v>573</v>
      </c>
      <c r="D5587" s="2" t="str">
        <f t="shared" si="86"/>
        <v>Error?</v>
      </c>
    </row>
    <row r="5588" spans="1:4" x14ac:dyDescent="0.2">
      <c r="A5588" s="5">
        <v>5527</v>
      </c>
      <c r="B5588" s="138">
        <f>'Revenues 9-14'!F109</f>
        <v>84870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48763</v>
      </c>
      <c r="D5615" s="2" t="str">
        <f t="shared" si="86"/>
        <v>Error?</v>
      </c>
    </row>
    <row r="5616" spans="1:4" x14ac:dyDescent="0.2">
      <c r="A5616" s="10">
        <v>5555</v>
      </c>
      <c r="D5616" s="2" t="str">
        <f t="shared" si="86"/>
        <v>OK</v>
      </c>
    </row>
    <row r="5617" spans="1:5" x14ac:dyDescent="0.2">
      <c r="A5617" s="5">
        <v>5556</v>
      </c>
      <c r="B5617" s="138">
        <f>'Revenues 9-14'!F153</f>
        <v>131573</v>
      </c>
      <c r="D5617" s="2" t="str">
        <f t="shared" si="86"/>
        <v>Error?</v>
      </c>
    </row>
    <row r="5618" spans="1:5" x14ac:dyDescent="0.2">
      <c r="A5618" s="5">
        <v>5557</v>
      </c>
      <c r="B5618" s="138">
        <f>'Revenues 9-14'!F155</f>
        <v>180336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180336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180336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265206</v>
      </c>
      <c r="C5720" s="2" t="s">
        <v>573</v>
      </c>
      <c r="D5720" s="2" t="str">
        <f t="shared" si="88"/>
        <v>Error?</v>
      </c>
    </row>
    <row r="5721" spans="1:4" x14ac:dyDescent="0.2">
      <c r="A5721" s="5">
        <v>5660</v>
      </c>
      <c r="B5721" s="138">
        <f>'Revenues 9-14'!G5</f>
        <v>44477</v>
      </c>
      <c r="D5721" s="2" t="str">
        <f t="shared" si="88"/>
        <v>Error?</v>
      </c>
    </row>
    <row r="5722" spans="1:4" x14ac:dyDescent="0.2">
      <c r="A5722" s="5">
        <v>5661</v>
      </c>
      <c r="B5722" s="138">
        <f>'Revenues 9-14'!G7</f>
        <v>0</v>
      </c>
      <c r="D5722" s="2" t="str">
        <f t="shared" si="88"/>
        <v>Error?</v>
      </c>
    </row>
    <row r="5723" spans="1:4" x14ac:dyDescent="0.2">
      <c r="A5723" s="5">
        <v>5662</v>
      </c>
      <c r="B5723" s="138">
        <f>'Revenues 9-14'!G8</f>
        <v>41924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86401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7593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7593</v>
      </c>
      <c r="C5730" s="2" t="s">
        <v>573</v>
      </c>
      <c r="D5730" s="2" t="str">
        <f t="shared" si="88"/>
        <v>Error?</v>
      </c>
    </row>
    <row r="5731" spans="1:4" x14ac:dyDescent="0.2">
      <c r="A5731" s="5">
        <v>5670</v>
      </c>
      <c r="B5731" s="138">
        <f>'Revenues 9-14'!G65</f>
        <v>1029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1029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95023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1545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1545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1545</v>
      </c>
      <c r="C5915" s="2" t="s">
        <v>573</v>
      </c>
      <c r="D5915" s="2" t="str">
        <f t="shared" si="91"/>
        <v>Error?</v>
      </c>
    </row>
    <row r="5916" spans="1:4" x14ac:dyDescent="0.2">
      <c r="A5916" s="5">
        <v>5855</v>
      </c>
      <c r="B5916" s="138">
        <f>'Revenues 9-14'!I5</f>
        <v>19509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19509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15257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15257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34766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2455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2455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2455</v>
      </c>
      <c r="C6023" s="2" t="s">
        <v>573</v>
      </c>
      <c r="D6023" s="2" t="str">
        <f t="shared" si="93"/>
        <v>Error?</v>
      </c>
    </row>
    <row r="6024" spans="1:5" x14ac:dyDescent="0.2">
      <c r="A6024" s="5">
        <v>5963</v>
      </c>
      <c r="B6024" s="138">
        <f>'Revenues 9-14'!G109</f>
        <v>95023</v>
      </c>
      <c r="C6024" s="2" t="s">
        <v>573</v>
      </c>
      <c r="D6024" s="2" t="str">
        <f t="shared" si="93"/>
        <v>Error?</v>
      </c>
    </row>
    <row r="6025" spans="1:5" x14ac:dyDescent="0.2">
      <c r="A6025" s="5">
        <v>5964</v>
      </c>
      <c r="B6025" s="138">
        <f>'Revenues 9-14'!H109</f>
        <v>1545</v>
      </c>
      <c r="C6025" s="2" t="s">
        <v>573</v>
      </c>
      <c r="D6025" s="2" t="str">
        <f t="shared" si="93"/>
        <v>Error?</v>
      </c>
    </row>
    <row r="6026" spans="1:5" x14ac:dyDescent="0.2">
      <c r="A6026" s="5">
        <v>5965</v>
      </c>
      <c r="B6026" s="138">
        <f>'Revenues 9-14'!I109</f>
        <v>34766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2455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17928</v>
      </c>
      <c r="D6031" s="2" t="str">
        <f t="shared" si="93"/>
        <v>Error?</v>
      </c>
    </row>
    <row r="6032" spans="1:5" x14ac:dyDescent="0.2">
      <c r="A6032" s="5">
        <v>5971</v>
      </c>
      <c r="B6032" s="138">
        <f>'Acct Summary 7-8'!G15</f>
        <v>5950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159.69999999999999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-362760</v>
      </c>
      <c r="D6267" s="2" t="str">
        <f t="shared" si="96"/>
        <v>Error?</v>
      </c>
      <c r="E6267" s="2" t="s">
        <v>190</v>
      </c>
    </row>
    <row r="6268" spans="1:5" x14ac:dyDescent="0.2">
      <c r="A6268">
        <v>6207</v>
      </c>
      <c r="B6268" s="138">
        <f>'Acct Summary 7-8'!D82</f>
        <v>-1056732</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-139087</v>
      </c>
      <c r="D6270" s="2" t="str">
        <f t="shared" si="96"/>
        <v>Error?</v>
      </c>
      <c r="E6270" s="2" t="s">
        <v>190</v>
      </c>
    </row>
    <row r="6271" spans="1:5" x14ac:dyDescent="0.2">
      <c r="A6271">
        <v>6210</v>
      </c>
      <c r="B6271" s="138">
        <f>'Acct Summary 7-8'!G82</f>
        <v>8887</v>
      </c>
      <c r="D6271" s="2" t="str">
        <f t="shared" ref="D6271:D6334" si="97">IF(ISBLANK(B6271),"OK",IF(A6271-B6271=0,"OK","Error?"))</f>
        <v>Error?</v>
      </c>
      <c r="E6271" s="2" t="s">
        <v>190</v>
      </c>
    </row>
    <row r="6272" spans="1:5" x14ac:dyDescent="0.2">
      <c r="A6272">
        <v>6211</v>
      </c>
      <c r="B6272" s="138">
        <f>'Acct Summary 7-8'!H82</f>
        <v>-491938</v>
      </c>
      <c r="D6272" s="2" t="str">
        <f t="shared" si="97"/>
        <v>Error?</v>
      </c>
      <c r="E6272" s="2" t="s">
        <v>190</v>
      </c>
    </row>
    <row r="6273" spans="1:5" x14ac:dyDescent="0.2">
      <c r="A6273">
        <v>6212</v>
      </c>
      <c r="B6273" s="138">
        <f>'Acct Summary 7-8'!I82</f>
        <v>34766</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-167799</v>
      </c>
      <c r="D6275" s="2" t="str">
        <f t="shared" si="97"/>
        <v>Error?</v>
      </c>
      <c r="E6275" s="2" t="s">
        <v>190</v>
      </c>
    </row>
    <row r="6276" spans="1:5" x14ac:dyDescent="0.2">
      <c r="A6276">
        <v>6215</v>
      </c>
      <c r="B6276" s="138">
        <f>'Acct Summary 7-8'!C83</f>
        <v>-0.12548749379930718</v>
      </c>
      <c r="D6276" s="2" t="str">
        <f t="shared" si="97"/>
        <v>Error?</v>
      </c>
      <c r="E6276" s="2" t="s">
        <v>190</v>
      </c>
    </row>
    <row r="6277" spans="1:5" x14ac:dyDescent="0.2">
      <c r="A6277">
        <v>6216</v>
      </c>
      <c r="B6277" s="138">
        <f>'Acct Summary 7-8'!D83</f>
        <v>-2.3568460658344614</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-0.31083533350318016</v>
      </c>
      <c r="D6279" s="2" t="str">
        <f t="shared" si="97"/>
        <v>Error?</v>
      </c>
      <c r="E6279" s="2" t="s">
        <v>190</v>
      </c>
    </row>
    <row r="6280" spans="1:5" x14ac:dyDescent="0.2">
      <c r="A6280">
        <v>6219</v>
      </c>
      <c r="B6280" s="138">
        <f>'Acct Summary 7-8'!G83</f>
        <v>8.6782871930081537E-2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5.2119031556854808E-2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13316</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27463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82441</v>
      </c>
      <c r="D6880" s="2" t="str">
        <f t="shared" si="106"/>
        <v>Error?</v>
      </c>
    </row>
    <row r="6881" spans="1:4" x14ac:dyDescent="0.2">
      <c r="A6881">
        <v>6820</v>
      </c>
      <c r="B6881" s="138">
        <f>'Expenditures 15-22'!K22</f>
        <v>82441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27463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27463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121740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121740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121740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149203</v>
      </c>
      <c r="D7624" s="2" t="str">
        <f t="shared" si="124"/>
        <v>Error?</v>
      </c>
      <c r="E7624" s="2" t="s">
        <v>19</v>
      </c>
    </row>
    <row r="7625" spans="1:5" x14ac:dyDescent="0.2">
      <c r="A7625">
        <f t="shared" si="123"/>
        <v>7564</v>
      </c>
      <c r="B7625" s="138">
        <f>'Cap Outlay Deprec 26'!I17</f>
        <v>14920.3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292365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312906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581430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1989</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Grass Lake SD 36</v>
      </c>
      <c r="B7" s="2404"/>
      <c r="C7" s="2404"/>
      <c r="D7" s="2405"/>
      <c r="E7" s="2406">
        <f>COVER!A13</f>
        <v>34049036002</v>
      </c>
      <c r="F7" s="2407"/>
      <c r="G7" s="2413" t="str">
        <f>COVER!T23</f>
        <v>066-005340</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Evans, Marshall and Pease, PC</v>
      </c>
      <c r="H9" s="2419"/>
      <c r="I9" s="2419"/>
      <c r="J9" s="2419"/>
      <c r="K9" s="2419"/>
      <c r="L9" s="2420"/>
    </row>
    <row r="10" spans="1:29" ht="13.5" customHeight="1" x14ac:dyDescent="0.2">
      <c r="A10" s="2393">
        <f>COVER!A38</f>
        <v>0</v>
      </c>
      <c r="B10" s="2394"/>
      <c r="C10" s="2394"/>
      <c r="D10" s="2394"/>
      <c r="E10" s="2394"/>
      <c r="F10" s="2395"/>
      <c r="G10" s="2387" t="str">
        <f>COVER!T17</f>
        <v>1875 Hicks Road</v>
      </c>
      <c r="H10" s="2388"/>
      <c r="I10" s="2388"/>
      <c r="J10" s="2388"/>
      <c r="K10" s="2388"/>
      <c r="L10" s="2389"/>
    </row>
    <row r="11" spans="1:29" ht="13.5" customHeight="1" x14ac:dyDescent="0.2">
      <c r="A11" s="1184" t="s">
        <v>1519</v>
      </c>
      <c r="B11" s="1185"/>
      <c r="C11" s="1186"/>
      <c r="D11" s="1191"/>
      <c r="E11" s="1186"/>
      <c r="F11" s="1190"/>
      <c r="G11" s="2387" t="str">
        <f>COVER!T19</f>
        <v>Rolling Meadows</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jeff@empcpa.com</v>
      </c>
      <c r="J13" s="2400"/>
      <c r="K13" s="2400"/>
      <c r="L13" s="2401"/>
    </row>
    <row r="14" spans="1:29" ht="13.5" customHeight="1" x14ac:dyDescent="0.2">
      <c r="A14" s="2387" t="str">
        <f>COVER!A19</f>
        <v>26177 W Grass Lake Road</v>
      </c>
      <c r="B14" s="2388"/>
      <c r="C14" s="2388"/>
      <c r="D14" s="2388"/>
      <c r="E14" s="2388"/>
      <c r="F14" s="2389"/>
      <c r="G14" s="1195" t="s">
        <v>1185</v>
      </c>
      <c r="H14" s="1193"/>
      <c r="I14" s="1193"/>
      <c r="J14" s="1193"/>
      <c r="K14" s="1193"/>
      <c r="L14" s="1194"/>
    </row>
    <row r="15" spans="1:29" ht="13.5" customHeight="1" x14ac:dyDescent="0.2">
      <c r="A15" s="2387" t="str">
        <f>COVER!A21</f>
        <v>Antioch</v>
      </c>
      <c r="B15" s="2388"/>
      <c r="C15" s="2388"/>
      <c r="D15" s="2388"/>
      <c r="E15" s="2388"/>
      <c r="F15" s="2389"/>
      <c r="G15" s="2384" t="str">
        <f>COVER!T15</f>
        <v>Jeffery M. Rollefson, CPA</v>
      </c>
      <c r="H15" s="2385"/>
      <c r="I15" s="2385"/>
      <c r="J15" s="2385"/>
      <c r="K15" s="2385"/>
      <c r="L15" s="2386"/>
    </row>
    <row r="16" spans="1:29" ht="12.2" customHeight="1" x14ac:dyDescent="0.2">
      <c r="A16" s="2409">
        <f>COVER!A25</f>
        <v>60002</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847-221-5700</v>
      </c>
      <c r="H18" s="2404"/>
      <c r="I18" s="2404"/>
      <c r="J18" s="2404"/>
      <c r="K18" s="2403" t="str">
        <f>COVER!X21</f>
        <v>847-221-5701</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Grass Lake SD 36</v>
      </c>
      <c r="B1" s="2402"/>
      <c r="C1" s="2402"/>
      <c r="D1" s="2402"/>
    </row>
    <row r="2" spans="1:11" s="1212" customFormat="1" ht="12.75" x14ac:dyDescent="0.2">
      <c r="A2" s="2426">
        <f>'Single Audit Cover'!E7</f>
        <v>34049036002</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Grass Lake SD 36</v>
      </c>
      <c r="B1" s="2429"/>
      <c r="C1" s="2429"/>
      <c r="D1" s="2429"/>
      <c r="E1" s="2429"/>
    </row>
    <row r="2" spans="1:5" x14ac:dyDescent="0.2">
      <c r="A2" s="2430">
        <f>'Single Audit Cover'!E7</f>
        <v>34049036002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101132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-3821</v>
      </c>
    </row>
    <row r="19" spans="1:4" ht="13.5" thickBot="1" x14ac:dyDescent="0.25">
      <c r="A19" s="1262" t="s">
        <v>1235</v>
      </c>
      <c r="D19" s="1263">
        <f>SUM(D10:D17)</f>
        <v>97311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97311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97311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Grass Lake SD 36</v>
      </c>
      <c r="C1" s="2433"/>
      <c r="D1" s="2433"/>
      <c r="E1" s="2433"/>
      <c r="F1" s="2433"/>
      <c r="G1" s="2433"/>
      <c r="H1" s="2433"/>
      <c r="I1" s="2433"/>
      <c r="J1" s="2433"/>
      <c r="K1" s="2433"/>
      <c r="L1" s="2433"/>
      <c r="M1" s="2433"/>
    </row>
    <row r="2" spans="2:14" ht="15" x14ac:dyDescent="0.2">
      <c r="B2" s="2434">
        <f>'Single Audit Cover'!E7</f>
        <v>34049036002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Grass Lake SD 36</v>
      </c>
      <c r="B1" s="2446"/>
      <c r="C1" s="2446"/>
      <c r="D1" s="2446"/>
      <c r="E1" s="2446"/>
      <c r="F1" s="2446"/>
    </row>
    <row r="2" spans="1:7" ht="13.5" customHeight="1" x14ac:dyDescent="0.2">
      <c r="A2" s="2434">
        <f>'Single Audit Cover'!E7</f>
        <v>34049036002</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121" sqref="D12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2076</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2068</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Grass Lake SD 36</v>
      </c>
      <c r="C1" s="2461"/>
      <c r="D1" s="2461"/>
      <c r="E1" s="2461"/>
      <c r="F1" s="2461"/>
      <c r="G1" s="2461"/>
      <c r="H1" s="2461"/>
      <c r="I1" s="2461"/>
      <c r="J1" s="1406"/>
    </row>
    <row r="2" spans="2:10" s="317" customFormat="1" ht="12.75" customHeight="1" x14ac:dyDescent="0.2">
      <c r="B2" s="2462">
        <f>'Single Audit Cover'!E7</f>
        <v>34049036002</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1841</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Grass Lake SD 36</v>
      </c>
      <c r="C1" s="2460"/>
      <c r="D1" s="2460"/>
      <c r="E1" s="2460"/>
      <c r="F1" s="2460"/>
      <c r="G1" s="2460"/>
      <c r="H1" s="2460"/>
      <c r="I1" s="2460"/>
      <c r="J1" s="2460"/>
      <c r="K1" s="2460"/>
      <c r="L1" s="1371"/>
      <c r="M1" s="1371"/>
    </row>
    <row r="2" spans="1:13" ht="12" customHeight="1" x14ac:dyDescent="0.2">
      <c r="B2" s="2462">
        <f>'Single Audit Cover'!E7</f>
        <v>34049036002</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Grass Lake SD 36</v>
      </c>
      <c r="C1" s="2483"/>
      <c r="D1" s="2483"/>
      <c r="E1" s="2483"/>
      <c r="F1" s="2483"/>
      <c r="G1" s="2483"/>
      <c r="H1" s="2483"/>
      <c r="I1" s="2483"/>
      <c r="J1" s="2483"/>
      <c r="K1" s="2483"/>
      <c r="L1" s="1449"/>
    </row>
    <row r="2" spans="1:12" ht="12.75" customHeight="1" x14ac:dyDescent="0.2">
      <c r="B2" s="2484">
        <f>'Single Audit Cover'!E7</f>
        <v>34049036002</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Grass Lake SD 36</v>
      </c>
      <c r="C1" s="2460"/>
      <c r="D1" s="2460"/>
      <c r="E1" s="1469"/>
    </row>
    <row r="2" spans="2:5" s="1279" customFormat="1" ht="12.75" customHeight="1" x14ac:dyDescent="0.2">
      <c r="B2" s="2462">
        <f>'Single Audit Cover'!E7</f>
        <v>34049036002</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86873842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3.1260000000000003E-2</v>
      </c>
      <c r="E10" s="356" t="s">
        <v>1005</v>
      </c>
      <c r="F10" s="355">
        <v>3.0599999999999998E-3</v>
      </c>
      <c r="G10" s="356" t="s">
        <v>1005</v>
      </c>
      <c r="H10" s="355">
        <v>2.2369999999999998E-3</v>
      </c>
      <c r="I10" s="356" t="s">
        <v>1006</v>
      </c>
      <c r="J10" s="1732">
        <f>ROUND(D10+F10+H10,5)</f>
        <v>3.6560000000000002E-2</v>
      </c>
      <c r="K10" s="222"/>
      <c r="L10" s="355">
        <v>4.4700000000000002E-4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3500570</v>
      </c>
      <c r="E16" s="356"/>
      <c r="F16" s="1733">
        <f>SUM('Acct Summary 7-8'!C17,'Acct Summary 7-8'!D17,'Acct Summary 7-8'!F17)</f>
        <v>4787542</v>
      </c>
      <c r="G16" s="356"/>
      <c r="H16" s="1733">
        <f>SUM(D16-F16)</f>
        <v>-1286972</v>
      </c>
      <c r="I16" s="222"/>
      <c r="J16" s="1733">
        <f>SUM('Acct Summary 7-8'!C81,'Acct Summary 7-8'!D81,'Acct Summary 7-8'!F81,'Acct Summary 7-8'!I81)</f>
        <v>4453685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586</v>
      </c>
      <c r="D31" s="237" t="s">
        <v>1072</v>
      </c>
      <c r="E31" s="222"/>
      <c r="F31" s="222"/>
      <c r="G31" s="363"/>
      <c r="H31" s="1735">
        <f>IF(B31="X",(J7*0.069),IF(B32="X",(J7*0.138),"Enter x in a.or b."))</f>
        <v>5994295.0980000002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Grass Lake SD 36</v>
      </c>
      <c r="E7" s="391"/>
      <c r="G7" s="252"/>
      <c r="H7" s="387"/>
      <c r="I7" s="387"/>
      <c r="J7" s="387"/>
      <c r="K7" s="387"/>
      <c r="L7" s="329"/>
      <c r="M7" s="329"/>
      <c r="N7" s="329"/>
      <c r="O7" s="329"/>
      <c r="P7" s="329"/>
    </row>
    <row r="8" spans="1:18" ht="12.75" x14ac:dyDescent="0.2">
      <c r="A8" s="329"/>
      <c r="B8" s="329"/>
      <c r="C8" s="389" t="s">
        <v>1125</v>
      </c>
      <c r="D8" s="392">
        <f>COVER!A13</f>
        <v>34049036002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4453685</v>
      </c>
      <c r="I12" s="404"/>
      <c r="J12" s="404"/>
      <c r="K12" s="405">
        <f>TRUNC((H12/H13*100000),5)/100000</f>
        <v>1.2722742296</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3500570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4787542</v>
      </c>
      <c r="I17" s="404"/>
      <c r="J17" s="416"/>
      <c r="K17" s="405">
        <f>TRUNC((H17/H18*100000),5)/100000</f>
        <v>1.3676464118</v>
      </c>
      <c r="L17" s="406"/>
      <c r="M17" s="417" t="s">
        <v>1171</v>
      </c>
      <c r="O17" s="418" t="str">
        <f>IF(AND(O16="2", J20 &gt; 2),"1",IF(AND(O16 = "1", J20 &gt; 2),"2",IF(AND(O16="1", J20 &gt;1),"1","0")))</f>
        <v>2</v>
      </c>
      <c r="P17" s="218"/>
    </row>
    <row r="18" spans="1:18" s="408" customFormat="1" ht="11.25" x14ac:dyDescent="0.2">
      <c r="A18" s="218"/>
      <c r="B18" s="401"/>
      <c r="C18" s="2101" t="s">
        <v>1317</v>
      </c>
      <c r="D18" s="2102"/>
      <c r="E18" s="218"/>
      <c r="F18" s="419" t="s">
        <v>794</v>
      </c>
      <c r="G18" s="402"/>
      <c r="H18" s="403">
        <f>SUM('Acct Summary 7-8'!C8+'Acct Summary 7-8'!D8+'Acct Summary 7-8'!F8+'Acct Summary 7-8'!I8)+H19</f>
        <v>3500570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3.1885914999999998</v>
      </c>
      <c r="K20" s="405">
        <f>IF(K17&lt;=1,"0",IF(AND(O16="2", J20 &gt; 2),TRUNC(((K12-0.1)/(K17-1)*100),5)/100,IF(AND(O16 = "1", J20 &gt; 2),TRUNC(((K12-0.1)/(K17-1)*100),5)/100,IF(AND(O16="1", J20 &gt;1),TRUNC(((K12-0.1)/(K17-1)*100),5)/100,""))))</f>
        <v>3.1885914999999998</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4453781</v>
      </c>
      <c r="I24" s="422"/>
      <c r="J24" s="422"/>
      <c r="K24" s="423">
        <f>TRUNC(((H24/H25*100000)/100000),2)</f>
        <v>334.9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13298.727779999999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2699691.5139899999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5994295.0980000002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Q32" sqref="Q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2890752</v>
      </c>
      <c r="D4" s="466">
        <v>448367</v>
      </c>
      <c r="E4" s="466"/>
      <c r="F4" s="466">
        <v>447612</v>
      </c>
      <c r="G4" s="466">
        <v>102405</v>
      </c>
      <c r="H4" s="466"/>
      <c r="I4" s="466">
        <v>667050</v>
      </c>
      <c r="J4" s="467"/>
      <c r="K4" s="466"/>
      <c r="L4" s="466">
        <v>2676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2890752</v>
      </c>
      <c r="D13" s="1737">
        <f t="shared" ref="D13:L13" si="0">SUM(D4:D12)</f>
        <v>448367</v>
      </c>
      <c r="E13" s="1737">
        <f t="shared" si="0"/>
        <v>0</v>
      </c>
      <c r="F13" s="1737">
        <f t="shared" si="0"/>
        <v>447612</v>
      </c>
      <c r="G13" s="1737">
        <f t="shared" si="0"/>
        <v>102405</v>
      </c>
      <c r="H13" s="1737">
        <f t="shared" si="0"/>
        <v>0</v>
      </c>
      <c r="I13" s="1737">
        <f t="shared" si="0"/>
        <v>667050</v>
      </c>
      <c r="J13" s="1737">
        <f t="shared" si="0"/>
        <v>0</v>
      </c>
      <c r="K13" s="1737">
        <f t="shared" si="0"/>
        <v>0</v>
      </c>
      <c r="L13" s="1737">
        <f t="shared" si="0"/>
        <v>2676</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42000</v>
      </c>
      <c r="N16" s="484"/>
    </row>
    <row r="17" spans="1:14" s="485" customFormat="1" ht="12.75" customHeight="1" x14ac:dyDescent="0.2">
      <c r="A17" s="482" t="s">
        <v>1403</v>
      </c>
      <c r="B17" s="483">
        <v>230</v>
      </c>
      <c r="C17" s="477"/>
      <c r="D17" s="477"/>
      <c r="E17" s="477"/>
      <c r="F17" s="477"/>
      <c r="G17" s="477"/>
      <c r="H17" s="477"/>
      <c r="I17" s="477"/>
      <c r="J17" s="477"/>
      <c r="K17" s="477"/>
      <c r="L17" s="477"/>
      <c r="M17" s="467">
        <v>8320346</v>
      </c>
      <c r="N17" s="484"/>
    </row>
    <row r="18" spans="1:14" s="485" customFormat="1" ht="12.75" customHeight="1" x14ac:dyDescent="0.2">
      <c r="A18" s="482" t="s">
        <v>1404</v>
      </c>
      <c r="B18" s="483">
        <v>240</v>
      </c>
      <c r="C18" s="477"/>
      <c r="D18" s="477"/>
      <c r="E18" s="477"/>
      <c r="F18" s="477"/>
      <c r="G18" s="477"/>
      <c r="H18" s="477"/>
      <c r="I18" s="477"/>
      <c r="J18" s="477"/>
      <c r="K18" s="477"/>
      <c r="L18" s="477"/>
      <c r="M18" s="467">
        <v>377369</v>
      </c>
      <c r="N18" s="484"/>
    </row>
    <row r="19" spans="1:14" s="485" customFormat="1" ht="12.75" customHeight="1" x14ac:dyDescent="0.2">
      <c r="A19" s="482" t="s">
        <v>1405</v>
      </c>
      <c r="B19" s="483">
        <v>250</v>
      </c>
      <c r="C19" s="477"/>
      <c r="D19" s="477"/>
      <c r="E19" s="477"/>
      <c r="F19" s="477"/>
      <c r="G19" s="477"/>
      <c r="H19" s="477"/>
      <c r="I19" s="477"/>
      <c r="J19" s="477"/>
      <c r="K19" s="477"/>
      <c r="L19" s="477"/>
      <c r="M19" s="467">
        <v>1034904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9774619</v>
      </c>
      <c r="N23" s="1688">
        <f>SUM(N21:N22)</f>
        <v>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-54</v>
      </c>
      <c r="D31" s="467"/>
      <c r="E31" s="467"/>
      <c r="F31" s="466">
        <v>150</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2676</v>
      </c>
      <c r="M33" s="468"/>
      <c r="N33" s="469"/>
    </row>
    <row r="34" spans="1:14" ht="13.5" customHeight="1" thickBot="1" x14ac:dyDescent="0.25">
      <c r="A34" s="1738" t="s">
        <v>654</v>
      </c>
      <c r="B34" s="1739"/>
      <c r="C34" s="1740">
        <f>SUM(C25:C33)</f>
        <v>-54</v>
      </c>
      <c r="D34" s="1740">
        <f t="shared" ref="D34:K34" si="1">SUM(D25:D33)</f>
        <v>0</v>
      </c>
      <c r="E34" s="1740">
        <f t="shared" si="1"/>
        <v>0</v>
      </c>
      <c r="F34" s="1740">
        <f t="shared" si="1"/>
        <v>150</v>
      </c>
      <c r="G34" s="1740">
        <f t="shared" si="1"/>
        <v>0</v>
      </c>
      <c r="H34" s="1740">
        <f t="shared" si="1"/>
        <v>0</v>
      </c>
      <c r="I34" s="1740">
        <f t="shared" si="1"/>
        <v>0</v>
      </c>
      <c r="J34" s="1740">
        <f t="shared" si="1"/>
        <v>0</v>
      </c>
      <c r="K34" s="1740">
        <f t="shared" si="1"/>
        <v>0</v>
      </c>
      <c r="L34" s="1721">
        <f>SUM(L33)</f>
        <v>2676</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2890806</v>
      </c>
      <c r="D39" s="466">
        <v>448367</v>
      </c>
      <c r="E39" s="466"/>
      <c r="F39" s="466">
        <v>447462</v>
      </c>
      <c r="G39" s="466">
        <v>102405</v>
      </c>
      <c r="H39" s="466"/>
      <c r="I39" s="466">
        <v>667050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9774619</v>
      </c>
      <c r="N40" s="497"/>
    </row>
    <row r="41" spans="1:14" ht="13.5" customHeight="1" thickBot="1" x14ac:dyDescent="0.25">
      <c r="A41" s="1736" t="s">
        <v>655</v>
      </c>
      <c r="B41" s="1706"/>
      <c r="C41" s="1688">
        <f>(SUM(C34,C37,C38,C39))</f>
        <v>2890752</v>
      </c>
      <c r="D41" s="1688">
        <f t="shared" ref="D41:L41" si="2">SUM(D34,D37,D38:D39)</f>
        <v>448367</v>
      </c>
      <c r="E41" s="1688">
        <f t="shared" si="2"/>
        <v>0</v>
      </c>
      <c r="F41" s="1688">
        <f t="shared" si="2"/>
        <v>447612</v>
      </c>
      <c r="G41" s="1688">
        <f t="shared" si="2"/>
        <v>102405</v>
      </c>
      <c r="H41" s="1688">
        <f t="shared" si="2"/>
        <v>0</v>
      </c>
      <c r="I41" s="1688">
        <f t="shared" si="2"/>
        <v>667050</v>
      </c>
      <c r="J41" s="1688">
        <f t="shared" si="2"/>
        <v>0</v>
      </c>
      <c r="K41" s="1688">
        <f t="shared" si="2"/>
        <v>0</v>
      </c>
      <c r="L41" s="1688">
        <f t="shared" si="2"/>
        <v>2676</v>
      </c>
      <c r="M41" s="1688">
        <f>SUM(M40)</f>
        <v>9774619</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84" activePane="bottomLeft" state="frozen"/>
      <selection pane="bottomLeft" activeCell="K79" sqref="K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2654180</v>
      </c>
      <c r="D4" s="1742">
        <f>'Revenues 9-14'!D109</f>
        <v>281473</v>
      </c>
      <c r="E4" s="1742">
        <f>'Revenues 9-14'!E109</f>
        <v>0</v>
      </c>
      <c r="F4" s="1742">
        <f>'Revenues 9-14'!F109</f>
        <v>84870</v>
      </c>
      <c r="G4" s="1742">
        <f>'Revenues 9-14'!G109</f>
        <v>95023</v>
      </c>
      <c r="H4" s="1742">
        <f>'Revenues 9-14'!H109</f>
        <v>1545</v>
      </c>
      <c r="I4" s="1742">
        <f>'Revenues 9-14'!I109</f>
        <v>34766</v>
      </c>
      <c r="J4" s="1742">
        <f>'Revenues 9-14'!J109</f>
        <v>0</v>
      </c>
      <c r="K4" s="1742">
        <f>'Revenues 9-14'!K109</f>
        <v>2455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136286</v>
      </c>
      <c r="D6" s="1743">
        <f>'Revenues 9-14'!D170</f>
        <v>27527</v>
      </c>
      <c r="E6" s="1743">
        <f>'Revenues 9-14'!E170</f>
        <v>0</v>
      </c>
      <c r="F6" s="1743">
        <f>'Revenues 9-14'!F170</f>
        <v>180336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101132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2891598</v>
      </c>
      <c r="D8" s="1688">
        <f t="shared" ref="D8:K8" si="0">SUM(D4:D7)</f>
        <v>309000</v>
      </c>
      <c r="E8" s="1688">
        <f t="shared" si="0"/>
        <v>0</v>
      </c>
      <c r="F8" s="1688">
        <f t="shared" si="0"/>
        <v>265206</v>
      </c>
      <c r="G8" s="1688">
        <f t="shared" si="0"/>
        <v>95023</v>
      </c>
      <c r="H8" s="1688">
        <f t="shared" si="0"/>
        <v>1545</v>
      </c>
      <c r="I8" s="1688">
        <f t="shared" si="0"/>
        <v>34766</v>
      </c>
      <c r="J8" s="1688">
        <f t="shared" si="0"/>
        <v>0</v>
      </c>
      <c r="K8" s="1688">
        <f t="shared" si="0"/>
        <v>2455</v>
      </c>
      <c r="L8" s="347"/>
    </row>
    <row r="9" spans="1:13" ht="15.75" thickTop="1" x14ac:dyDescent="0.2">
      <c r="A9" s="514" t="s">
        <v>1653</v>
      </c>
      <c r="B9" s="515">
        <v>3998</v>
      </c>
      <c r="C9" s="481">
        <v>909411</v>
      </c>
      <c r="D9" s="516"/>
      <c r="E9" s="481"/>
      <c r="F9" s="481"/>
      <c r="G9" s="517"/>
      <c r="H9" s="481"/>
      <c r="I9" s="509" t="s">
        <v>1169</v>
      </c>
      <c r="J9" s="478"/>
      <c r="K9" s="481"/>
      <c r="L9" s="347"/>
    </row>
    <row r="10" spans="1:13" s="519" customFormat="1" ht="13.5" thickBot="1" x14ac:dyDescent="0.25">
      <c r="A10" s="1736" t="s">
        <v>1173</v>
      </c>
      <c r="B10" s="1709"/>
      <c r="C10" s="1688">
        <f>SUM(C8:C9)</f>
        <v>3801009</v>
      </c>
      <c r="D10" s="1688">
        <f t="shared" ref="D10:K10" si="1">SUM(D8:D9)</f>
        <v>309000</v>
      </c>
      <c r="E10" s="1688">
        <f t="shared" si="1"/>
        <v>0</v>
      </c>
      <c r="F10" s="1688">
        <f t="shared" si="1"/>
        <v>265206</v>
      </c>
      <c r="G10" s="1688">
        <f t="shared" si="1"/>
        <v>95023</v>
      </c>
      <c r="H10" s="1688">
        <f t="shared" si="1"/>
        <v>1545</v>
      </c>
      <c r="I10" s="1688">
        <f t="shared" si="1"/>
        <v>34766</v>
      </c>
      <c r="J10" s="1688">
        <f t="shared" si="1"/>
        <v>0</v>
      </c>
      <c r="K10" s="1688">
        <f t="shared" si="1"/>
        <v>2455</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1675715</v>
      </c>
      <c r="D12" s="520" t="s">
        <v>1169</v>
      </c>
      <c r="E12" s="468" t="s">
        <v>1169</v>
      </c>
      <c r="F12" s="468" t="s">
        <v>1169</v>
      </c>
      <c r="G12" s="1742">
        <f>'Expenditures 15-22'!K229</f>
        <v>30174</v>
      </c>
      <c r="H12" s="521"/>
      <c r="I12" s="468" t="s">
        <v>1169</v>
      </c>
      <c r="J12" s="468" t="s">
        <v>1169</v>
      </c>
      <c r="K12" s="521" t="s">
        <v>1169</v>
      </c>
      <c r="L12" s="347"/>
    </row>
    <row r="13" spans="1:13" ht="15.75" customHeight="1" x14ac:dyDescent="0.2">
      <c r="A13" s="1576" t="s">
        <v>457</v>
      </c>
      <c r="B13" s="1578">
        <v>2000</v>
      </c>
      <c r="C13" s="1743">
        <f>'Expenditures 15-22'!K74</f>
        <v>1259767</v>
      </c>
      <c r="D13" s="1743">
        <f>'Expenditures 15-22'!K129</f>
        <v>1128891</v>
      </c>
      <c r="E13" s="469" t="s">
        <v>1169</v>
      </c>
      <c r="F13" s="1743">
        <f>'Expenditures 15-22'!K184</f>
        <v>404293</v>
      </c>
      <c r="G13" s="1743">
        <f>'Expenditures 15-22'!K279</f>
        <v>50012</v>
      </c>
      <c r="H13" s="1743">
        <f>'Expenditures 15-22'!K303</f>
        <v>730324</v>
      </c>
      <c r="I13" s="468" t="s">
        <v>1169</v>
      </c>
      <c r="J13" s="1743">
        <f>'Expenditures 15-22'!K330</f>
        <v>0</v>
      </c>
      <c r="K13" s="1747">
        <f>'Expenditures 15-22'!K352</f>
        <v>170254</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318876</v>
      </c>
      <c r="D15" s="1743">
        <f>'Expenditures 15-22'!K139</f>
        <v>0</v>
      </c>
      <c r="E15" s="1743">
        <f>'Expenditures 15-22'!K160</f>
        <v>0</v>
      </c>
      <c r="F15" s="1743">
        <f>'Expenditures 15-22'!K196</f>
        <v>0</v>
      </c>
      <c r="G15" s="1743">
        <f>'Expenditures 15-22'!K285</f>
        <v>5950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3254358</v>
      </c>
      <c r="D17" s="1688">
        <f t="shared" si="2"/>
        <v>1128891</v>
      </c>
      <c r="E17" s="1688">
        <f t="shared" si="2"/>
        <v>0</v>
      </c>
      <c r="F17" s="1688">
        <f t="shared" si="2"/>
        <v>404293</v>
      </c>
      <c r="G17" s="1688">
        <f t="shared" si="2"/>
        <v>86136</v>
      </c>
      <c r="H17" s="1688">
        <f t="shared" si="2"/>
        <v>730324</v>
      </c>
      <c r="I17" s="468"/>
      <c r="J17" s="1688">
        <f>SUM(J12:J16)</f>
        <v>0</v>
      </c>
      <c r="K17" s="1688">
        <f>SUM(K12:K16)</f>
        <v>170254</v>
      </c>
      <c r="L17" s="347"/>
    </row>
    <row r="18" spans="1:12" ht="15" customHeight="1" thickTop="1" x14ac:dyDescent="0.2">
      <c r="A18" s="1744" t="s">
        <v>1654</v>
      </c>
      <c r="B18" s="1745">
        <v>4180</v>
      </c>
      <c r="C18" s="1742">
        <f t="shared" ref="C18:H18" si="3">C9</f>
        <v>909411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4163769</v>
      </c>
      <c r="D19" s="1688">
        <f t="shared" si="4"/>
        <v>1128891</v>
      </c>
      <c r="E19" s="1688">
        <f t="shared" si="4"/>
        <v>0</v>
      </c>
      <c r="F19" s="1688">
        <f t="shared" si="4"/>
        <v>404293</v>
      </c>
      <c r="G19" s="1688">
        <f t="shared" si="4"/>
        <v>86136</v>
      </c>
      <c r="H19" s="1688">
        <f t="shared" si="4"/>
        <v>730324</v>
      </c>
      <c r="I19" s="468"/>
      <c r="J19" s="1688">
        <f>SUM(J17:J18)</f>
        <v>0</v>
      </c>
      <c r="K19" s="1688">
        <f>SUM(K17:K18)</f>
        <v>170254</v>
      </c>
      <c r="L19" s="347"/>
    </row>
    <row r="20" spans="1:12" ht="16.5" thickTop="1" thickBot="1" x14ac:dyDescent="0.25">
      <c r="A20" s="2126" t="s">
        <v>1655</v>
      </c>
      <c r="B20" s="2127"/>
      <c r="C20" s="1746">
        <f>C8-C17</f>
        <v>-362760</v>
      </c>
      <c r="D20" s="1746">
        <f t="shared" ref="D20:K20" si="5">D8-D17</f>
        <v>-819891</v>
      </c>
      <c r="E20" s="1746">
        <f t="shared" si="5"/>
        <v>0</v>
      </c>
      <c r="F20" s="1746">
        <f t="shared" si="5"/>
        <v>-139087</v>
      </c>
      <c r="G20" s="1746">
        <f t="shared" si="5"/>
        <v>8887</v>
      </c>
      <c r="H20" s="1746">
        <f t="shared" si="5"/>
        <v>-728779</v>
      </c>
      <c r="I20" s="1746">
        <f t="shared" si="5"/>
        <v>34766</v>
      </c>
      <c r="J20" s="1746">
        <f t="shared" si="5"/>
        <v>0</v>
      </c>
      <c r="K20" s="1746">
        <f t="shared" si="5"/>
        <v>-167799</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v>236841</v>
      </c>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236841</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v>236841</v>
      </c>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236841</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-236841</v>
      </c>
      <c r="E77" s="1703">
        <f t="shared" si="8"/>
        <v>0</v>
      </c>
      <c r="F77" s="1703">
        <f t="shared" si="8"/>
        <v>0</v>
      </c>
      <c r="G77" s="1703">
        <f t="shared" si="8"/>
        <v>0</v>
      </c>
      <c r="H77" s="1703">
        <f t="shared" si="8"/>
        <v>236841</v>
      </c>
      <c r="I77" s="1703">
        <f t="shared" si="8"/>
        <v>0</v>
      </c>
      <c r="J77" s="1703">
        <f t="shared" si="8"/>
        <v>0</v>
      </c>
      <c r="K77" s="1703">
        <f t="shared" si="8"/>
        <v>0</v>
      </c>
      <c r="L77" s="347"/>
    </row>
    <row r="78" spans="1:12" ht="21.75" customHeight="1" thickTop="1" thickBot="1" x14ac:dyDescent="0.25">
      <c r="A78" s="2122" t="s">
        <v>597</v>
      </c>
      <c r="B78" s="2123"/>
      <c r="C78" s="1702">
        <f t="shared" ref="C78:K78" si="9">C20+C77</f>
        <v>-362760</v>
      </c>
      <c r="D78" s="1702">
        <f t="shared" si="9"/>
        <v>-1056732</v>
      </c>
      <c r="E78" s="1702">
        <f t="shared" si="9"/>
        <v>0</v>
      </c>
      <c r="F78" s="1702">
        <f t="shared" si="9"/>
        <v>-139087</v>
      </c>
      <c r="G78" s="1702">
        <f t="shared" si="9"/>
        <v>8887</v>
      </c>
      <c r="H78" s="1702">
        <f t="shared" si="9"/>
        <v>-491938</v>
      </c>
      <c r="I78" s="1702">
        <f t="shared" si="9"/>
        <v>34766</v>
      </c>
      <c r="J78" s="1702">
        <f t="shared" si="9"/>
        <v>0</v>
      </c>
      <c r="K78" s="1702">
        <f t="shared" si="9"/>
        <v>-167799</v>
      </c>
      <c r="L78" s="533"/>
    </row>
    <row r="79" spans="1:12" ht="13.5" thickTop="1" x14ac:dyDescent="0.2">
      <c r="A79" s="1494" t="s">
        <v>1949</v>
      </c>
      <c r="B79" s="534"/>
      <c r="C79" s="478">
        <v>3253566</v>
      </c>
      <c r="D79" s="535">
        <v>1505099</v>
      </c>
      <c r="E79" s="535"/>
      <c r="F79" s="535">
        <v>586549</v>
      </c>
      <c r="G79" s="535">
        <v>93518</v>
      </c>
      <c r="H79" s="535">
        <v>491938</v>
      </c>
      <c r="I79" s="535">
        <v>632284</v>
      </c>
      <c r="J79" s="535"/>
      <c r="K79" s="535">
        <v>167799</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2890806</v>
      </c>
      <c r="D81" s="1688">
        <f>SUM(D78:D80)</f>
        <v>448367</v>
      </c>
      <c r="E81" s="1688">
        <f t="shared" ref="E81:K81" si="10">SUM(E78:E80)</f>
        <v>0</v>
      </c>
      <c r="F81" s="1688">
        <f t="shared" si="10"/>
        <v>447462</v>
      </c>
      <c r="G81" s="1688">
        <f t="shared" si="10"/>
        <v>102405</v>
      </c>
      <c r="H81" s="1688">
        <f t="shared" si="10"/>
        <v>0</v>
      </c>
      <c r="I81" s="1688">
        <f t="shared" si="10"/>
        <v>667050</v>
      </c>
      <c r="J81" s="1688">
        <f t="shared" si="10"/>
        <v>0</v>
      </c>
      <c r="K81" s="1688">
        <f t="shared" si="10"/>
        <v>0</v>
      </c>
      <c r="L81" s="347"/>
    </row>
    <row r="82" spans="1:12" ht="0.75" customHeight="1" thickTop="1" thickBot="1" x14ac:dyDescent="0.25">
      <c r="A82" s="536" t="s">
        <v>343</v>
      </c>
      <c r="B82" s="537"/>
      <c r="C82" s="538">
        <f>(C81-C79)</f>
        <v>-362760</v>
      </c>
      <c r="D82" s="538">
        <f t="shared" ref="D82:K82" si="11">(D81-D79)</f>
        <v>-1056732</v>
      </c>
      <c r="E82" s="538">
        <f t="shared" si="11"/>
        <v>0</v>
      </c>
      <c r="F82" s="538">
        <f t="shared" si="11"/>
        <v>-139087</v>
      </c>
      <c r="G82" s="538">
        <f t="shared" si="11"/>
        <v>8887</v>
      </c>
      <c r="H82" s="538">
        <f t="shared" si="11"/>
        <v>-491938</v>
      </c>
      <c r="I82" s="538">
        <f t="shared" si="11"/>
        <v>34766</v>
      </c>
      <c r="J82" s="538">
        <f t="shared" si="11"/>
        <v>0</v>
      </c>
      <c r="K82" s="538">
        <f t="shared" si="11"/>
        <v>-167799</v>
      </c>
    </row>
    <row r="83" spans="1:12" ht="14.25" hidden="1" thickTop="1" thickBot="1" x14ac:dyDescent="0.25">
      <c r="A83" s="539" t="s">
        <v>344</v>
      </c>
      <c r="B83" s="464"/>
      <c r="C83" s="540">
        <f>C82/C81</f>
        <v>-0.12548749379930718</v>
      </c>
      <c r="D83" s="540">
        <f t="shared" ref="D83:K83" si="12">D82/D81</f>
        <v>-2.3568460658344614</v>
      </c>
      <c r="E83" s="540" t="e">
        <f t="shared" si="12"/>
        <v>#DIV/0!</v>
      </c>
      <c r="F83" s="540">
        <f t="shared" si="12"/>
        <v>-0.31083533350318016</v>
      </c>
      <c r="G83" s="540">
        <f t="shared" si="12"/>
        <v>8.6782871930081537E-2</v>
      </c>
      <c r="H83" s="540" t="e">
        <f t="shared" si="12"/>
        <v>#DIV/0!</v>
      </c>
      <c r="I83" s="540">
        <f t="shared" si="12"/>
        <v>5.2119031556854808E-2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2232359</v>
      </c>
      <c r="D5" s="481">
        <v>237979</v>
      </c>
      <c r="E5" s="466"/>
      <c r="F5" s="548">
        <v>74908</v>
      </c>
      <c r="G5" s="466">
        <v>44477</v>
      </c>
      <c r="H5" s="466"/>
      <c r="I5" s="466">
        <v>19509</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312096</v>
      </c>
      <c r="D7" s="466"/>
      <c r="E7" s="468"/>
      <c r="F7" s="467"/>
      <c r="G7" s="467"/>
      <c r="H7" s="467"/>
      <c r="I7" s="468"/>
      <c r="J7" s="468"/>
      <c r="K7" s="468"/>
    </row>
    <row r="8" spans="1:12" x14ac:dyDescent="0.2">
      <c r="A8" s="463" t="s">
        <v>413</v>
      </c>
      <c r="B8" s="470">
        <v>1150</v>
      </c>
      <c r="C8" s="475"/>
      <c r="D8" s="475"/>
      <c r="E8" s="477"/>
      <c r="F8" s="477"/>
      <c r="G8" s="481">
        <v>41924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2544455</v>
      </c>
      <c r="D12" s="1707">
        <f t="shared" si="0"/>
        <v>237979</v>
      </c>
      <c r="E12" s="1707">
        <f t="shared" si="0"/>
        <v>0</v>
      </c>
      <c r="F12" s="1707">
        <f t="shared" si="0"/>
        <v>74908</v>
      </c>
      <c r="G12" s="1707">
        <f t="shared" si="0"/>
        <v>86401</v>
      </c>
      <c r="H12" s="1707">
        <f t="shared" si="0"/>
        <v>0</v>
      </c>
      <c r="I12" s="1707">
        <f t="shared" si="0"/>
        <v>19509</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4921</v>
      </c>
      <c r="D16" s="466">
        <v>198</v>
      </c>
      <c r="E16" s="466"/>
      <c r="F16" s="466"/>
      <c r="G16" s="466">
        <v>7593</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4921</v>
      </c>
      <c r="D18" s="1710">
        <f t="shared" ref="D18:K18" si="1">SUM(D14:D17)</f>
        <v>198</v>
      </c>
      <c r="E18" s="1710">
        <f t="shared" si="1"/>
        <v>0</v>
      </c>
      <c r="F18" s="1710">
        <f t="shared" si="1"/>
        <v>0</v>
      </c>
      <c r="G18" s="1710">
        <f t="shared" si="1"/>
        <v>7593</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31046</v>
      </c>
      <c r="D65" s="466">
        <v>17140</v>
      </c>
      <c r="E65" s="466"/>
      <c r="F65" s="467">
        <v>7962</v>
      </c>
      <c r="G65" s="466">
        <v>1029</v>
      </c>
      <c r="H65" s="466">
        <v>1545</v>
      </c>
      <c r="I65" s="466">
        <v>15257</v>
      </c>
      <c r="J65" s="467"/>
      <c r="K65" s="466">
        <v>2455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31046</v>
      </c>
      <c r="D67" s="1688">
        <f t="shared" ref="D67:K67" si="2">SUM(D65:D66)</f>
        <v>17140</v>
      </c>
      <c r="E67" s="1688">
        <f t="shared" si="2"/>
        <v>0</v>
      </c>
      <c r="F67" s="1688">
        <f t="shared" si="2"/>
        <v>7962</v>
      </c>
      <c r="G67" s="1688">
        <f t="shared" si="2"/>
        <v>1029</v>
      </c>
      <c r="H67" s="1688">
        <f t="shared" si="2"/>
        <v>1545</v>
      </c>
      <c r="I67" s="1688">
        <f t="shared" si="2"/>
        <v>15257</v>
      </c>
      <c r="J67" s="1688">
        <f t="shared" si="2"/>
        <v>0</v>
      </c>
      <c r="K67" s="1688">
        <f t="shared" si="2"/>
        <v>2455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17928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17928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4986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3690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8676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21072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21072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2807</v>
      </c>
      <c r="D96" s="551"/>
      <c r="E96" s="479"/>
      <c r="F96" s="478">
        <v>2000</v>
      </c>
      <c r="G96" s="478"/>
      <c r="H96" s="478"/>
      <c r="I96" s="478"/>
      <c r="J96" s="478"/>
      <c r="K96" s="478"/>
    </row>
    <row r="97" spans="1:12" ht="12.75" customHeight="1" x14ac:dyDescent="0.2">
      <c r="A97" s="1495" t="s">
        <v>244</v>
      </c>
      <c r="B97" s="559">
        <v>1930</v>
      </c>
      <c r="C97" s="489"/>
      <c r="D97" s="467">
        <v>13316</v>
      </c>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23275</v>
      </c>
      <c r="D107" s="466">
        <v>12840</v>
      </c>
      <c r="E107" s="466"/>
      <c r="F107" s="466"/>
      <c r="G107" s="466"/>
      <c r="H107" s="466"/>
      <c r="I107" s="466"/>
      <c r="J107" s="467"/>
      <c r="K107" s="466"/>
    </row>
    <row r="108" spans="1:12" ht="12.75" customHeight="1" thickBot="1" x14ac:dyDescent="0.25">
      <c r="A108" s="1708" t="s">
        <v>487</v>
      </c>
      <c r="B108" s="1712"/>
      <c r="C108" s="1707">
        <f>SUM(C95:C107)</f>
        <v>26082</v>
      </c>
      <c r="D108" s="1707">
        <f t="shared" ref="D108:K108" si="3">SUM(D95:D107)</f>
        <v>26156</v>
      </c>
      <c r="E108" s="1707">
        <f t="shared" si="3"/>
        <v>0</v>
      </c>
      <c r="F108" s="1707">
        <f t="shared" si="3"/>
        <v>2000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2654180</v>
      </c>
      <c r="D109" s="1715">
        <f t="shared" si="4"/>
        <v>281473</v>
      </c>
      <c r="E109" s="1715">
        <f t="shared" si="4"/>
        <v>0</v>
      </c>
      <c r="F109" s="1715">
        <f t="shared" si="4"/>
        <v>84870</v>
      </c>
      <c r="G109" s="1715">
        <f t="shared" si="4"/>
        <v>95023</v>
      </c>
      <c r="H109" s="1715">
        <f t="shared" si="4"/>
        <v>1545</v>
      </c>
      <c r="I109" s="1715">
        <f t="shared" si="4"/>
        <v>34766</v>
      </c>
      <c r="J109" s="1715">
        <f t="shared" si="4"/>
        <v>0</v>
      </c>
      <c r="K109" s="1702">
        <f t="shared" si="4"/>
        <v>2455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123900</v>
      </c>
      <c r="D117" s="481">
        <v>27527</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123900</v>
      </c>
      <c r="D122" s="1707">
        <f t="shared" si="5"/>
        <v>27527</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12386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12386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48763</v>
      </c>
      <c r="G152" s="467"/>
      <c r="H152" s="468"/>
      <c r="I152" s="468"/>
      <c r="J152" s="468"/>
      <c r="K152" s="468"/>
    </row>
    <row r="153" spans="1:11" ht="12.75" customHeight="1" x14ac:dyDescent="0.2">
      <c r="A153" s="463" t="s">
        <v>1057</v>
      </c>
      <c r="B153" s="562">
        <v>3510</v>
      </c>
      <c r="C153" s="551"/>
      <c r="D153" s="466"/>
      <c r="E153" s="561"/>
      <c r="F153" s="466">
        <v>131573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180336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12386</v>
      </c>
      <c r="D169" s="1722">
        <f t="shared" si="6"/>
        <v>0</v>
      </c>
      <c r="E169" s="1722">
        <f t="shared" si="6"/>
        <v>0</v>
      </c>
      <c r="F169" s="1722">
        <f t="shared" si="6"/>
        <v>180336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136286</v>
      </c>
      <c r="D170" s="1715">
        <f t="shared" si="7"/>
        <v>27527</v>
      </c>
      <c r="E170" s="1715">
        <f t="shared" si="7"/>
        <v>0</v>
      </c>
      <c r="F170" s="1715">
        <f t="shared" si="7"/>
        <v>180336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13939</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13939</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40832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40832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1009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36866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37875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4665</v>
      </c>
      <c r="D263" s="576"/>
      <c r="E263" s="468"/>
      <c r="F263" s="576"/>
      <c r="G263" s="576"/>
      <c r="H263" s="468"/>
      <c r="I263" s="468"/>
      <c r="J263" s="468"/>
      <c r="K263" s="468"/>
    </row>
    <row r="264" spans="1:11" ht="12.75" customHeight="1" thickTop="1" thickBot="1" x14ac:dyDescent="0.25">
      <c r="A264" s="463" t="s">
        <v>377</v>
      </c>
      <c r="B264" s="470">
        <v>4992</v>
      </c>
      <c r="C264" s="575">
        <v>3821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101132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101132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2891598</v>
      </c>
      <c r="D268" s="1715">
        <f t="shared" si="12"/>
        <v>309000</v>
      </c>
      <c r="E268" s="1715">
        <f t="shared" si="12"/>
        <v>0</v>
      </c>
      <c r="F268" s="1715">
        <f t="shared" si="12"/>
        <v>265206</v>
      </c>
      <c r="G268" s="1715">
        <f t="shared" si="12"/>
        <v>95023</v>
      </c>
      <c r="H268" s="1715">
        <f t="shared" si="12"/>
        <v>1545</v>
      </c>
      <c r="I268" s="1715">
        <f t="shared" si="12"/>
        <v>34766</v>
      </c>
      <c r="J268" s="1715">
        <f t="shared" si="12"/>
        <v>0</v>
      </c>
      <c r="K268" s="1702">
        <f t="shared" si="12"/>
        <v>2455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0" activePane="bottomLeft" state="frozen"/>
      <selection pane="bottomLeft" activeCell="I349" sqref="I3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1049422</v>
      </c>
      <c r="D5" s="466">
        <v>109305</v>
      </c>
      <c r="E5" s="466">
        <v>68038</v>
      </c>
      <c r="F5" s="466">
        <v>79756</v>
      </c>
      <c r="G5" s="466">
        <v>29646</v>
      </c>
      <c r="H5" s="466"/>
      <c r="I5" s="467">
        <v>27463</v>
      </c>
      <c r="J5" s="467"/>
      <c r="K5" s="1671">
        <f>SUM(C5:J5)</f>
        <v>1363630</v>
      </c>
      <c r="L5" s="466">
        <v>1376415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85529</v>
      </c>
      <c r="D8" s="466">
        <v>11033</v>
      </c>
      <c r="E8" s="466">
        <v>5988</v>
      </c>
      <c r="F8" s="466">
        <v>228</v>
      </c>
      <c r="G8" s="466"/>
      <c r="H8" s="466"/>
      <c r="I8" s="467"/>
      <c r="J8" s="467"/>
      <c r="K8" s="1671">
        <f t="shared" si="0"/>
        <v>102778</v>
      </c>
      <c r="L8" s="466">
        <v>151560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34130</v>
      </c>
      <c r="D14" s="466">
        <v>260</v>
      </c>
      <c r="E14" s="466">
        <v>1954</v>
      </c>
      <c r="F14" s="466">
        <v>2879</v>
      </c>
      <c r="G14" s="466"/>
      <c r="H14" s="466">
        <v>1485</v>
      </c>
      <c r="I14" s="467"/>
      <c r="J14" s="467"/>
      <c r="K14" s="1671">
        <f t="shared" si="0"/>
        <v>40708</v>
      </c>
      <c r="L14" s="466">
        <v>40000</v>
      </c>
    </row>
    <row r="15" spans="1:14" x14ac:dyDescent="0.2">
      <c r="A15" s="1504" t="s">
        <v>964</v>
      </c>
      <c r="B15" s="614">
        <v>1600</v>
      </c>
      <c r="C15" s="466"/>
      <c r="D15" s="466"/>
      <c r="E15" s="466"/>
      <c r="F15" s="466"/>
      <c r="G15" s="466"/>
      <c r="H15" s="466"/>
      <c r="I15" s="467"/>
      <c r="J15" s="467"/>
      <c r="K15" s="1671">
        <f t="shared" si="0"/>
        <v>0</v>
      </c>
      <c r="L15" s="466">
        <v>10650</v>
      </c>
    </row>
    <row r="16" spans="1:14" x14ac:dyDescent="0.2">
      <c r="A16" s="1504" t="s">
        <v>987</v>
      </c>
      <c r="B16" s="614" t="s">
        <v>424</v>
      </c>
      <c r="C16" s="466">
        <v>86158</v>
      </c>
      <c r="D16" s="466"/>
      <c r="E16" s="466"/>
      <c r="F16" s="466"/>
      <c r="G16" s="466"/>
      <c r="H16" s="466"/>
      <c r="I16" s="467"/>
      <c r="J16" s="467"/>
      <c r="K16" s="1671">
        <f t="shared" si="0"/>
        <v>86158</v>
      </c>
      <c r="L16" s="466">
        <v>86250</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82441</v>
      </c>
      <c r="I22" s="616"/>
      <c r="J22" s="477"/>
      <c r="K22" s="1671">
        <f t="shared" si="0"/>
        <v>82441</v>
      </c>
      <c r="L22" s="471">
        <v>148034</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1255239</v>
      </c>
      <c r="D33" s="1670">
        <f t="shared" ref="D33:L33" si="1">SUM(D5:D32)</f>
        <v>120598</v>
      </c>
      <c r="E33" s="1670">
        <f t="shared" si="1"/>
        <v>75980</v>
      </c>
      <c r="F33" s="1670">
        <f t="shared" si="1"/>
        <v>82863</v>
      </c>
      <c r="G33" s="1670">
        <f t="shared" si="1"/>
        <v>29646</v>
      </c>
      <c r="H33" s="1670">
        <f t="shared" si="1"/>
        <v>83926</v>
      </c>
      <c r="I33" s="1670">
        <f t="shared" si="1"/>
        <v>27463</v>
      </c>
      <c r="J33" s="1670">
        <f t="shared" si="1"/>
        <v>0</v>
      </c>
      <c r="K33" s="1670">
        <f t="shared" si="1"/>
        <v>1675715</v>
      </c>
      <c r="L33" s="1670">
        <f t="shared" si="1"/>
        <v>1812909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54279</v>
      </c>
      <c r="D36" s="481">
        <v>8073</v>
      </c>
      <c r="E36" s="481"/>
      <c r="F36" s="481">
        <v>356</v>
      </c>
      <c r="G36" s="481"/>
      <c r="H36" s="481">
        <v>125</v>
      </c>
      <c r="I36" s="467"/>
      <c r="J36" s="467"/>
      <c r="K36" s="1671">
        <f t="shared" ref="K36:K41" si="2">SUM(C36:J36)</f>
        <v>62833</v>
      </c>
      <c r="L36" s="466">
        <v>64380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48285</v>
      </c>
      <c r="D38" s="466">
        <v>38</v>
      </c>
      <c r="E38" s="466"/>
      <c r="F38" s="466">
        <v>1290</v>
      </c>
      <c r="G38" s="466"/>
      <c r="H38" s="466"/>
      <c r="I38" s="467"/>
      <c r="J38" s="467"/>
      <c r="K38" s="1671">
        <f t="shared" si="2"/>
        <v>49613</v>
      </c>
      <c r="L38" s="466">
        <v>50480</v>
      </c>
    </row>
    <row r="39" spans="1:14" x14ac:dyDescent="0.2">
      <c r="A39" s="1504" t="s">
        <v>199</v>
      </c>
      <c r="B39" s="614">
        <v>2140</v>
      </c>
      <c r="C39" s="466"/>
      <c r="D39" s="466"/>
      <c r="E39" s="466">
        <v>24377</v>
      </c>
      <c r="F39" s="466"/>
      <c r="G39" s="466"/>
      <c r="H39" s="466"/>
      <c r="I39" s="467"/>
      <c r="J39" s="467"/>
      <c r="K39" s="1671">
        <f t="shared" si="2"/>
        <v>24377</v>
      </c>
      <c r="L39" s="466">
        <v>66300</v>
      </c>
    </row>
    <row r="40" spans="1:14" x14ac:dyDescent="0.2">
      <c r="A40" s="1504" t="s">
        <v>200</v>
      </c>
      <c r="B40" s="614">
        <v>2150</v>
      </c>
      <c r="C40" s="466"/>
      <c r="D40" s="466"/>
      <c r="E40" s="466">
        <v>55309</v>
      </c>
      <c r="F40" s="466"/>
      <c r="G40" s="466"/>
      <c r="H40" s="466"/>
      <c r="I40" s="467"/>
      <c r="J40" s="467"/>
      <c r="K40" s="1671">
        <f t="shared" si="2"/>
        <v>55309</v>
      </c>
      <c r="L40" s="466">
        <v>58000</v>
      </c>
    </row>
    <row r="41" spans="1:14" x14ac:dyDescent="0.2">
      <c r="A41" s="1504" t="s">
        <v>1669</v>
      </c>
      <c r="B41" s="614">
        <v>2190</v>
      </c>
      <c r="C41" s="466"/>
      <c r="D41" s="466"/>
      <c r="E41" s="466">
        <v>19770</v>
      </c>
      <c r="F41" s="466"/>
      <c r="G41" s="466"/>
      <c r="H41" s="466"/>
      <c r="I41" s="467"/>
      <c r="J41" s="467"/>
      <c r="K41" s="1671">
        <f t="shared" si="2"/>
        <v>19770</v>
      </c>
      <c r="L41" s="466">
        <v>12000</v>
      </c>
    </row>
    <row r="42" spans="1:14" ht="12.75" customHeight="1" thickBot="1" x14ac:dyDescent="0.25">
      <c r="A42" s="1668" t="s">
        <v>560</v>
      </c>
      <c r="B42" s="1669" t="s">
        <v>716</v>
      </c>
      <c r="C42" s="1670">
        <f>SUM(C36:C41)</f>
        <v>102564</v>
      </c>
      <c r="D42" s="1670">
        <f t="shared" ref="D42:L42" si="3">SUM(D36:D41)</f>
        <v>8111</v>
      </c>
      <c r="E42" s="1670">
        <f t="shared" si="3"/>
        <v>99456</v>
      </c>
      <c r="F42" s="1670">
        <f t="shared" si="3"/>
        <v>1646</v>
      </c>
      <c r="G42" s="1670">
        <f t="shared" si="3"/>
        <v>0</v>
      </c>
      <c r="H42" s="1670">
        <f t="shared" si="3"/>
        <v>125</v>
      </c>
      <c r="I42" s="1670">
        <f t="shared" si="3"/>
        <v>0</v>
      </c>
      <c r="J42" s="1670">
        <f t="shared" si="3"/>
        <v>0</v>
      </c>
      <c r="K42" s="1670">
        <f t="shared" si="3"/>
        <v>211902</v>
      </c>
      <c r="L42" s="1670">
        <f t="shared" si="3"/>
        <v>251160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980</v>
      </c>
      <c r="D44" s="481">
        <v>15</v>
      </c>
      <c r="E44" s="481">
        <v>96073</v>
      </c>
      <c r="F44" s="481"/>
      <c r="G44" s="481"/>
      <c r="H44" s="481"/>
      <c r="I44" s="467"/>
      <c r="J44" s="467"/>
      <c r="K44" s="1672">
        <f>SUM(C44:J44)</f>
        <v>97068</v>
      </c>
      <c r="L44" s="481">
        <v>106820</v>
      </c>
    </row>
    <row r="45" spans="1:14" x14ac:dyDescent="0.2">
      <c r="A45" s="1504" t="s">
        <v>815</v>
      </c>
      <c r="B45" s="614">
        <v>2220</v>
      </c>
      <c r="C45" s="466"/>
      <c r="D45" s="466"/>
      <c r="E45" s="466"/>
      <c r="F45" s="466">
        <v>2717</v>
      </c>
      <c r="G45" s="466"/>
      <c r="H45" s="466"/>
      <c r="I45" s="467"/>
      <c r="J45" s="467"/>
      <c r="K45" s="1672">
        <f>SUM(C45:J45)</f>
        <v>2717</v>
      </c>
      <c r="L45" s="466">
        <v>2000</v>
      </c>
    </row>
    <row r="46" spans="1:14" x14ac:dyDescent="0.2">
      <c r="A46" s="1504" t="s">
        <v>816</v>
      </c>
      <c r="B46" s="614">
        <v>2230</v>
      </c>
      <c r="C46" s="466"/>
      <c r="D46" s="466"/>
      <c r="E46" s="466"/>
      <c r="F46" s="466">
        <v>2344</v>
      </c>
      <c r="G46" s="466"/>
      <c r="H46" s="466"/>
      <c r="I46" s="467"/>
      <c r="J46" s="467"/>
      <c r="K46" s="1672">
        <f>SUM(C46:J46)</f>
        <v>2344</v>
      </c>
      <c r="L46" s="466">
        <v>4000</v>
      </c>
    </row>
    <row r="47" spans="1:14" ht="12.75" customHeight="1" thickBot="1" x14ac:dyDescent="0.25">
      <c r="A47" s="1668" t="s">
        <v>561</v>
      </c>
      <c r="B47" s="1669" t="s">
        <v>32</v>
      </c>
      <c r="C47" s="1670">
        <f>SUM(C44:C46)</f>
        <v>980</v>
      </c>
      <c r="D47" s="1670">
        <f t="shared" ref="D47:K47" si="4">SUM(D44:D46)</f>
        <v>15</v>
      </c>
      <c r="E47" s="1670">
        <f t="shared" si="4"/>
        <v>96073</v>
      </c>
      <c r="F47" s="1670">
        <f t="shared" si="4"/>
        <v>5061</v>
      </c>
      <c r="G47" s="1670">
        <f t="shared" si="4"/>
        <v>0</v>
      </c>
      <c r="H47" s="1670">
        <f t="shared" si="4"/>
        <v>0</v>
      </c>
      <c r="I47" s="1670">
        <f t="shared" si="4"/>
        <v>0</v>
      </c>
      <c r="J47" s="1670">
        <f t="shared" si="4"/>
        <v>0</v>
      </c>
      <c r="K47" s="1670">
        <f t="shared" si="4"/>
        <v>102129</v>
      </c>
      <c r="L47" s="1670">
        <f>SUM(L44:L46)</f>
        <v>112820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47276</v>
      </c>
      <c r="D49" s="481">
        <v>6074</v>
      </c>
      <c r="E49" s="481">
        <v>134733</v>
      </c>
      <c r="F49" s="481">
        <v>5878</v>
      </c>
      <c r="G49" s="481"/>
      <c r="H49" s="481">
        <v>7133</v>
      </c>
      <c r="I49" s="467"/>
      <c r="J49" s="467"/>
      <c r="K49" s="1672">
        <f>SUM(C49:J49)</f>
        <v>201094</v>
      </c>
      <c r="L49" s="481">
        <v>253960</v>
      </c>
    </row>
    <row r="50" spans="1:14" x14ac:dyDescent="0.2">
      <c r="A50" s="1504" t="s">
        <v>818</v>
      </c>
      <c r="B50" s="614">
        <v>2320</v>
      </c>
      <c r="C50" s="466">
        <v>142485</v>
      </c>
      <c r="D50" s="466">
        <v>31919</v>
      </c>
      <c r="E50" s="466">
        <v>6964</v>
      </c>
      <c r="F50" s="466">
        <v>3632</v>
      </c>
      <c r="G50" s="466"/>
      <c r="H50" s="466">
        <v>4138</v>
      </c>
      <c r="I50" s="467"/>
      <c r="J50" s="467"/>
      <c r="K50" s="1672">
        <f>SUM(C50:J50)</f>
        <v>189138</v>
      </c>
      <c r="L50" s="466">
        <v>181280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189761</v>
      </c>
      <c r="D53" s="1670">
        <f t="shared" ref="D53:L53" si="5">SUM(D49:D52)</f>
        <v>37993</v>
      </c>
      <c r="E53" s="1670">
        <f t="shared" si="5"/>
        <v>141697</v>
      </c>
      <c r="F53" s="1670">
        <f t="shared" si="5"/>
        <v>9510</v>
      </c>
      <c r="G53" s="1670">
        <f t="shared" si="5"/>
        <v>0</v>
      </c>
      <c r="H53" s="1670">
        <f t="shared" si="5"/>
        <v>11271</v>
      </c>
      <c r="I53" s="1670">
        <f t="shared" si="5"/>
        <v>0</v>
      </c>
      <c r="J53" s="1670">
        <f t="shared" si="5"/>
        <v>0</v>
      </c>
      <c r="K53" s="1670">
        <f t="shared" si="5"/>
        <v>390232</v>
      </c>
      <c r="L53" s="1670">
        <f t="shared" si="5"/>
        <v>435240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199592</v>
      </c>
      <c r="D55" s="481">
        <v>45808</v>
      </c>
      <c r="E55" s="481">
        <v>561</v>
      </c>
      <c r="F55" s="481">
        <v>4888</v>
      </c>
      <c r="G55" s="481"/>
      <c r="H55" s="481">
        <v>739</v>
      </c>
      <c r="I55" s="467"/>
      <c r="J55" s="467"/>
      <c r="K55" s="1672">
        <f>SUM(C55:J55)</f>
        <v>251588</v>
      </c>
      <c r="L55" s="481">
        <v>227820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199592</v>
      </c>
      <c r="D57" s="1674">
        <f t="shared" ref="D57:K57" si="6">SUM(D55:D56)</f>
        <v>45808</v>
      </c>
      <c r="E57" s="1674">
        <f t="shared" si="6"/>
        <v>561</v>
      </c>
      <c r="F57" s="1674">
        <f t="shared" si="6"/>
        <v>4888</v>
      </c>
      <c r="G57" s="1674">
        <f t="shared" si="6"/>
        <v>0</v>
      </c>
      <c r="H57" s="1674">
        <f t="shared" si="6"/>
        <v>739</v>
      </c>
      <c r="I57" s="1674">
        <f t="shared" si="6"/>
        <v>0</v>
      </c>
      <c r="J57" s="1674">
        <f t="shared" si="6"/>
        <v>0</v>
      </c>
      <c r="K57" s="1674">
        <f t="shared" si="6"/>
        <v>251588</v>
      </c>
      <c r="L57" s="1670">
        <f>SUM(L55:L56)</f>
        <v>227820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32416</v>
      </c>
      <c r="D60" s="466">
        <v>39</v>
      </c>
      <c r="E60" s="466">
        <v>58816</v>
      </c>
      <c r="F60" s="466">
        <v>1991</v>
      </c>
      <c r="G60" s="466"/>
      <c r="H60" s="466">
        <v>611</v>
      </c>
      <c r="I60" s="467"/>
      <c r="J60" s="467"/>
      <c r="K60" s="1672">
        <f t="shared" si="7"/>
        <v>93873</v>
      </c>
      <c r="L60" s="466">
        <v>98555</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14958</v>
      </c>
      <c r="D63" s="466">
        <v>3742</v>
      </c>
      <c r="E63" s="466">
        <v>994</v>
      </c>
      <c r="F63" s="466">
        <v>24153</v>
      </c>
      <c r="G63" s="466"/>
      <c r="H63" s="466"/>
      <c r="I63" s="467"/>
      <c r="J63" s="467"/>
      <c r="K63" s="1672">
        <f t="shared" si="7"/>
        <v>43847</v>
      </c>
      <c r="L63" s="466">
        <v>43500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47374</v>
      </c>
      <c r="D65" s="1670">
        <f t="shared" ref="D65:L65" si="8">SUM(D59:D64)</f>
        <v>3781</v>
      </c>
      <c r="E65" s="1670">
        <f t="shared" si="8"/>
        <v>59810</v>
      </c>
      <c r="F65" s="1670">
        <f t="shared" si="8"/>
        <v>26144</v>
      </c>
      <c r="G65" s="1670">
        <f t="shared" si="8"/>
        <v>0</v>
      </c>
      <c r="H65" s="1670">
        <f t="shared" si="8"/>
        <v>611</v>
      </c>
      <c r="I65" s="1670">
        <f t="shared" si="8"/>
        <v>0</v>
      </c>
      <c r="J65" s="1670">
        <f t="shared" si="8"/>
        <v>0</v>
      </c>
      <c r="K65" s="1670">
        <f t="shared" si="8"/>
        <v>137720</v>
      </c>
      <c r="L65" s="1670">
        <f t="shared" si="8"/>
        <v>142055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53193</v>
      </c>
      <c r="D69" s="466">
        <v>7556</v>
      </c>
      <c r="E69" s="466">
        <v>37223</v>
      </c>
      <c r="F69" s="466">
        <v>68224</v>
      </c>
      <c r="G69" s="466"/>
      <c r="H69" s="466"/>
      <c r="I69" s="467"/>
      <c r="J69" s="467"/>
      <c r="K69" s="1672">
        <f>SUM(C69:J69)</f>
        <v>166196</v>
      </c>
      <c r="L69" s="466">
        <v>183280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53193</v>
      </c>
      <c r="D72" s="1670">
        <f t="shared" ref="D72:K72" si="9">SUM(D67:D71)</f>
        <v>7556</v>
      </c>
      <c r="E72" s="1670">
        <f t="shared" si="9"/>
        <v>37223</v>
      </c>
      <c r="F72" s="1670">
        <f t="shared" si="9"/>
        <v>68224</v>
      </c>
      <c r="G72" s="1670">
        <f t="shared" si="9"/>
        <v>0</v>
      </c>
      <c r="H72" s="1670">
        <f t="shared" si="9"/>
        <v>0</v>
      </c>
      <c r="I72" s="1670">
        <f t="shared" si="9"/>
        <v>0</v>
      </c>
      <c r="J72" s="1670">
        <f t="shared" si="9"/>
        <v>0</v>
      </c>
      <c r="K72" s="1670">
        <f t="shared" si="9"/>
        <v>166196</v>
      </c>
      <c r="L72" s="1670">
        <f>SUM(L67:L71)</f>
        <v>183280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593464</v>
      </c>
      <c r="D74" s="1677">
        <f t="shared" ref="D74:K74" si="10">SUM(D42,D47,D53,D57,D65,D72,D73)</f>
        <v>103264</v>
      </c>
      <c r="E74" s="1677">
        <f t="shared" si="10"/>
        <v>434820</v>
      </c>
      <c r="F74" s="1677">
        <f t="shared" si="10"/>
        <v>115473</v>
      </c>
      <c r="G74" s="1677">
        <f t="shared" si="10"/>
        <v>0</v>
      </c>
      <c r="H74" s="1677">
        <f t="shared" si="10"/>
        <v>12746</v>
      </c>
      <c r="I74" s="1677">
        <f t="shared" si="10"/>
        <v>0</v>
      </c>
      <c r="J74" s="1677">
        <f t="shared" si="10"/>
        <v>0</v>
      </c>
      <c r="K74" s="1677">
        <f t="shared" si="10"/>
        <v>1259767</v>
      </c>
      <c r="L74" s="1677">
        <f>SUM(L42,L47,L53,L57,L65,L72,L73)</f>
        <v>1352375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254387</v>
      </c>
      <c r="F79" s="616"/>
      <c r="G79" s="616"/>
      <c r="H79" s="466">
        <v>64489</v>
      </c>
      <c r="I79" s="477"/>
      <c r="J79" s="477"/>
      <c r="K79" s="1671">
        <f t="shared" si="11"/>
        <v>318876</v>
      </c>
      <c r="L79" s="466">
        <v>229026</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254387</v>
      </c>
      <c r="F84" s="616"/>
      <c r="G84" s="616"/>
      <c r="H84" s="1670">
        <f>SUM(H78:H83)</f>
        <v>64489</v>
      </c>
      <c r="I84" s="477"/>
      <c r="J84" s="477"/>
      <c r="K84" s="1670">
        <f>SUM(K78:K83)</f>
        <v>318876</v>
      </c>
      <c r="L84" s="1670">
        <f>SUM(L78:L83)</f>
        <v>229026</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254387</v>
      </c>
      <c r="F102" s="616"/>
      <c r="G102" s="616"/>
      <c r="H102" s="1677">
        <f>SUM(H84,H92,H100,H101)</f>
        <v>64489</v>
      </c>
      <c r="I102" s="477"/>
      <c r="J102" s="477"/>
      <c r="K102" s="1677">
        <f>SUM(K84,K92,K100,K101)</f>
        <v>318876</v>
      </c>
      <c r="L102" s="1677">
        <f>SUM(L84,L92,L100,L101)</f>
        <v>229026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1848703</v>
      </c>
      <c r="D114" s="1670">
        <f t="shared" ref="D114:K114" si="13">SUM(D33,D74,D75,D102,D112,D113)</f>
        <v>223862</v>
      </c>
      <c r="E114" s="1670">
        <f t="shared" si="13"/>
        <v>765187</v>
      </c>
      <c r="F114" s="1670">
        <f t="shared" si="13"/>
        <v>198336</v>
      </c>
      <c r="G114" s="1670">
        <f t="shared" si="13"/>
        <v>29646</v>
      </c>
      <c r="H114" s="1670">
        <f>SUM(H33,H74,H75,H102,H112,H113)</f>
        <v>161161</v>
      </c>
      <c r="I114" s="1670">
        <f t="shared" si="13"/>
        <v>27463</v>
      </c>
      <c r="J114" s="1670">
        <f t="shared" si="13"/>
        <v>0</v>
      </c>
      <c r="K114" s="1670">
        <f t="shared" si="13"/>
        <v>3254358</v>
      </c>
      <c r="L114" s="1670">
        <f>SUM(L33,L74,L75,L102,L112,L113)</f>
        <v>3394310</v>
      </c>
    </row>
    <row r="115" spans="1:14" ht="13.5" thickTop="1" x14ac:dyDescent="0.2">
      <c r="A115" s="2181" t="s">
        <v>996</v>
      </c>
      <c r="B115" s="2182"/>
      <c r="C115" s="618"/>
      <c r="D115" s="618"/>
      <c r="E115" s="618"/>
      <c r="F115" s="618"/>
      <c r="G115" s="618"/>
      <c r="H115" s="618"/>
      <c r="I115" s="618"/>
      <c r="J115" s="618"/>
      <c r="K115" s="1684">
        <f>'Revenues 9-14'!C268-'Expenditures 15-22'!K114</f>
        <v>-362760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54190</v>
      </c>
      <c r="D124" s="466">
        <v>7637</v>
      </c>
      <c r="E124" s="466">
        <v>264343</v>
      </c>
      <c r="F124" s="466">
        <v>69874</v>
      </c>
      <c r="G124" s="466">
        <v>732847</v>
      </c>
      <c r="H124" s="466"/>
      <c r="I124" s="467"/>
      <c r="J124" s="467"/>
      <c r="K124" s="1670">
        <f>SUM(C124:J124)</f>
        <v>1128891</v>
      </c>
      <c r="L124" s="466">
        <v>1201480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54190</v>
      </c>
      <c r="D127" s="1670">
        <f t="shared" ref="D127:L127" si="14">SUM(D122:D126)</f>
        <v>7637</v>
      </c>
      <c r="E127" s="1670">
        <f t="shared" si="14"/>
        <v>264343</v>
      </c>
      <c r="F127" s="1670">
        <f t="shared" si="14"/>
        <v>69874</v>
      </c>
      <c r="G127" s="1670">
        <f t="shared" si="14"/>
        <v>732847</v>
      </c>
      <c r="H127" s="1670">
        <f t="shared" si="14"/>
        <v>0</v>
      </c>
      <c r="I127" s="1670">
        <f t="shared" si="14"/>
        <v>0</v>
      </c>
      <c r="J127" s="1670">
        <f t="shared" si="14"/>
        <v>0</v>
      </c>
      <c r="K127" s="1670">
        <f t="shared" si="14"/>
        <v>1128891</v>
      </c>
      <c r="L127" s="1670">
        <f t="shared" si="14"/>
        <v>1201480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54190</v>
      </c>
      <c r="D129" s="1677">
        <f t="shared" ref="D129:L129" si="15">SUM(D120,D127,D128)</f>
        <v>7637</v>
      </c>
      <c r="E129" s="1677">
        <f t="shared" si="15"/>
        <v>264343</v>
      </c>
      <c r="F129" s="1677">
        <f t="shared" si="15"/>
        <v>69874</v>
      </c>
      <c r="G129" s="1677">
        <f t="shared" si="15"/>
        <v>732847</v>
      </c>
      <c r="H129" s="1677">
        <f t="shared" si="15"/>
        <v>0</v>
      </c>
      <c r="I129" s="1677">
        <f t="shared" si="15"/>
        <v>0</v>
      </c>
      <c r="J129" s="1677">
        <f t="shared" si="15"/>
        <v>0</v>
      </c>
      <c r="K129" s="1677">
        <f t="shared" si="15"/>
        <v>1128891</v>
      </c>
      <c r="L129" s="1677">
        <f t="shared" si="15"/>
        <v>1201480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54190</v>
      </c>
      <c r="D151" s="1670">
        <f t="shared" ref="D151:K151" si="16">SUM(D129,D130,D139,D149,D150)</f>
        <v>7637</v>
      </c>
      <c r="E151" s="1670">
        <f t="shared" si="16"/>
        <v>264343</v>
      </c>
      <c r="F151" s="1670">
        <f t="shared" si="16"/>
        <v>69874</v>
      </c>
      <c r="G151" s="1670">
        <f t="shared" si="16"/>
        <v>732847</v>
      </c>
      <c r="H151" s="1670">
        <f t="shared" si="16"/>
        <v>0</v>
      </c>
      <c r="I151" s="1670">
        <f t="shared" si="16"/>
        <v>0</v>
      </c>
      <c r="J151" s="1670">
        <f t="shared" si="16"/>
        <v>0</v>
      </c>
      <c r="K151" s="1670">
        <f t="shared" si="16"/>
        <v>1128891</v>
      </c>
      <c r="L151" s="1670">
        <f>SUM(L129,L130,L139,L149,L150)</f>
        <v>1201480</v>
      </c>
    </row>
    <row r="152" spans="1:14" ht="12.75" customHeight="1" thickTop="1" x14ac:dyDescent="0.2">
      <c r="A152" s="2174" t="s">
        <v>1178</v>
      </c>
      <c r="B152" s="2175"/>
      <c r="C152" s="618"/>
      <c r="D152" s="618"/>
      <c r="E152" s="618"/>
      <c r="F152" s="618"/>
      <c r="G152" s="618"/>
      <c r="H152" s="618"/>
      <c r="I152" s="618"/>
      <c r="J152" s="616"/>
      <c r="K152" s="1684">
        <f>'Revenues 9-14'!D268-'Expenditures 15-22'!K151</f>
        <v>-819891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1" t="s">
        <v>996</v>
      </c>
      <c r="B175" s="2182"/>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11361</v>
      </c>
      <c r="D182" s="466">
        <v>2298</v>
      </c>
      <c r="E182" s="466">
        <v>390634</v>
      </c>
      <c r="F182" s="466"/>
      <c r="G182" s="466"/>
      <c r="H182" s="466"/>
      <c r="I182" s="467"/>
      <c r="J182" s="467"/>
      <c r="K182" s="1671">
        <f>SUM(C182:J182)</f>
        <v>404293</v>
      </c>
      <c r="L182" s="466">
        <v>324900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11361</v>
      </c>
      <c r="D184" s="1677">
        <f t="shared" ref="D184:J184" si="17">SUM(D180,D182,D183)</f>
        <v>2298</v>
      </c>
      <c r="E184" s="1677">
        <f t="shared" si="17"/>
        <v>390634</v>
      </c>
      <c r="F184" s="1677">
        <f t="shared" si="17"/>
        <v>0</v>
      </c>
      <c r="G184" s="1677">
        <f t="shared" si="17"/>
        <v>0</v>
      </c>
      <c r="H184" s="1677">
        <f t="shared" si="17"/>
        <v>0</v>
      </c>
      <c r="I184" s="1677">
        <f t="shared" si="17"/>
        <v>0</v>
      </c>
      <c r="J184" s="1677">
        <f t="shared" si="17"/>
        <v>0</v>
      </c>
      <c r="K184" s="1677">
        <f>SUM(K180,K182,K183)</f>
        <v>404293</v>
      </c>
      <c r="L184" s="1677">
        <f>SUM(L180, L182:L183)</f>
        <v>324900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11361</v>
      </c>
      <c r="D210" s="1670">
        <f>SUM(D184,D185)</f>
        <v>2298</v>
      </c>
      <c r="E210" s="1670">
        <f>SUM(E184,E185,E196)</f>
        <v>390634</v>
      </c>
      <c r="F210" s="1670">
        <f>SUM(F184,F185)</f>
        <v>0</v>
      </c>
      <c r="G210" s="1670">
        <f>SUM(G184,G185)</f>
        <v>0</v>
      </c>
      <c r="H210" s="1670">
        <f>SUM(H184,H185,H196,H208,H209)</f>
        <v>0</v>
      </c>
      <c r="I210" s="1670">
        <f>SUM(I184,I185)</f>
        <v>0</v>
      </c>
      <c r="J210" s="1670">
        <f>SUM(J184,J185)</f>
        <v>0</v>
      </c>
      <c r="K210" s="1671">
        <f>SUM(K184,K185,K196,K208,K209)</f>
        <v>404293</v>
      </c>
      <c r="L210" s="1670">
        <f>SUM(L184,L185,L196,L208,L209)</f>
        <v>324900</v>
      </c>
    </row>
    <row r="211" spans="1:14" ht="13.5" thickTop="1" x14ac:dyDescent="0.2">
      <c r="A211" s="2181" t="s">
        <v>996</v>
      </c>
      <c r="B211" s="2182"/>
      <c r="C211" s="618"/>
      <c r="D211" s="618"/>
      <c r="E211" s="618"/>
      <c r="F211" s="618"/>
      <c r="G211" s="618"/>
      <c r="H211" s="618"/>
      <c r="I211" s="616"/>
      <c r="J211" s="616"/>
      <c r="K211" s="1684">
        <f>'Revenues 9-14'!F268-'Expenditures 15-22'!K210</f>
        <v>-139087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22909</v>
      </c>
      <c r="E215" s="616"/>
      <c r="F215" s="616"/>
      <c r="G215" s="616"/>
      <c r="H215" s="616"/>
      <c r="I215" s="616"/>
      <c r="J215" s="616"/>
      <c r="K215" s="1671">
        <f>D215</f>
        <v>22909</v>
      </c>
      <c r="L215" s="466">
        <v>24400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4156</v>
      </c>
      <c r="E217" s="616"/>
      <c r="F217" s="616"/>
      <c r="G217" s="616"/>
      <c r="H217" s="616"/>
      <c r="I217" s="616"/>
      <c r="J217" s="616"/>
      <c r="K217" s="1671">
        <f t="shared" si="19"/>
        <v>4156</v>
      </c>
      <c r="L217" s="466">
        <v>4225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1887</v>
      </c>
      <c r="E223" s="616"/>
      <c r="F223" s="616"/>
      <c r="G223" s="616"/>
      <c r="H223" s="616"/>
      <c r="I223" s="616"/>
      <c r="J223" s="616"/>
      <c r="K223" s="1671">
        <f t="shared" si="19"/>
        <v>1887</v>
      </c>
      <c r="L223" s="466">
        <v>1740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v>1222</v>
      </c>
      <c r="E225" s="616"/>
      <c r="F225" s="616"/>
      <c r="G225" s="616"/>
      <c r="H225" s="616"/>
      <c r="I225" s="616"/>
      <c r="J225" s="616"/>
      <c r="K225" s="1671">
        <f t="shared" si="19"/>
        <v>1222</v>
      </c>
      <c r="L225" s="466">
        <v>400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30174</v>
      </c>
      <c r="E229" s="616"/>
      <c r="F229" s="616"/>
      <c r="G229" s="616"/>
      <c r="H229" s="616"/>
      <c r="I229" s="616"/>
      <c r="J229" s="616"/>
      <c r="K229" s="1670">
        <f>SUM(K215:K228)</f>
        <v>30174</v>
      </c>
      <c r="L229" s="1670">
        <f>SUM(L215:L228)</f>
        <v>30765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780</v>
      </c>
      <c r="E232" s="616"/>
      <c r="F232" s="616"/>
      <c r="G232" s="616"/>
      <c r="H232" s="616"/>
      <c r="I232" s="616"/>
      <c r="J232" s="616"/>
      <c r="K232" s="1671">
        <f t="shared" ref="K232:K237" si="20">D232</f>
        <v>780</v>
      </c>
      <c r="L232" s="466">
        <v>840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6837</v>
      </c>
      <c r="E234" s="616"/>
      <c r="F234" s="616"/>
      <c r="G234" s="616"/>
      <c r="H234" s="616"/>
      <c r="I234" s="616"/>
      <c r="J234" s="616"/>
      <c r="K234" s="1671">
        <f t="shared" si="20"/>
        <v>6837</v>
      </c>
      <c r="L234" s="466">
        <v>5600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7617</v>
      </c>
      <c r="E238" s="616"/>
      <c r="F238" s="616"/>
      <c r="G238" s="616"/>
      <c r="H238" s="616"/>
      <c r="I238" s="616"/>
      <c r="J238" s="616"/>
      <c r="K238" s="1670">
        <f>SUM(K232:K237)</f>
        <v>7617</v>
      </c>
      <c r="L238" s="1670">
        <f>SUM(L232:L237)</f>
        <v>6440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6670</v>
      </c>
      <c r="E245" s="616"/>
      <c r="F245" s="616"/>
      <c r="G245" s="616"/>
      <c r="H245" s="616"/>
      <c r="I245" s="616"/>
      <c r="J245" s="616"/>
      <c r="K245" s="1672">
        <f>D245</f>
        <v>6670</v>
      </c>
      <c r="L245" s="481">
        <v>6670</v>
      </c>
    </row>
    <row r="246" spans="1:12" x14ac:dyDescent="0.2">
      <c r="A246" s="1504" t="s">
        <v>818</v>
      </c>
      <c r="B246" s="614">
        <v>2320</v>
      </c>
      <c r="C246" s="616"/>
      <c r="D246" s="466">
        <v>2238</v>
      </c>
      <c r="E246" s="616"/>
      <c r="F246" s="616"/>
      <c r="G246" s="616"/>
      <c r="H246" s="616"/>
      <c r="I246" s="616"/>
      <c r="J246" s="616"/>
      <c r="K246" s="1672">
        <f t="shared" ref="K246:K256" si="21">D246</f>
        <v>2238</v>
      </c>
      <c r="L246" s="466">
        <v>2250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8908</v>
      </c>
      <c r="E257" s="616"/>
      <c r="F257" s="616"/>
      <c r="G257" s="616"/>
      <c r="H257" s="616"/>
      <c r="I257" s="616"/>
      <c r="J257" s="616"/>
      <c r="K257" s="1670">
        <f>SUM(K245:K256)</f>
        <v>8908</v>
      </c>
      <c r="L257" s="1670">
        <f>SUM(L245:L256)</f>
        <v>8920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12436</v>
      </c>
      <c r="E259" s="616"/>
      <c r="F259" s="616"/>
      <c r="G259" s="616"/>
      <c r="H259" s="616"/>
      <c r="I259" s="616"/>
      <c r="J259" s="616"/>
      <c r="K259" s="1672">
        <f>D259</f>
        <v>12436</v>
      </c>
      <c r="L259" s="481">
        <v>11250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12436</v>
      </c>
      <c r="E261" s="616"/>
      <c r="F261" s="616"/>
      <c r="G261" s="616"/>
      <c r="H261" s="616"/>
      <c r="I261" s="616"/>
      <c r="J261" s="616"/>
      <c r="K261" s="1670">
        <f>SUM(K259:K260)</f>
        <v>12436</v>
      </c>
      <c r="L261" s="1670">
        <f>SUM(L259:L260)</f>
        <v>11250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4271</v>
      </c>
      <c r="E264" s="616"/>
      <c r="F264" s="616"/>
      <c r="G264" s="616"/>
      <c r="H264" s="616"/>
      <c r="I264" s="616"/>
      <c r="J264" s="616"/>
      <c r="K264" s="1672">
        <f t="shared" ref="K264:K269" si="22">D264</f>
        <v>4271</v>
      </c>
      <c r="L264" s="466">
        <v>14250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7496</v>
      </c>
      <c r="E266" s="616"/>
      <c r="F266" s="616"/>
      <c r="G266" s="616"/>
      <c r="H266" s="616"/>
      <c r="I266" s="616"/>
      <c r="J266" s="616"/>
      <c r="K266" s="1672">
        <f t="shared" si="22"/>
        <v>7496</v>
      </c>
      <c r="L266" s="466">
        <v>7250</v>
      </c>
    </row>
    <row r="267" spans="1:14" x14ac:dyDescent="0.2">
      <c r="A267" s="1504" t="s">
        <v>953</v>
      </c>
      <c r="B267" s="614">
        <v>2550</v>
      </c>
      <c r="C267" s="616"/>
      <c r="D267" s="466"/>
      <c r="E267" s="616"/>
      <c r="F267" s="616"/>
      <c r="G267" s="616"/>
      <c r="H267" s="616"/>
      <c r="I267" s="616"/>
      <c r="J267" s="616"/>
      <c r="K267" s="1672">
        <f t="shared" si="22"/>
        <v>0</v>
      </c>
      <c r="L267" s="466">
        <v>150</v>
      </c>
    </row>
    <row r="268" spans="1:14" x14ac:dyDescent="0.2">
      <c r="A268" s="1504" t="s">
        <v>100</v>
      </c>
      <c r="B268" s="614">
        <v>2560</v>
      </c>
      <c r="C268" s="616"/>
      <c r="D268" s="466">
        <v>2008</v>
      </c>
      <c r="E268" s="616"/>
      <c r="F268" s="616"/>
      <c r="G268" s="616"/>
      <c r="H268" s="616"/>
      <c r="I268" s="616"/>
      <c r="J268" s="616"/>
      <c r="K268" s="1672">
        <f t="shared" si="22"/>
        <v>2008</v>
      </c>
      <c r="L268" s="466">
        <v>4925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13775</v>
      </c>
      <c r="E270" s="616"/>
      <c r="F270" s="616"/>
      <c r="G270" s="616"/>
      <c r="H270" s="616"/>
      <c r="I270" s="616"/>
      <c r="J270" s="616"/>
      <c r="K270" s="1670">
        <f>SUM(K263:K269)</f>
        <v>13775</v>
      </c>
      <c r="L270" s="1670">
        <f>SUM(L263:L269)</f>
        <v>26575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7276</v>
      </c>
      <c r="E274" s="616"/>
      <c r="F274" s="616"/>
      <c r="G274" s="616"/>
      <c r="H274" s="616"/>
      <c r="I274" s="616"/>
      <c r="J274" s="616"/>
      <c r="K274" s="1672">
        <f>D274</f>
        <v>7276</v>
      </c>
      <c r="L274" s="466">
        <v>8075</v>
      </c>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7276</v>
      </c>
      <c r="E277" s="616"/>
      <c r="F277" s="616"/>
      <c r="G277" s="616"/>
      <c r="H277" s="616"/>
      <c r="I277" s="616"/>
      <c r="J277" s="616"/>
      <c r="K277" s="1670">
        <f>SUM(K272:K276)</f>
        <v>7276</v>
      </c>
      <c r="L277" s="1670">
        <f>SUM(L272:L276)</f>
        <v>8075</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50012</v>
      </c>
      <c r="E279" s="616"/>
      <c r="F279" s="616"/>
      <c r="G279" s="616"/>
      <c r="H279" s="616"/>
      <c r="I279" s="616"/>
      <c r="J279" s="616"/>
      <c r="K279" s="1677">
        <f>SUM(K238,K243,K257,K261,K270,K277,K278)</f>
        <v>50012</v>
      </c>
      <c r="L279" s="1677">
        <f>SUM(L238,L243,L257,L261,L270,L277,L278)</f>
        <v>61260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v>5950</v>
      </c>
      <c r="E283" s="616"/>
      <c r="F283" s="616"/>
      <c r="G283" s="616"/>
      <c r="H283" s="616"/>
      <c r="I283" s="616"/>
      <c r="J283" s="616"/>
      <c r="K283" s="1671">
        <f>D283</f>
        <v>5950</v>
      </c>
      <c r="L283" s="466">
        <v>6000</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5950</v>
      </c>
      <c r="E285" s="616"/>
      <c r="F285" s="616"/>
      <c r="G285" s="616"/>
      <c r="H285" s="616"/>
      <c r="I285" s="616"/>
      <c r="J285" s="616"/>
      <c r="K285" s="1670">
        <f>SUM(K282:K284)</f>
        <v>5950</v>
      </c>
      <c r="L285" s="1670">
        <f>SUM(L282:L284)</f>
        <v>6000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86136</v>
      </c>
      <c r="E295" s="616"/>
      <c r="F295" s="616"/>
      <c r="G295" s="616"/>
      <c r="H295" s="1670">
        <f>H293</f>
        <v>0</v>
      </c>
      <c r="I295" s="616"/>
      <c r="J295" s="616"/>
      <c r="K295" s="1670">
        <f>SUM(K229,K279,K280,K285,K293,K294)</f>
        <v>86136</v>
      </c>
      <c r="L295" s="1670">
        <f>SUM(L229,L279,L280,L285,L293,L294)</f>
        <v>98025</v>
      </c>
    </row>
    <row r="296" spans="1:14" ht="13.5" thickTop="1" x14ac:dyDescent="0.2">
      <c r="A296" s="2181" t="s">
        <v>996</v>
      </c>
      <c r="B296" s="2182"/>
      <c r="C296" s="616"/>
      <c r="D296" s="618"/>
      <c r="E296" s="616"/>
      <c r="F296" s="616"/>
      <c r="G296" s="616"/>
      <c r="H296" s="687"/>
      <c r="I296" s="616"/>
      <c r="J296" s="616"/>
      <c r="K296" s="1684">
        <f>'Revenues 9-14'!G268-'Expenditures 15-22'!K295</f>
        <v>8887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8700</v>
      </c>
      <c r="F301" s="466">
        <v>14990</v>
      </c>
      <c r="G301" s="466">
        <v>584894</v>
      </c>
      <c r="H301" s="466"/>
      <c r="I301" s="467">
        <v>121740</v>
      </c>
      <c r="J301" s="467"/>
      <c r="K301" s="1671">
        <f>SUM(C301:J301)</f>
        <v>730324</v>
      </c>
      <c r="L301" s="467">
        <v>802304</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8700</v>
      </c>
      <c r="F303" s="1677">
        <f t="shared" si="23"/>
        <v>14990</v>
      </c>
      <c r="G303" s="1677">
        <f t="shared" si="23"/>
        <v>584894</v>
      </c>
      <c r="H303" s="1677">
        <f t="shared" si="23"/>
        <v>0</v>
      </c>
      <c r="I303" s="1677">
        <f t="shared" si="23"/>
        <v>121740</v>
      </c>
      <c r="J303" s="1677">
        <f t="shared" si="23"/>
        <v>0</v>
      </c>
      <c r="K303" s="1677">
        <f t="shared" si="23"/>
        <v>730324</v>
      </c>
      <c r="L303" s="1677">
        <f t="shared" si="23"/>
        <v>802304</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8700</v>
      </c>
      <c r="F312" s="1670">
        <f>SUM(F303)</f>
        <v>14990</v>
      </c>
      <c r="G312" s="1670">
        <f>SUM(G303)</f>
        <v>584894</v>
      </c>
      <c r="H312" s="1670">
        <f>SUM(H303,H310)</f>
        <v>0</v>
      </c>
      <c r="I312" s="1670">
        <f>SUM(I303)</f>
        <v>121740</v>
      </c>
      <c r="J312" s="1670">
        <f>SUM(J303)</f>
        <v>0</v>
      </c>
      <c r="K312" s="1670">
        <f>SUM(K303,K310,K311)</f>
        <v>730324</v>
      </c>
      <c r="L312" s="1670">
        <f>SUM(L303,L310,L311)</f>
        <v>802304</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-728779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170254</v>
      </c>
      <c r="H348" s="466"/>
      <c r="I348" s="467"/>
      <c r="J348" s="467"/>
      <c r="K348" s="1671">
        <f>SUM(C348:J348)</f>
        <v>170254</v>
      </c>
      <c r="L348" s="466">
        <v>167899</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170254</v>
      </c>
      <c r="H350" s="1670">
        <f t="shared" si="26"/>
        <v>0</v>
      </c>
      <c r="I350" s="1670">
        <f t="shared" si="26"/>
        <v>0</v>
      </c>
      <c r="J350" s="1670">
        <f t="shared" si="26"/>
        <v>0</v>
      </c>
      <c r="K350" s="1670">
        <f t="shared" si="26"/>
        <v>170254</v>
      </c>
      <c r="L350" s="1670">
        <f t="shared" si="26"/>
        <v>167899</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170254</v>
      </c>
      <c r="H352" s="1670">
        <f t="shared" si="27"/>
        <v>0</v>
      </c>
      <c r="I352" s="1670">
        <f t="shared" si="27"/>
        <v>0</v>
      </c>
      <c r="J352" s="1670">
        <f t="shared" si="27"/>
        <v>0</v>
      </c>
      <c r="K352" s="1670">
        <f t="shared" si="27"/>
        <v>170254</v>
      </c>
      <c r="L352" s="1670">
        <f t="shared" si="27"/>
        <v>167899</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170254</v>
      </c>
      <c r="H367" s="1670">
        <f t="shared" si="28"/>
        <v>0</v>
      </c>
      <c r="I367" s="1670">
        <f t="shared" si="28"/>
        <v>0</v>
      </c>
      <c r="J367" s="1670">
        <f t="shared" si="28"/>
        <v>0</v>
      </c>
      <c r="K367" s="1670">
        <f t="shared" si="28"/>
        <v>170254</v>
      </c>
      <c r="L367" s="1670">
        <f t="shared" si="28"/>
        <v>167899</v>
      </c>
    </row>
    <row r="368" spans="1:14" ht="13.5" thickTop="1" x14ac:dyDescent="0.2">
      <c r="A368" s="2181" t="s">
        <v>996</v>
      </c>
      <c r="B368" s="2182"/>
      <c r="C368" s="654"/>
      <c r="D368" s="654"/>
      <c r="E368" s="626"/>
      <c r="F368" s="626"/>
      <c r="G368" s="626"/>
      <c r="H368" s="626"/>
      <c r="I368" s="626"/>
      <c r="J368" s="623"/>
      <c r="K368" s="1671">
        <f>'Revenues 9-14'!K268-'Expenditures 15-22'!K367</f>
        <v>-167799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schemas.openxmlformats.org/package/2006/metadata/core-properties"/>
    <ds:schemaRef ds:uri="http://purl.org/dc/elements/1.1/"/>
    <ds:schemaRef ds:uri="http://purl.org/dc/dcmitype/"/>
    <ds:schemaRef ds:uri="4d435f69-8686-490b-bd6d-b153bf22ab50"/>
    <ds:schemaRef ds:uri="d21dc803-237d-4c68-8692-8d731fd29118"/>
    <ds:schemaRef ds:uri="http://www.w3.org/XML/1998/namespace"/>
    <ds:schemaRef ds:uri="http://schemas.microsoft.com/sharepoint/v3"/>
    <ds:schemaRef ds:uri="http://schemas.microsoft.com/office/infopath/2007/PartnerControls"/>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2019-08-29T20:11:57Z</cp:lastPrinted>
  <dcterms:created xsi:type="dcterms:W3CDTF">2003-10-29T19:06:34Z</dcterms:created>
  <dcterms:modified xsi:type="dcterms:W3CDTF">2019-12-03T22:28:42Z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