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F01E83D-5467-40FD-B4FA-41BF1D7C2097}" xr6:coauthVersionLast="36" xr6:coauthVersionMax="36" xr10:uidLastSave="{00000000-0000-0000-0000-000000000000}"/>
  <bookViews>
    <workbookView xWindow="-120" yWindow="-120" windowWidth="24240" windowHeight="13140" tabRatio="82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9" i="7"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3" i="181"/>
  <c r="F52" i="181"/>
  <c r="F51" i="181"/>
  <c r="F50" i="181"/>
  <c r="F49"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E57" i="181"/>
  <c r="F57" i="181" s="1"/>
  <c r="G57" i="181" s="1"/>
  <c r="E56" i="181"/>
  <c r="E55" i="181"/>
  <c r="F55" i="181" s="1"/>
  <c r="G55" i="181" s="1"/>
  <c r="E54" i="181"/>
  <c r="G53" i="181"/>
  <c r="E53" i="181"/>
  <c r="G52" i="181"/>
  <c r="E52" i="181"/>
  <c r="G51" i="181"/>
  <c r="E51" i="181"/>
  <c r="G50" i="181"/>
  <c r="E50" i="181"/>
  <c r="G49" i="181"/>
  <c r="E49" i="181"/>
  <c r="E48" i="181"/>
  <c r="E47" i="181"/>
  <c r="F47" i="181" s="1"/>
  <c r="G47" i="181" s="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54" i="181" l="1"/>
  <c r="G54" i="181" s="1"/>
  <c r="F56" i="181"/>
  <c r="G56" i="181" s="1"/>
  <c r="F48" i="181"/>
  <c r="G48"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B2977" i="106" s="1"/>
  <c r="D2977" i="106" s="1"/>
  <c r="K83" i="29"/>
  <c r="B2978" i="106" s="1"/>
  <c r="D2978" i="106" s="1"/>
  <c r="K93" i="29"/>
  <c r="K94" i="29"/>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B1791" i="106"/>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E27" i="108"/>
  <c r="F27" i="108"/>
  <c r="G27" i="108"/>
  <c r="F31" i="108"/>
  <c r="F36" i="108"/>
  <c r="G28" i="108"/>
  <c r="D31" i="108"/>
  <c r="D36" i="108"/>
  <c r="E31" i="108"/>
  <c r="G31"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C63" i="34"/>
  <c r="D63" i="34"/>
  <c r="C64" i="34"/>
  <c r="F64" i="34"/>
  <c r="C67" i="34"/>
  <c r="D67" i="34"/>
  <c r="F67" i="34"/>
  <c r="C68" i="34"/>
  <c r="D68" i="34"/>
  <c r="F68" i="34"/>
  <c r="C69" i="34"/>
  <c r="D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J22" i="37"/>
  <c r="L22" i="37"/>
  <c r="D24" i="37"/>
  <c r="B4270" i="106" s="1"/>
  <c r="D4270" i="106" s="1"/>
  <c r="L5" i="11"/>
  <c r="B2056" i="106" s="1"/>
  <c r="D2056" i="106" s="1"/>
  <c r="I129" i="29" l="1"/>
  <c r="B7037" i="106" s="1"/>
  <c r="D7037" i="106" s="1"/>
  <c r="H28" i="118"/>
  <c r="L13" i="11"/>
  <c r="B2060" i="106" s="1"/>
  <c r="D2060" i="106" s="1"/>
  <c r="D22" i="37"/>
  <c r="H342" i="29"/>
  <c r="D6103" i="106"/>
  <c r="C342" i="29"/>
  <c r="B7216" i="106" s="1"/>
  <c r="D7216" i="106" s="1"/>
  <c r="B3647" i="106"/>
  <c r="D3647" i="106" s="1"/>
  <c r="J352" i="29"/>
  <c r="J367" i="29" s="1"/>
  <c r="B7245" i="106" s="1"/>
  <c r="D7245" i="106" s="1"/>
  <c r="G39" i="108"/>
  <c r="E34" i="108"/>
  <c r="F36" i="34"/>
  <c r="E38" i="108"/>
  <c r="E33" i="108"/>
  <c r="F52" i="34"/>
  <c r="L367" i="29"/>
  <c r="G29" i="108"/>
  <c r="F28" i="108"/>
  <c r="H365" i="29"/>
  <c r="B7242" i="106" s="1"/>
  <c r="D7242" i="106" s="1"/>
  <c r="B2724" i="106"/>
  <c r="D2724" i="106" s="1"/>
  <c r="B1124" i="106"/>
  <c r="D1124" i="106" s="1"/>
  <c r="J210" i="29"/>
  <c r="B7072" i="106" s="1"/>
  <c r="D7072" i="106" s="1"/>
  <c r="I210" i="29"/>
  <c r="B7071" i="106" s="1"/>
  <c r="D7071" i="106" s="1"/>
  <c r="C352" i="29"/>
  <c r="B3621" i="106" s="1"/>
  <c r="D3621" i="106" s="1"/>
  <c r="K184" i="29"/>
  <c r="F13" i="4" s="1"/>
  <c r="B2596" i="106" s="1"/>
  <c r="D2596" i="106" s="1"/>
  <c r="G210" i="29"/>
  <c r="H76" i="4"/>
  <c r="B3298" i="106" s="1"/>
  <c r="D3298" i="106" s="1"/>
  <c r="J77" i="4"/>
  <c r="B6262" i="106" s="1"/>
  <c r="D6262" i="106" s="1"/>
  <c r="J41" i="3"/>
  <c r="B6216" i="106" s="1"/>
  <c r="D6216" i="106" s="1"/>
  <c r="K76" i="4"/>
  <c r="B3586" i="106" s="1"/>
  <c r="D3586" i="106" s="1"/>
  <c r="F77" i="4"/>
  <c r="B3255" i="106" s="1"/>
  <c r="D3255" i="106" s="1"/>
  <c r="D54" i="36"/>
  <c r="G15" i="145"/>
  <c r="F19" i="7"/>
  <c r="B1807" i="106" s="1"/>
  <c r="D1807" i="106" s="1"/>
  <c r="F71" i="34"/>
  <c r="E29" i="108"/>
  <c r="C129" i="29"/>
  <c r="C151" i="29" s="1"/>
  <c r="B1226" i="106" s="1"/>
  <c r="D1226" i="106" s="1"/>
  <c r="B6995" i="106"/>
  <c r="D6995" i="106" s="1"/>
  <c r="G30"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K28" i="118" l="1"/>
  <c r="O27" i="118" s="1"/>
  <c r="O29" i="118" s="1"/>
  <c r="B5770" i="106"/>
  <c r="D5770" i="106" s="1"/>
  <c r="D51" i="36"/>
  <c r="K365" i="29"/>
  <c r="C367" i="29"/>
  <c r="B3622" i="106" s="1"/>
  <c r="D3622" i="106" s="1"/>
  <c r="J16" i="4"/>
  <c r="B6226" i="106" s="1"/>
  <c r="D6226" i="106" s="1"/>
  <c r="B1365" i="106"/>
  <c r="D1365" i="106" s="1"/>
  <c r="F65" i="34"/>
  <c r="L114" i="29"/>
  <c r="N23" i="3"/>
  <c r="B284" i="106" s="1"/>
  <c r="D284" i="106" s="1"/>
  <c r="F41" i="108"/>
  <c r="G43" i="108" s="1"/>
  <c r="L16" i="11"/>
  <c r="B2061" i="106" s="1"/>
  <c r="D2061" i="106" s="1"/>
  <c r="K342" i="29"/>
  <c r="F13" i="34" s="1"/>
  <c r="D41" i="108"/>
  <c r="E43" i="108" s="1"/>
  <c r="C114" i="29"/>
  <c r="B757" i="106" s="1"/>
  <c r="D757" i="106" s="1"/>
  <c r="B5527" i="106"/>
  <c r="D552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K17" i="4" l="1"/>
  <c r="K20" i="4" s="1"/>
  <c r="J20" i="4"/>
  <c r="B6230" i="106" s="1"/>
  <c r="D6230" i="106" s="1"/>
  <c r="J10" i="4"/>
  <c r="B6225" i="106" s="1"/>
  <c r="D6225" i="106" s="1"/>
  <c r="F8" i="4"/>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K19" i="4" l="1"/>
  <c r="B4144" i="106" s="1"/>
  <c r="D4144" i="106" s="1"/>
  <c r="B3575" i="106"/>
  <c r="D3575" i="106" s="1"/>
  <c r="F10" i="4"/>
  <c r="B4125" i="106" s="1"/>
  <c r="D4125" i="106" s="1"/>
  <c r="D8" i="146"/>
  <c r="B2595" i="106"/>
  <c r="D259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8" i="146" l="1"/>
  <c r="F175" i="34"/>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<sst xmlns="http://schemas.openxmlformats.org/spreadsheetml/2006/main" count="5192" uniqueCount="2149">
  <si>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</si>
  <si>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</si>
  <si>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</si>
  <si>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</si>
  <si>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</si>
  <si>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</si>
  <si>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</si>
  <si>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</si>
  <si>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</si>
  <si>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</si>
  <si>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</si>
  <si>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</si>
  <si>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</si>
  <si>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</si>
  <si>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</si>
  <si>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</si>
  <si>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</si>
  <si>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</si>
  <si>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</si>
  <si>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</si>
  <si>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</si>
  <si>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</si>
  <si>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</si>
  <si>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</si>
  <si>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</si>
  <si>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</si>
  <si>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</si>
  <si>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</si>
  <si>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</si>
  <si>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</si>
  <si>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</si>
  <si>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</si>
  <si>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</si>
  <si>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</si>
  <si>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</si>
  <si>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</si>
  <si>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</si>
  <si>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</si>
  <si>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</si>
  <si>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</si>
  <si>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</si>
  <si>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</si>
  <si>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</si>
  <si>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</si>
  <si>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</si>
  <si>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</si>
  <si>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</si>
  <si>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</si>
  <si>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</si>
  <si>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</si>
  <si>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</si>
  <si>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</si>
  <si>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</si>
  <si>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</si>
  <si>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</si>
  <si>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</si>
  <si>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</si>
  <si>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</si>
  <si>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</si>
  <si>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</si>
  <si>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</si>
  <si>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</si>
  <si>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</si>
  <si>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</si>
  <si>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</si>
  <si>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</si>
  <si>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</si>
  <si>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</si>
  <si>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</si>
  <si>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</si>
  <si>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</si>
  <si>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</si>
  <si>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</si>
  <si>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</si>
  <si>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</si>
  <si>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</si>
  <si>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</si>
  <si>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</si>
  <si>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</si>
  <si>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</si>
  <si>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</si>
  <si>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</si>
  <si>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</si>
  <si>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</si>
  <si>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</si>
  <si>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</si>
  <si>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</si>
  <si>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</si>
  <si>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</si>
  <si>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</si>
  <si>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</si>
  <si>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</si>
  <si>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</si>
  <si>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</si>
  <si>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</si>
  <si>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</si>
  <si>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</si>
  <si>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</si>
  <si>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</si>
  <si>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</si>
  <si>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</si>
  <si>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</si>
  <si>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</si>
  <si>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</si>
  <si>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</si>
  <si>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</si>
  <si>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</si>
  <si>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</si>
  <si>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</si>
  <si>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</si>
  <si>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</si>
  <si>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</si>
  <si>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</si>
  <si>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</si>
  <si>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</si>
  <si>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</si>
  <si>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</si>
  <si>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</si>
  <si>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</si>
  <si>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</si>
  <si>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</si>
  <si>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</si>
  <si>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</si>
  <si>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</si>
  <si>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</si>
  <si>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</si>
  <si>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</si>
  <si>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</si>
  <si>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</si>
  <si>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</si>
  <si>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</si>
  <si>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</si>
  <si>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</si>
  <si>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</si>
  <si>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</si>
  <si>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</si>
  <si>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</si>
  <si>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</si>
  <si>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</si>
  <si>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</si>
  <si>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</si>
  <si>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</si>
  <si>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</si>
  <si>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</si>
  <si>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</si>
  <si>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</si>
  <si>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</si>
  <si>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</si>
  <si>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</si>
  <si>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</si>
  <si>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</si>
  <si>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</si>
  <si>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</si>
  <si>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</si>
  <si>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</si>
  <si>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</si>
  <si>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</si>
  <si>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</si>
  <si>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</si>
  <si>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</si>
  <si>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</si>
  <si>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</si>
  <si>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</si>
  <si>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</si>
  <si>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</si>
  <si>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</si>
  <si>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</si>
  <si>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</si>
  <si>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</si>
  <si>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</si>
  <si>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</si>
  <si>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</si>
  <si>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</si>
  <si>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</si>
  <si>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</si>
  <si>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</si>
  <si>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</si>
  <si>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</si>
  <si>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</si>
  <si>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</si>
  <si>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</si>
  <si>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</si>
  <si>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</si>
  <si>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</si>
  <si>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</si>
  <si>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</si>
  <si>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</si>
  <si>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</si>
  <si>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</si>
  <si>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</si>
  <si>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</si>
  <si>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</si>
  <si>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</si>
  <si>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</si>
  <si>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</si>
  <si>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</si>
  <si>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</si>
  <si>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</si>
  <si>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</si>
  <si>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</si>
  <si>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</si>
  <si>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</si>
  <si>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</si>
  <si>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</si>
  <si>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</si>
  <si>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</si>
  <si>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</si>
  <si>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</si>
  <si>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</si>
  <si>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</si>
  <si>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</si>
  <si>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</si>
  <si>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</si>
  <si>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</si>
  <si>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</si>
  <si>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</si>
  <si>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</si>
  <si>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</si>
  <si>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</si>
  <si>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</si>
  <si>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</si>
  <si>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</si>
  <si>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</si>
  <si>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</si>
  <si>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</si>
  <si>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</si>
  <si>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</si>
  <si>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</si>
  <si>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</si>
  <si>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</si>
  <si>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</si>
  <si>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</si>
  <si>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</si>
  <si>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</si>
  <si>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</si>
  <si>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</si>
  <si>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</si>
  <si>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</si>
  <si>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</si>
  <si>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</si>
  <si>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</si>
  <si>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</si>
  <si>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</si>
  <si>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</si>
  <si>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</si>
  <si>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</si>
  <si>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</si>
  <si>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</si>
  <si>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</si>
  <si>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</si>
  <si>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</si>
  <si>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</si>
  <si>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</si>
  <si>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</si>
  <si>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</si>
  <si>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</si>
  <si>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</si>
  <si>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</si>
  <si>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</si>
  <si>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</si>
  <si>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</si>
  <si>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</si>
  <si>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</si>
  <si>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</si>
  <si>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</si>
  <si>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</si>
  <si>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</si>
  <si>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</si>
  <si>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</si>
  <si>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</si>
  <si>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</si>
  <si>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</si>
  <si>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</si>
  <si>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</si>
  <si>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</si>
  <si>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</si>
  <si>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</si>
  <si>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</si>
  <si>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</si>
  <si>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</si>
  <si>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</si>
  <si>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</si>
  <si>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</si>
  <si>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</si>
  <si>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</si>
  <si>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</si>
  <si>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</si>
  <si>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</si>
  <si>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</si>
  <si>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</si>
  <si>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</si>
  <si>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</si>
  <si>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</si>
  <si>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</si>
  <si>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</si>
  <si>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</si>
  <si>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</si>
  <si>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</si>
  <si>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</si>
  <si>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</si>
  <si>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</si>
  <si>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</si>
  <si>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</si>
  <si>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</si>
  <si>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</si>
  <si>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</si>
  <si>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</si>
  <si>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</si>
  <si>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</si>
  <si>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</si>
  <si>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</si>
  <si>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</si>
  <si>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</si>
  <si>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</si>
  <si>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</si>
  <si>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</si>
  <si>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</si>
  <si>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</si>
  <si>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</si>
  <si>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</si>
  <si>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</si>
  <si>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</si>
  <si>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</si>
  <si>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</si>
  <si>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</si>
  <si>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</si>
  <si>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</si>
  <si>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</si>
  <si>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</si>
  <si>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</si>
  <si>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</si>
  <si>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</si>
  <si>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</si>
  <si>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</si>
  <si>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</si>
  <si>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</si>
  <si>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</si>
  <si>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</si>
  <si>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</si>
  <si>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</si>
  <si>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</si>
  <si>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</si>
  <si>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</si>
  <si>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</si>
  <si>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</si>
  <si>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</si>
  <si>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</si>
  <si>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</si>
  <si>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</si>
  <si>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</si>
  <si>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</si>
  <si>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</si>
  <si>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</si>
  <si>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</si>
  <si>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</si>
  <si>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</si>
  <si>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</si>
  <si>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</si>
  <si>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</si>
  <si>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</si>
  <si>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</si>
  <si>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</si>
  <si>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</si>
  <si>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</si>
  <si>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</si>
  <si>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</si>
  <si>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</si>
  <si>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</si>
  <si>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</si>
  <si>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</si>
  <si>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</si>
  <si>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</si>
  <si>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</si>
  <si>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</si>
  <si>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</si>
  <si>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</si>
  <si>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</si>
  <si>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</si>
  <si>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</si>
  <si>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</si>
  <si>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</si>
  <si>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</si>
  <si>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</si>
  <si>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</si>
  <si>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</si>
  <si>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</si>
  <si>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</si>
  <si>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</si>
  <si>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</si>
  <si>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</si>
  <si>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</si>
  <si>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</si>
  <si>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</si>
  <si>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</si>
  <si>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</si>
  <si>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</si>
  <si>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</si>
  <si>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</si>
  <si>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</si>
  <si>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</si>
  <si>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</si>
  <si>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</si>
  <si>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</si>
  <si>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</si>
  <si>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</si>
  <si>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</si>
  <si>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</si>
  <si>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</si>
  <si>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</si>
  <si>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</si>
  <si>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</si>
  <si>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</si>
  <si>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</si>
  <si>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</si>
  <si>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</si>
  <si>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</si>
  <si>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</si>
  <si>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</si>
  <si>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</si>
  <si>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</si>
  <si>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</si>
  <si>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</si>
  <si>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</si>
  <si>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</si>
  <si>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</si>
  <si>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</si>
  <si>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</si>
  <si>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</si>
  <si>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</si>
  <si>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</si>
  <si>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</si>
  <si>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</si>
  <si>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</si>
  <si>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</si>
  <si>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</si>
  <si>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</si>
  <si>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</si>
  <si>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</si>
  <si>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</si>
  <si>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</si>
  <si>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</si>
  <si>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</si>
  <si>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</si>
  <si>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</si>
  <si>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</si>
  <si>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</si>
  <si>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</si>
  <si>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</si>
  <si>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</si>
  <si>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</si>
  <si>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</si>
  <si>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</si>
  <si>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</si>
  <si>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</si>
  <si>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</si>
  <si>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</si>
  <si>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</si>
  <si>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</si>
  <si>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</si>
  <si>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</si>
  <si>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</si>
  <si>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</si>
  <si>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</si>
  <si>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</si>
  <si>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</si>
  <si>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</si>
  <si>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</si>
  <si>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</si>
  <si>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</si>
  <si>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</si>
  <si>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</si>
  <si>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</si>
  <si>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</si>
  <si>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</si>
  <si>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</si>
  <si>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</si>
  <si>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</si>
  <si>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</si>
  <si>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</si>
  <si>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</si>
  <si>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</si>
  <si>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</si>
  <si>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</si>
  <si>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</si>
  <si>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</si>
  <si>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</si>
  <si>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</si>
  <si>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</si>
  <si>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</si>
  <si>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</si>
  <si>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</si>
  <si>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</si>
  <si>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</si>
  <si>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</si>
  <si>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</si>
  <si>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</si>
  <si>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</si>
  <si>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</si>
  <si>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</si>
  <si>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</si>
  <si>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</si>
  <si>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</si>
  <si>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</si>
  <si>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</si>
  <si>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</si>
  <si>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</si>
  <si>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</si>
  <si>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</si>
  <si>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</si>
  <si>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</si>
  <si>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</si>
  <si>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</si>
  <si>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</si>
  <si>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</si>
  <si>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</si>
  <si>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</si>
  <si>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</si>
  <si>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</si>
  <si>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</si>
  <si>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</si>
  <si>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</si>
  <si>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</si>
  <si>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</si>
  <si>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</si>
  <si>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</si>
  <si>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</si>
  <si>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</si>
  <si>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</si>
  <si>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</si>
  <si>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</si>
  <si>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</si>
  <si>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</si>
  <si>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</si>
  <si>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</si>
  <si>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</si>
  <si>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</si>
  <si>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</si>
  <si>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</si>
  <si>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</si>
  <si>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</si>
  <si>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</si>
  <si>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</si>
  <si>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</si>
  <si>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</si>
  <si>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</si>
  <si>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</si>
  <si>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</si>
  <si>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</si>
  <si>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</si>
  <si>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</si>
  <si>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</si>
  <si>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</si>
  <si>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</si>
  <si>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</si>
  <si>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</si>
  <si>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</si>
  <si>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</si>
  <si>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</si>
  <si>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</si>
  <si>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</si>
  <si>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</si>
  <si>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</si>
  <si>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</si>
  <si>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</si>
  <si>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</si>
  <si>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</si>
  <si>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</si>
  <si>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</si>
  <si>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</si>
  <si>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</si>
  <si>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</si>
  <si>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</si>
  <si>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</si>
  <si>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</si>
  <si>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</si>
  <si>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</si>
  <si>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</si>
  <si>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</si>
  <si>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</si>
  <si>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</si>
  <si>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</si>
  <si>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</si>
  <si>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</si>
  <si>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</si>
  <si>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</si>
  <si>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</si>
  <si>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</si>
  <si>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</si>
  <si>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</si>
  <si>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</si>
  <si>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</si>
  <si>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</si>
  <si>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</si>
  <si>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</si>
  <si>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</si>
  <si>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</si>
  <si>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</si>
  <si>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</si>
  <si>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</si>
  <si>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</si>
  <si>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</si>
  <si>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</si>
  <si>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</si>
  <si>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</si>
  <si>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</si>
  <si>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</si>
  <si>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</si>
  <si>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</si>
  <si>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</si>
  <si>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</si>
  <si>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</si>
  <si>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</si>
  <si>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</si>
  <si>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</si>
  <si>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</si>
  <si>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</si>
  <si>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</si>
  <si>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</si>
  <si>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</si>
  <si>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</si>
  <si>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</si>
  <si>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</si>
  <si>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</si>
  <si>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</si>
  <si>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</si>
  <si>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</si>
  <si>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</si>
  <si>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</si>
  <si>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</si>
  <si>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</si>
  <si>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</si>
  <si>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</si>
  <si>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</si>
  <si>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</si>
  <si>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</si>
  <si>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</si>
  <si>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</si>
  <si>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</si>
  <si>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</si>
  <si>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</si>
  <si>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</si>
  <si>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</si>
  <si>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</si>
  <si>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</si>
  <si>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</si>
  <si>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</si>
  <si>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</si>
  <si>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</si>
  <si>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</si>
  <si>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</si>
  <si>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</si>
  <si>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</si>
  <si>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</si>
  <si>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</si>
  <si>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</si>
  <si>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</si>
  <si>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</si>
  <si>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</si>
  <si>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</si>
  <si>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</si>
  <si>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</si>
  <si>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</si>
  <si>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</si>
  <si>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</si>
  <si>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</si>
  <si>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</si>
  <si>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</si>
  <si>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</si>
  <si>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</si>
  <si>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</si>
  <si>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</si>
  <si>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</si>
  <si>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</si>
  <si>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</si>
  <si>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</si>
  <si>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</si>
  <si>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</si>
  <si>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</si>
  <si>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</si>
  <si>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</si>
  <si>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</si>
  <si>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</si>
  <si>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</si>
  <si>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</si>
  <si>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</si>
  <si>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</si>
  <si>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</si>
  <si>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</si>
  <si>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</si>
  <si>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</si>
  <si>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</si>
  <si>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</si>
  <si>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</si>
  <si>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</si>
  <si>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</si>
  <si>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</si>
  <si>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</si>
  <si>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</si>
  <si>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</si>
  <si>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</si>
  <si>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</si>
  <si>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</si>
  <si>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</si>
  <si>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</si>
  <si>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</si>
  <si>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</si>
  <si>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</si>
  <si>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</si>
  <si>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</si>
  <si>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</si>
  <si>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</si>
  <si>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</si>
  <si>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</si>
  <si>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</si>
  <si>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</si>
  <si>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</si>
  <si>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</si>
  <si>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</si>
  <si>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</si>
  <si>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</si>
  <si>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</si>
  <si>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</si>
  <si>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</si>
  <si>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</si>
  <si>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</si>
  <si>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</si>
  <si>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</si>
  <si>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</si>
  <si>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</si>
  <si>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</si>
  <si>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</si>
  <si>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</si>
  <si>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</si>
  <si>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</si>
  <si>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</si>
  <si>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</si>
  <si>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</si>
  <si>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</si>
  <si>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</si>
  <si>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</si>
  <si>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</si>
  <si>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</si>
  <si>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</si>
  <si>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</si>
  <si>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</si>
  <si>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</si>
  <si>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</si>
  <si>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</si>
  <si>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</si>
  <si>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</si>
  <si>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</si>
  <si>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</si>
  <si>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</si>
  <si>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</si>
  <si>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</si>
  <si>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</si>
  <si>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</si>
  <si>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</si>
  <si>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</si>
  <si>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</si>
  <si>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</si>
  <si>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</si>
  <si>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</si>
  <si>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</si>
  <si>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</si>
  <si>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</si>
  <si>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</si>
  <si>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</si>
  <si>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</si>
  <si>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</si>
  <si>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</si>
  <si>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</si>
  <si>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</si>
  <si>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</si>
  <si>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</si>
  <si>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</si>
  <si>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</si>
  <si>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</si>
  <si>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</si>
  <si>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</si>
  <si>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</si>
  <si>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</si>
  <si>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</si>
  <si>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</si>
  <si>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</si>
  <si>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</si>
  <si>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</si>
  <si>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</si>
  <si>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</si>
  <si>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</si>
  <si>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</si>
  <si>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</si>
  <si>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</si>
  <si>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</si>
  <si>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</si>
  <si>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</si>
  <si>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</si>
  <si>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</si>
  <si>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</si>
  <si>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</si>
  <si>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</si>
  <si>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</si>
  <si>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</si>
  <si>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</si>
  <si>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</si>
  <si>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</si>
  <si>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</si>
  <si>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</si>
  <si>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</si>
  <si>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</si>
  <si>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</si>
  <si>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</si>
  <si>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</si>
  <si>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</si>
  <si>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</si>
  <si>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</si>
  <si>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</si>
  <si>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</si>
  <si>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</si>
  <si>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</si>
  <si>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</si>
  <si>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</si>
  <si>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</si>
  <si>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</si>
  <si>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</si>
  <si>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</si>
  <si>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</si>
  <si>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</si>
  <si>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</si>
  <si>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</si>
  <si>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</si>
  <si>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</si>
  <si>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</si>
  <si>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</si>
  <si>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</si>
  <si>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</si>
  <si>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</si>
  <si>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</si>
  <si>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</si>
  <si>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</si>
  <si>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</si>
  <si>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</si>
  <si>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</si>
  <si>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</si>
  <si>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</si>
  <si>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</si>
  <si>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</si>
  <si>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</si>
  <si>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</si>
  <si>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</si>
  <si>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</si>
  <si>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</si>
  <si>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</si>
  <si>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</si>
  <si>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</si>
  <si>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</si>
  <si>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</si>
  <si>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</si>
  <si>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</si>
  <si>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</si>
  <si>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</si>
  <si>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</si>
  <si>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</si>
  <si>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</si>
  <si>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</si>
  <si>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</si>
  <si>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</si>
  <si>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</si>
  <si>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</si>
  <si>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</si>
  <si>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</si>
  <si>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</si>
  <si>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</si>
  <si>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</si>
  <si>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</si>
  <si>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</si>
  <si>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</si>
  <si>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</si>
  <si>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</si>
  <si>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</si>
  <si>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</si>
  <si>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</si>
  <si>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</si>
  <si>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</si>
  <si>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</si>
  <si>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</si>
  <si>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</si>
  <si>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</si>
  <si>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</si>
  <si>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</si>
  <si>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</si>
  <si>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</si>
  <si>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</si>
  <si>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</si>
  <si>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</si>
  <si>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</si>
  <si>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</si>
  <si>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</si>
  <si>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</si>
  <si>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</si>
  <si>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</si>
  <si>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</si>
  <si>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</si>
  <si>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</si>
  <si>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</si>
  <si>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</si>
  <si>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</si>
  <si>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</si>
  <si>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</si>
  <si>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</si>
  <si>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</si>
  <si>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</si>
  <si>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</si>
  <si>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</si>
  <si>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</si>
  <si>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</si>
  <si>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</si>
  <si>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</si>
  <si>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</si>
  <si>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</si>
  <si>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</si>
  <si>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</si>
  <si>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</si>
  <si>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</si>
  <si>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</si>
  <si>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</si>
  <si>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</si>
  <si>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</si>
  <si>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</si>
  <si>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</si>
  <si>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</si>
  <si>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</si>
  <si>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</si>
  <si>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</si>
  <si>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</si>
  <si>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</si>
  <si>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</si>
  <si>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</si>
  <si>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</si>
  <si>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</si>
  <si>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</si>
  <si>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</si>
  <si>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</si>
  <si>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</si>
  <si>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</si>
  <si>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</si>
  <si>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</si>
  <si>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</si>
  <si>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</si>
  <si>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</si>
  <si>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</si>
  <si>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</si>
  <si>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</si>
  <si>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</si>
  <si>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</si>
  <si>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</si>
  <si>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</si>
  <si>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</si>
  <si>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</si>
  <si>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</si>
  <si>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</si>
  <si>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</si>
  <si>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</si>
  <si>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</si>
  <si>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</si>
  <si>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</si>
  <si>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</si>
  <si>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</si>
  <si>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</si>
  <si>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</si>
  <si>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</si>
  <si>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</si>
  <si>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</si>
  <si>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</si>
  <si>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</si>
  <si>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</si>
  <si>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</si>
  <si>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</si>
  <si>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</si>
  <si>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</si>
  <si>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</si>
  <si>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</si>
  <si>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</si>
  <si>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</si>
  <si>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</si>
  <si>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</si>
  <si>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</si>
  <si>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</si>
  <si>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</si>
  <si>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</si>
  <si>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</si>
  <si>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</si>
  <si>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</si>
  <si>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</si>
  <si>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</si>
  <si>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</si>
  <si>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</si>
  <si>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</si>
  <si>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</si>
  <si>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</si>
  <si>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</si>
  <si>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</si>
  <si>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</si>
  <si>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</si>
  <si>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</si>
  <si>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</si>
  <si>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</si>
  <si>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</si>
  <si>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</si>
  <si>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</si>
  <si>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</si>
  <si>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</si>
  <si>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</si>
  <si>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</si>
  <si>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</si>
  <si>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</si>
  <si>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</si>
  <si>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</si>
  <si>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</si>
  <si>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</si>
  <si>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</si>
  <si>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</si>
  <si>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</si>
  <si>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</si>
  <si>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</si>
  <si>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</si>
  <si>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</si>
  <si>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</si>
  <si>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</si>
  <si>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</si>
  <si>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</si>
  <si>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</si>
  <si>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</si>
  <si>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</si>
  <si>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</si>
  <si>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</si>
  <si>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</si>
  <si>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</si>
  <si>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</si>
  <si>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</si>
  <si>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</si>
  <si>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</si>
  <si>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</si>
  <si>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</si>
  <si>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</si>
  <si>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</si>
  <si>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</si>
  <si>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</si>
  <si>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</si>
  <si>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</si>
  <si>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</si>
  <si>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</si>
  <si>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</si>
  <si>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</si>
  <si>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</si>
  <si>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</si>
  <si>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</si>
  <si>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</si>
  <si>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</si>
  <si>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</si>
  <si>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</si>
  <si>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</si>
  <si>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</si>
  <si>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</si>
  <si>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</si>
  <si>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</si>
  <si>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</si>
  <si>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</si>
  <si>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</si>
  <si>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</si>
  <si>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</si>
  <si>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</si>
  <si>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</si>
  <si>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</si>
  <si>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</si>
  <si>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</si>
  <si>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</si>
  <si>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</si>
  <si>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</si>
  <si>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</si>
  <si>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</si>
  <si>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</si>
  <si>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</si>
  <si>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</si>
  <si>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</si>
  <si>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</si>
  <si>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</si>
  <si>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</si>
  <si>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</si>
  <si>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</si>
  <si>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</si>
  <si>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</si>
  <si>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</si>
  <si>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</si>
  <si>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</si>
  <si>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</si>
  <si>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</si>
  <si>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</si>
  <si>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</si>
  <si>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</si>
  <si>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</si>
  <si>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</si>
  <si>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</si>
  <si>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</si>
  <si>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</si>
  <si>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</si>
  <si>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</si>
  <si>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</si>
  <si>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</si>
  <si>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</si>
  <si>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</si>
  <si>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</si>
  <si>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</si>
  <si>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</si>
  <si>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</si>
  <si>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</si>
  <si>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</si>
  <si>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</si>
  <si>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</si>
  <si>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</si>
  <si>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</si>
  <si>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</si>
  <si>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</si>
  <si>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</si>
  <si>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</si>
  <si>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</si>
  <si>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</si>
  <si>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</si>
  <si>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</si>
  <si>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</si>
  <si>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</si>
  <si>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</si>
  <si>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</si>
  <si>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</si>
  <si>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</si>
  <si>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</si>
  <si>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</si>
  <si>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</si>
  <si>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</si>
  <si>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</si>
  <si>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</si>
  <si>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</si>
  <si>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</si>
  <si>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</si>
  <si>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</si>
  <si>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</si>
  <si>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</si>
  <si>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</si>
  <si>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</si>
  <si>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</si>
  <si>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</si>
  <si>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</si>
  <si>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</si>
  <si>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</si>
  <si>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</si>
  <si>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</si>
  <si>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</si>
  <si>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</si>
  <si>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</si>
  <si>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</si>
  <si>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</si>
  <si>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</si>
  <si>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</si>
  <si>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</si>
  <si>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</si>
  <si>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</si>
  <si>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</si>
  <si>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</si>
  <si>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</si>
  <si>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</si>
  <si>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</si>
  <si>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</si>
  <si>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</si>
  <si>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</si>
  <si>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</si>
  <si>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</si>
  <si>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</si>
  <si>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</si>
  <si>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</si>
  <si>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</si>
  <si>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</si>
  <si>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</si>
  <si>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</si>
  <si>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</si>
  <si>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</si>
  <si>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</si>
  <si>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</si>
  <si>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</si>
  <si>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</si>
  <si>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</si>
  <si>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</si>
  <si>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</si>
  <si>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</si>
  <si>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</si>
  <si>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</si>
  <si>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</si>
  <si>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</si>
  <si>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</si>
  <si>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</si>
  <si>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</si>
  <si>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</si>
  <si>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</si>
  <si>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</si>
  <si>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</si>
  <si>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</si>
  <si>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</si>
  <si>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</si>
  <si>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</si>
  <si>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</si>
  <si>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</si>
  <si>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</si>
  <si>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</si>
  <si>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</si>
  <si>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</si>
  <si>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</si>
  <si>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</si>
  <si>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</si>
  <si>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</si>
  <si>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</si>
  <si>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</si>
  <si>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</si>
  <si>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</si>
  <si>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</si>
  <si>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</si>
  <si>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</si>
  <si>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</si>
  <si>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</si>
  <si>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</si>
  <si>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</si>
  <si>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</si>
  <si>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</si>
  <si>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</si>
  <si>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</si>
  <si>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</si>
  <si>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</si>
  <si>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</si>
  <si>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</si>
  <si>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</si>
  <si>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</si>
  <si>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</si>
  <si>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</si>
  <si>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</si>
  <si>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</si>
  <si>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</si>
  <si>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</si>
  <si>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</si>
  <si>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</si>
  <si>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</si>
  <si>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</si>
  <si>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</si>
  <si>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</si>
  <si>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</si>
  <si>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</si>
  <si>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</si>
  <si>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</si>
  <si>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</si>
  <si>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</si>
  <si>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</si>
  <si>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</si>
  <si>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</si>
  <si>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</si>
  <si>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</si>
  <si>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</si>
  <si>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</si>
  <si>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</si>
  <si>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</si>
  <si>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</si>
  <si>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</si>
  <si>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</si>
  <si>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</si>
  <si>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</si>
  <si>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</si>
  <si>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</si>
  <si>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</si>
  <si>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</si>
  <si>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</si>
  <si>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</si>
  <si>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</si>
  <si>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</si>
  <si>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</si>
  <si>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</si>
  <si>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</si>
  <si>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</si>
  <si>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</si>
  <si>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</si>
  <si>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</si>
  <si>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</si>
  <si>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</si>
  <si>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</si>
  <si>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</si>
  <si>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</si>
  <si>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</si>
  <si>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</si>
  <si>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</si>
  <si>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</si>
  <si>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</si>
  <si>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</si>
  <si>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</si>
  <si>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</si>
  <si>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</si>
  <si>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</si>
  <si>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</si>
  <si>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</si>
  <si>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</si>
  <si>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</si>
  <si>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</si>
  <si>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</si>
  <si>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</si>
  <si>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</si>
  <si>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</si>
  <si>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</si>
  <si>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</si>
  <si>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</si>
  <si>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</si>
  <si>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</si>
  <si>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</si>
  <si>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</si>
  <si>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</si>
  <si>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</si>
  <si>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</si>
  <si>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</si>
  <si>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</si>
  <si>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</si>
  <si>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</si>
  <si>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</si>
  <si>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</si>
  <si>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</si>
  <si>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</si>
  <si>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</si>
  <si>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</si>
  <si>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</si>
  <si>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</si>
  <si>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</si>
  <si>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</si>
  <si>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</si>
  <si>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</si>
  <si>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</si>
  <si>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</si>
  <si>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</si>
  <si>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</si>
  <si>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</si>
  <si>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</si>
  <si>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</si>
  <si>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</si>
  <si>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</si>
  <si>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</si>
  <si>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</si>
  <si>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</si>
  <si>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</si>
  <si>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</si>
  <si>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</si>
  <si>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</si>
  <si>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</si>
  <si>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</si>
  <si>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</si>
  <si>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</si>
  <si>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</si>
  <si>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</si>
  <si>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</si>
  <si>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</si>
  <si>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</si>
  <si>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</si>
  <si>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</si>
  <si>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</si>
  <si>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</si>
  <si>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</si>
  <si>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</si>
  <si>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</si>
  <si>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</si>
  <si>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</si>
  <si>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</si>
  <si>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</si>
  <si>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</si>
  <si>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</si>
  <si>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</si>
  <si>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</si>
  <si>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</si>
  <si>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</si>
  <si>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</si>
  <si>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</si>
  <si>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</si>
  <si>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</si>
  <si>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</si>
  <si>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</si>
  <si>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</si>
  <si>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</si>
  <si>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</si>
  <si>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</si>
  <si>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</si>
  <si>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</si>
  <si>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</si>
  <si>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</si>
  <si>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</si>
  <si>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</si>
  <si>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</si>
  <si>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</si>
  <si>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</si>
  <si>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</si>
  <si>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</si>
  <si>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</si>
  <si>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</si>
  <si>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</si>
  <si>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</si>
  <si>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</si>
  <si>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</si>
  <si>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</si>
  <si>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</si>
  <si>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</si>
  <si>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</si>
  <si>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</si>
  <si>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</si>
  <si>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</si>
  <si>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</si>
  <si>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</si>
  <si>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</si>
  <si>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</si>
  <si>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</si>
  <si>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</si>
  <si>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</si>
  <si>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</si>
  <si>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</si>
  <si>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</si>
  <si>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</si>
  <si>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</si>
  <si>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</si>
  <si>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</si>
  <si>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</si>
  <si>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</si>
  <si>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</si>
  <si>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</si>
  <si>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</si>
  <si>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</si>
  <si>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</si>
  <si>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</si>
  <si>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</si>
  <si>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</si>
  <si>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</si>
  <si>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</si>
  <si>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</si>
  <si>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</si>
  <si>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</si>
  <si>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</si>
  <si>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</si>
  <si>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</si>
  <si>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</si>
  <si>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</si>
  <si>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</si>
  <si>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</si>
  <si>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</si>
  <si>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</si>
  <si>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</si>
  <si>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</si>
  <si>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</si>
  <si>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</si>
  <si>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</si>
  <si>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</si>
  <si>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</si>
  <si>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</si>
  <si>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</si>
  <si>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</si>
  <si>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</si>
  <si>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</si>
  <si>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</si>
  <si>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</si>
  <si>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</si>
  <si>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</si>
  <si>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</si>
  <si>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</si>
  <si>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</si>
  <si>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</si>
  <si>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</si>
  <si>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</si>
  <si>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</si>
  <si>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</si>
  <si>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</si>
  <si>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</si>
  <si>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</si>
  <si>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</si>
  <si>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</si>
  <si>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</si>
  <si>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</si>
  <si>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</si>
  <si>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</si>
  <si>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</si>
  <si>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</si>
  <si>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</si>
  <si>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</si>
  <si>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</si>
  <si>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</si>
  <si>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</si>
  <si>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</si>
  <si>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</si>
  <si>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</si>
  <si>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</si>
  <si>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</si>
  <si>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</si>
  <si>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</si>
  <si>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</si>
  <si>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</si>
  <si>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</si>
  <si>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</si>
  <si>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</si>
  <si>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</si>
  <si>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</si>
  <si>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</si>
  <si>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</si>
  <si>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</si>
  <si>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</si>
  <si>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</si>
  <si>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</si>
  <si>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</si>
  <si>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</si>
  <si>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</si>
  <si>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</si>
  <si>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</si>
  <si>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</si>
  <si>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</si>
  <si>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</si>
  <si>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</si>
  <si>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</si>
  <si>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</si>
  <si>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</si>
  <si>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</si>
  <si>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</si>
  <si>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</si>
  <si>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</si>
  <si>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</si>
  <si>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</si>
  <si>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</si>
  <si>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</si>
  <si>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</si>
  <si>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</si>
  <si>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</si>
  <si>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</si>
  <si>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</si>
  <si>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</si>
  <si>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</si>
  <si>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</si>
  <si>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</si>
  <si>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</si>
  <si>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</si>
  <si>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</si>
  <si>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</si>
  <si>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</si>
  <si>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</si>
  <si>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</si>
  <si>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</si>
  <si>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</si>
  <si>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</si>
  <si>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</si>
  <si>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</si>
  <si>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</si>
  <si>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</si>
  <si>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</si>
  <si>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</si>
  <si>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</si>
  <si>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</si>
  <si>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</si>
  <si>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</si>
  <si>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</si>
  <si>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</si>
  <si>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</si>
  <si>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</si>
  <si>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</si>
  <si>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</si>
  <si>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</si>
  <si>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</si>
  <si>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</si>
  <si>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</si>
  <si>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</si>
  <si>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</si>
  <si>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</si>
  <si>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</si>
  <si>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</si>
  <si>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</si>
  <si>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</si>
  <si>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</si>
  <si>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</si>
  <si>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</si>
  <si>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</si>
  <si>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</si>
  <si>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</si>
  <si>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</si>
  <si>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</si>
  <si>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</si>
  <si>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</si>
  <si>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</si>
  <si>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</si>
  <si>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</si>
  <si>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</si>
  <si>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</si>
  <si>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</si>
  <si>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</si>
  <si>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</si>
  <si>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</si>
  <si>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</si>
  <si>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</si>
  <si>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</si>
  <si>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</si>
  <si>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</si>
  <si>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</si>
  <si>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</si>
  <si>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</si>
  <si>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</si>
  <si>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</si>
  <si>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</si>
  <si>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</si>
  <si>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</si>
  <si>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</si>
  <si>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</si>
  <si>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</si>
  <si>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</si>
  <si>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</si>
  <si>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</si>
  <si>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</si>
  <si>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</si>
  <si>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</si>
  <si>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</si>
  <si>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</si>
  <si>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</si>
  <si>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</si>
  <si>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</si>
  <si>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</si>
  <si>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</si>
  <si>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</si>
  <si>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</si>
  <si>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</si>
  <si>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</si>
  <si>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</si>
  <si>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</si>
  <si>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</si>
  <si>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</si>
  <si>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</si>
  <si>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</si>
  <si>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</si>
  <si>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</si>
  <si>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</si>
  <si>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</si>
  <si>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</si>
  <si>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</si>
  <si>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</si>
  <si>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</si>
  <si>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</si>
  <si>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</si>
  <si>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</si>
  <si>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</si>
  <si>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</si>
  <si>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</si>
  <si>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</si>
  <si>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</si>
  <si>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</si>
  <si>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</si>
  <si>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</si>
  <si>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</si>
  <si>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</si>
  <si>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</si>
  <si>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</si>
  <si>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</si>
  <si>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</si>
  <si>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</si>
  <si>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</si>
  <si>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</si>
  <si>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</si>
  <si>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</si>
  <si>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</si>
  <si>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</si>
  <si>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</si>
  <si>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</si>
  <si>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</si>
  <si>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</si>
  <si>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</si>
  <si>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</si>
  <si>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</si>
  <si>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</si>
  <si>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</si>
  <si>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</si>
  <si>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</si>
  <si>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</si>
  <si>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</si>
  <si>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</si>
  <si>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</si>
  <si>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</si>
  <si>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</si>
  <si>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</si>
  <si>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</si>
  <si>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</si>
  <si>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</si>
  <si>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</si>
  <si>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</si>
  <si>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</si>
  <si>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</si>
  <si>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</si>
  <si>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</si>
  <si>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</si>
  <si>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</si>
  <si>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</si>
  <si>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</si>
  <si>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</si>
  <si>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</si>
  <si>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</si>
  <si>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</si>
  <si>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</si>
  <si>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</si>
  <si>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</si>
  <si>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</si>
  <si>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</si>
  <si>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</si>
  <si>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</si>
  <si>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</si>
  <si>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</si>
  <si>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</si>
  <si>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</si>
  <si>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</si>
  <si>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</si>
  <si>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</si>
  <si>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</si>
  <si>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</si>
  <si>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</si>
  <si>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</si>
  <si>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</si>
  <si>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</si>
  <si>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</si>
  <si>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</si>
  <si>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</si>
  <si>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</si>
  <si>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</si>
  <si>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</si>
  <si>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</si>
  <si>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</si>
  <si>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</si>
  <si>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</si>
  <si>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</si>
  <si>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</si>
  <si>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</si>
  <si>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</si>
  <si>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</si>
  <si>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</si>
  <si>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</si>
  <si>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</si>
  <si>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</si>
  <si>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</si>
  <si>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</si>
  <si>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</si>
  <si>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</si>
  <si>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</si>
  <si>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</si>
  <si>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</si>
  <si>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</si>
  <si>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</si>
  <si>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</si>
  <si>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</si>
  <si>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</si>
  <si>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</si>
  <si>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</si>
  <si>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</si>
  <si>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</si>
  <si>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</si>
  <si>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</si>
  <si>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</si>
  <si>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</si>
  <si>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</si>
  <si>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</si>
  <si>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</si>
  <si>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</si>
  <si>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</si>
  <si>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</si>
  <si>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</si>
  <si>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</si>
  <si>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</si>
  <si>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</si>
  <si>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</si>
  <si>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</si>
  <si>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</si>
  <si>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</si>
  <si>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</si>
  <si>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</si>
  <si>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</si>
  <si>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</si>
  <si>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</si>
  <si>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</si>
  <si>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</si>
  <si>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</si>
  <si>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</si>
  <si>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</si>
  <si>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</si>
  <si>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</si>
  <si>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</si>
  <si>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</si>
  <si>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</si>
  <si>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</si>
  <si>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</si>
  <si>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</si>
  <si>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</si>
  <si>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</si>
  <si>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</si>
  <si>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</si>
  <si>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</si>
  <si>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</si>
  <si>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</si>
  <si>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</si>
  <si>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</si>
  <si>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</si>
  <si>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</si>
  <si>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</si>
  <si>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</si>
  <si>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</si>
  <si>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</si>
  <si>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</si>
  <si>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</si>
  <si>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</si>
  <si>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</si>
  <si>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</si>
  <si>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</si>
  <si>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</si>
  <si>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</si>
  <si>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</si>
  <si>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</si>
  <si>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</si>
  <si>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</si>
  <si>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</si>
  <si>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</si>
  <si>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</si>
  <si>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</si>
  <si>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</si>
  <si>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</si>
  <si>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</si>
  <si>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</si>
  <si>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</si>
  <si>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</si>
  <si>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</si>
  <si>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</si>
  <si>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</si>
  <si>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</si>
  <si>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</si>
  <si>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</si>
  <si>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</si>
  <si>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</si>
  <si>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</si>
  <si>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</si>
  <si>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</si>
  <si>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</si>
  <si>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</si>
  <si>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</si>
  <si>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</si>
  <si>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</si>
  <si>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</si>
  <si>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</si>
  <si>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</si>
  <si>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</si>
  <si>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</si>
  <si>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</si>
  <si>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</si>
  <si>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</si>
  <si>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</si>
  <si>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</si>
  <si>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</si>
  <si>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</si>
  <si>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</si>
  <si>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</si>
  <si>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</si>
  <si>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</si>
  <si>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</si>
  <si>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</si>
  <si>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</si>
  <si>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</si>
  <si>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</si>
  <si>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</si>
  <si>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</si>
  <si>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</si>
  <si>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</si>
  <si>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</si>
  <si>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</si>
  <si>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</si>
  <si>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</si>
  <si>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</si>
  <si>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</si>
  <si>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</si>
  <si>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</si>
  <si>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</si>
  <si>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</si>
  <si>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</si>
  <si>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</si>
  <si>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</si>
  <si>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</si>
  <si>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</si>
  <si>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</si>
  <si>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</si>
  <si>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</si>
  <si>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</si>
  <si>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</si>
  <si>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</si>
  <si>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</si>
  <si>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</si>
  <si>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</si>
  <si>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</si>
  <si>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</si>
  <si>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</si>
  <si>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</si>
  <si>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</si>
  <si>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</si>
  <si>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</si>
  <si>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</si>
  <si>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</si>
  <si>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</si>
  <si>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</si>
  <si>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</si>
  <si>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</si>
  <si>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</si>
  <si>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</si>
  <si>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</si>
  <si>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</si>
  <si>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</si>
  <si>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</si>
  <si>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</si>
  <si>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</si>
  <si>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</si>
  <si>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</si>
  <si>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</si>
  <si>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</si>
  <si>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</si>
  <si>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</si>
  <si>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</si>
  <si>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</si>
  <si>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</si>
  <si>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</si>
  <si>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</si>
  <si>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</si>
  <si>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</si>
  <si>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</si>
  <si>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</si>
  <si>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</si>
  <si>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</si>
  <si>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</si>
  <si>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</si>
  <si>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</si>
  <si>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</si>
  <si>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</si>
  <si>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</si>
  <si>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</si>
  <si>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</si>
  <si>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</si>
  <si>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</si>
  <si>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</si>
  <si>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</si>
  <si>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</si>
  <si>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</si>
  <si>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</si>
  <si>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</si>
  <si>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</si>
  <si>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</si>
  <si>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</si>
  <si>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</si>
  <si>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</si>
  <si>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</si>
  <si>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</si>
  <si>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</si>
  <si>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</si>
  <si>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</si>
  <si>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</si>
  <si>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</si>
  <si>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</si>
  <si>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</si>
  <si>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</si>
  <si>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</si>
  <si>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</si>
  <si>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</si>
  <si>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</si>
  <si>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</si>
  <si>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</si>
  <si>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</si>
  <si>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</si>
  <si>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</si>
  <si>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</si>
  <si>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</si>
  <si>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</si>
  <si>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</si>
  <si>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</si>
  <si>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</si>
  <si>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</si>
  <si>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</si>
  <si>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</si>
  <si>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</si>
  <si>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</si>
  <si>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</si>
  <si>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</si>
  <si>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</si>
  <si>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</si>
  <si>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</si>
  <si>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</si>
  <si>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</si>
  <si>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</si>
  <si>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</si>
  <si>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</si>
  <si>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</si>
  <si>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</si>
  <si>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</si>
  <si>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</si>
  <si>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</si>
  <si>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</si>
  <si>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</si>
  <si>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</si>
  <si>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</si>
  <si>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</si>
  <si>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</si>
  <si>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</si>
  <si>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</si>
  <si>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</si>
  <si>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</si>
  <si>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</si>
  <si>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</si>
  <si>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</si>
  <si>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</si>
  <si>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</si>
  <si>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</si>
  <si>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</si>
  <si>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</si>
  <si>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</si>
  <si>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</si>
  <si>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</si>
  <si>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</si>
  <si>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</si>
  <si>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</si>
  <si>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</si>
  <si>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</si>
  <si>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</si>
  <si>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</si>
  <si>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</si>
  <si>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</si>
  <si>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</si>
  <si>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</si>
  <si>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</si>
  <si>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</si>
  <si>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</si>
  <si>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</si>
  <si>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</si>
  <si>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</si>
  <si>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</si>
  <si>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</si>
  <si>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</si>
  <si>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</si>
  <si>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</si>
  <si>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</si>
  <si>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</si>
  <si>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</si>
  <si>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</si>
  <si>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</si>
  <si>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</si>
  <si>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</si>
  <si>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</si>
  <si>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</si>
  <si>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</si>
  <si>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</si>
  <si>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</si>
  <si>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</si>
  <si>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</si>
  <si>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</si>
  <si>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</si>
  <si>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</si>
  <si>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</si>
  <si>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</si>
  <si>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</si>
  <si>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</si>
  <si>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</si>
  <si>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</si>
  <si>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X</t>
  </si>
  <si>
    <t>LAKE</t>
  </si>
  <si>
    <t>24226 W. BEACH GROVE RD.</t>
  </si>
  <si>
    <t>ANTIOCH</t>
  </si>
  <si>
    <t>LLAWLER@EMMONS33.ORG</t>
  </si>
  <si>
    <t>EVANS, MARSHALL &amp; PEASE, P.C.</t>
  </si>
  <si>
    <t>1875 HICKS ROAD</t>
  </si>
  <si>
    <t>ROLLING MEADOWS</t>
  </si>
  <si>
    <t>IL</t>
  </si>
  <si>
    <t>847-221-5700</t>
  </si>
  <si>
    <t>847-221-5701</t>
  </si>
  <si>
    <t>THE DISTRICT PREPARES ITS FINANCIAL STATEMENTS TO COMPLY WITH REGULATORY PROVISIONS PRESCRIBED BY THE ILLINOIS STAE BOARD OF EDUCATION (ISBE), WHICH IS A COMPREHENSIVE BASIS OF ACCOUNTING OTHER THAN GENERALLY AACCEPTED ACCOUNTING PRINCIPLES (GAAP).</t>
  </si>
  <si>
    <t>Evans, Marshall &amp; Pease, P.C.</t>
  </si>
  <si>
    <t xml:space="preserve">SERIES 2004B BONDS </t>
  </si>
  <si>
    <t>SERIES 2015 BOND</t>
  </si>
  <si>
    <t>HEALTH INS -LAKE REGION SCHOOLS BENEFIT CORP</t>
  </si>
  <si>
    <t>MEMBER OF IUPC COOP</t>
  </si>
  <si>
    <t>SELF WORKER COMPENSATION INSURANCE</t>
  </si>
  <si>
    <t>OTHER FEEDER SCHOOL TO ANITOCH AND LAKE HS.S</t>
  </si>
  <si>
    <t xml:space="preserve">SEDOL - SPECIAL EDUCATION DISTRICT OF LAKE COUNTY </t>
  </si>
  <si>
    <t>STUDENT PROGRAM SERVICES WITH HS DISTRICT</t>
  </si>
  <si>
    <t>DURHAM SCHOOL SERVICES</t>
  </si>
  <si>
    <t>066-005340</t>
  </si>
  <si>
    <t>HOME DEPOT PRO</t>
  </si>
  <si>
    <t>ACCURATE BIOMETRICS</t>
  </si>
  <si>
    <t>ED-SUPPORT-PURCHASED SERVICES</t>
  </si>
  <si>
    <t>ED-SUPPORT-SUPPLIES &amp; MATERIALS</t>
  </si>
  <si>
    <t>ED-INSTRUCTION-SUPPLIES &amp; MATERIALS</t>
  </si>
  <si>
    <t>10-1000-400</t>
  </si>
  <si>
    <t>20-2540-300</t>
  </si>
  <si>
    <t>20-2540-400</t>
  </si>
  <si>
    <t xml:space="preserve">OM-SUPPORT-PURCHASED SREVICES </t>
  </si>
  <si>
    <t>TORT-SUPPORT-PURCHASED SERVICES</t>
  </si>
  <si>
    <t>OM-SUPPORT-SUPPLIES &amp; MATERIALS</t>
  </si>
  <si>
    <t>COMPANION CORPORATION</t>
  </si>
  <si>
    <t>COMMUNITY HIGH SCHOOL DIST 117</t>
  </si>
  <si>
    <t xml:space="preserve">FASTBRIDGE LEARNING </t>
  </si>
  <si>
    <t>INTEGRATED SYSTEMS CORPORATION</t>
  </si>
  <si>
    <t>SASC DBA ACTIVE</t>
  </si>
  <si>
    <t>SANDER GROUP, ALT RISK SOLUTIONS</t>
  </si>
  <si>
    <t>AT&amp;T</t>
  </si>
  <si>
    <t>C.C. SERVICES</t>
  </si>
  <si>
    <t>COMCAST</t>
  </si>
  <si>
    <t>CONSTELLATION ENERGY</t>
  </si>
  <si>
    <t>COSTELLATION NEW ENERGY, INC.</t>
  </si>
  <si>
    <t>COUNTRY MUTUAL INSURANCE CO.</t>
  </si>
  <si>
    <t>CURRICULUM ASSOCIATES</t>
  </si>
  <si>
    <t>DECISION SYSTEMS, CO</t>
  </si>
  <si>
    <t>40-2550-300</t>
  </si>
  <si>
    <t>10-2140-300</t>
  </si>
  <si>
    <t>TR-SUPPORT-PURCHASED SERVICES</t>
  </si>
  <si>
    <t xml:space="preserve">DURHAM SCHOOL SERVICES </t>
  </si>
  <si>
    <t>E.D. CLARK PHOTOGRAPHY</t>
  </si>
  <si>
    <t>EVANS,MARSHALL AND PEASE, PC</t>
  </si>
  <si>
    <t>FERNANDO JUAREZ</t>
  </si>
  <si>
    <t>GARAVENTA USA INC - ANTIOCH</t>
  </si>
  <si>
    <t>REESA GORENSTEIN</t>
  </si>
  <si>
    <t>GREAT LAKES PROPERTY LOGISTICS</t>
  </si>
  <si>
    <t>HODGES. LOIZZI EISENHAMMER, RODICK</t>
  </si>
  <si>
    <t>ISDLAF - SELF</t>
  </si>
  <si>
    <t>LAKE REGION COOPERATIVE</t>
  </si>
  <si>
    <t xml:space="preserve">ALLISON MURRAY </t>
  </si>
  <si>
    <t>NORTHWEST EVALUATION ASSOCIATION</t>
  </si>
  <si>
    <t>PATRIOT DESIGN</t>
  </si>
  <si>
    <t>PREFERRED MEAL SYSTEMS, INC</t>
  </si>
  <si>
    <t>SCHOOL EXEC CONNECT, INC</t>
  </si>
  <si>
    <t>SINGLE PATH LLC</t>
  </si>
  <si>
    <t>SKYWARD</t>
  </si>
  <si>
    <t>TOP LINE TRANSPORTATION CO.</t>
  </si>
  <si>
    <t>TRANE US INC.</t>
  </si>
  <si>
    <t xml:space="preserve">WASTE MANAGEMENT </t>
  </si>
  <si>
    <t>10-2560-400</t>
  </si>
  <si>
    <t>ED-INSTRUCTION-EMPLOYEE BENEFITS</t>
  </si>
  <si>
    <t>ED-INSTRUCTION-PURCHASED SERVICES</t>
  </si>
  <si>
    <t>CHRISTOPHER M. SCALET, CPA</t>
  </si>
  <si>
    <t>CHRIS@EMPCPA.COM</t>
  </si>
  <si>
    <t xml:space="preserve">THYSSENKRUPP ELEVATOR </t>
  </si>
  <si>
    <t>10-2300-300</t>
  </si>
  <si>
    <t>10-2200-400</t>
  </si>
  <si>
    <t>10-2400-300</t>
  </si>
  <si>
    <t>80-2300-300</t>
  </si>
  <si>
    <t>10-1000-200</t>
  </si>
  <si>
    <t>10-2100-300</t>
  </si>
  <si>
    <t>10-1000-300</t>
  </si>
  <si>
    <t>Emmons SD 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</si>
</sst>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48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0" fontId="58" fillId="0" borderId="77" xfId="3" applyNumberFormat="1" applyFont="1" applyBorder="1" applyAlignment="1" applyProtection="1">
      <alignment horizontal="center"/>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49" fontId="3" fillId="0" borderId="157" xfId="17" applyNumberFormat="1" applyFont="1" applyBorder="1" applyAlignment="1" applyProtection="1">
      <alignment horizontal="center" vertical="center"/>
      <protection locked="0"/>
    </xf>
    <xf numFmtId="0" fontId="2" fillId="0" borderId="157" xfId="17"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147204</xdr:colOff>
          <xdr:row>1</xdr:row>
          <xdr:rowOff>17317</xdr:rowOff>
        </xdr:from>
        <xdr:to>
          <xdr:col>1</xdr:col>
          <xdr:colOff>1058141</xdr:colOff>
          <xdr:row>5</xdr:row>
          <xdr:rowOff>55417</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1156855</xdr:colOff>
          <xdr:row>1</xdr:row>
          <xdr:rowOff>21648</xdr:rowOff>
        </xdr:from>
        <xdr:to>
          <xdr:col>1</xdr:col>
          <xdr:colOff>2067791</xdr:colOff>
          <xdr:row>5</xdr:row>
          <xdr:rowOff>62345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3" sqref="A13:H13"/>
    </sheetView>
  </sheetViews>
  <sheetFormatPr defaultColWidth="8.5703125" defaultRowHeight="12.75" x14ac:dyDescent="0.2"/>
  <cols>
    <col min="1" max="1" width="13.5703125" style="26" customWidth="1"/>
    <col min="2" max="2" width="3" style="26" customWidth="1"/>
    <col min="3" max="3" width="7.85546875" style="26" customWidth="1"/>
    <col min="4" max="4" width="7.5703125" style="26" customWidth="1"/>
    <col min="5" max="5" width="3" style="26" customWidth="1"/>
    <col min="6" max="6" width="7.5703125" style="26" customWidth="1"/>
    <col min="7" max="7" width="8.42578125" style="26" customWidth="1"/>
    <col min="8" max="8" width="8.85546875" style="26" customWidth="1"/>
    <col min="9" max="9" width="1.5703125" style="26" customWidth="1"/>
    <col min="10" max="10" width="3.42578125" style="26" customWidth="1"/>
    <col min="11" max="11" width="5.85546875" style="26" customWidth="1"/>
    <col min="12" max="13" width="3.42578125" style="26" customWidth="1"/>
    <col min="14" max="14" width="6.42578125" style="26" customWidth="1"/>
    <col min="15" max="15" width="3.42578125" style="26" customWidth="1"/>
    <col min="16" max="16" width="12.5703125" style="26" customWidth="1"/>
    <col min="17" max="18" width="8.5703125" style="26" customWidth="1"/>
    <col min="19" max="19" width="7.42578125" style="26" customWidth="1"/>
    <col min="20" max="20" width="11" style="26" customWidth="1"/>
    <col min="21" max="21" width="3.140625" style="26" customWidth="1"/>
    <col min="22" max="22" width="4.140625" style="26" customWidth="1"/>
    <col min="23" max="23" width="5.85546875" style="26" customWidth="1"/>
    <col min="24" max="24" width="4.42578125" style="26" customWidth="1"/>
    <col min="25" max="25" width="8.85546875" style="26" customWidth="1"/>
    <col min="26" max="26" width="7.42578125" style="26" customWidth="1"/>
    <col min="27" max="27" width="9.5703125" style="26" customWidth="1"/>
    <col min="28" max="28" width="3.85546875" style="26" customWidth="1"/>
    <col min="29" max="16384" width="8.5703125" style="26"/>
  </cols>
  <sheetData>
    <row r="1" spans="1:28" ht="12" customHeight="1" x14ac:dyDescent="0.2">
      <c r="A1" s="44" t="s">
        <v>1991</v>
      </c>
      <c r="B1" s="45"/>
      <c r="C1" s="45"/>
      <c r="D1" s="46"/>
      <c r="I1" s="1982" t="s">
        <v>405</v>
      </c>
      <c r="J1" s="1983"/>
      <c r="K1" s="1983"/>
      <c r="L1" s="1983"/>
      <c r="M1" s="1983"/>
      <c r="N1" s="1983"/>
      <c r="O1" s="1983"/>
      <c r="P1" s="1983"/>
      <c r="Q1" s="1983"/>
      <c r="R1" s="1983"/>
      <c r="S1" s="1983"/>
    </row>
    <row r="2" spans="1:28" ht="12" customHeight="1" x14ac:dyDescent="0.2">
      <c r="A2" s="47" t="s">
        <v>1992</v>
      </c>
      <c r="D2" s="48"/>
      <c r="I2" s="1984" t="s">
        <v>979</v>
      </c>
      <c r="J2" s="1983"/>
      <c r="K2" s="1983"/>
      <c r="L2" s="1983"/>
      <c r="M2" s="1983"/>
      <c r="N2" s="1983"/>
      <c r="O2" s="1983"/>
      <c r="P2" s="1983"/>
      <c r="Q2" s="1983"/>
      <c r="R2" s="1983"/>
      <c r="S2" s="1983"/>
    </row>
    <row r="3" spans="1:28" ht="12" customHeight="1" x14ac:dyDescent="0.2">
      <c r="A3" s="155" t="s">
        <v>1944</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2064</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2064</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30049033002</v>
      </c>
      <c r="B13" s="2018"/>
      <c r="C13" s="2018"/>
      <c r="D13" s="2018"/>
      <c r="E13" s="2018"/>
      <c r="F13" s="2018"/>
      <c r="G13" s="2018"/>
      <c r="H13" s="2019"/>
      <c r="I13" s="31"/>
      <c r="J13" s="30"/>
      <c r="K13" s="28"/>
      <c r="L13" s="30"/>
      <c r="M13" s="30"/>
      <c r="N13" s="30"/>
      <c r="O13" s="30"/>
      <c r="P13" s="30"/>
      <c r="Q13" s="30"/>
      <c r="R13" s="30"/>
      <c r="S13" s="30"/>
      <c r="T13" s="2022" t="s">
        <v>2069</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2065</v>
      </c>
      <c r="B15" s="2020"/>
      <c r="C15" s="2020"/>
      <c r="D15" s="2020"/>
      <c r="E15" s="2020"/>
      <c r="F15" s="2020"/>
      <c r="G15" s="2020"/>
      <c r="H15" s="2021"/>
      <c r="T15" s="2026" t="s">
        <v>2138</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2148</v>
      </c>
      <c r="B17" s="1977"/>
      <c r="C17" s="1977"/>
      <c r="D17" s="1977"/>
      <c r="E17" s="1977"/>
      <c r="F17" s="1977"/>
      <c r="G17" s="1977"/>
      <c r="H17" s="2002"/>
      <c r="T17" s="2033" t="s">
        <v>2070</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2066</v>
      </c>
      <c r="B19" s="1962"/>
      <c r="C19" s="1962"/>
      <c r="D19" s="1962"/>
      <c r="E19" s="1962"/>
      <c r="F19" s="1962"/>
      <c r="G19" s="1962"/>
      <c r="H19" s="1942"/>
      <c r="I19" s="30"/>
      <c r="J19" s="99"/>
      <c r="K19" s="40"/>
      <c r="L19" s="38"/>
      <c r="M19" s="112" t="s">
        <v>315</v>
      </c>
      <c r="P19" s="27"/>
      <c r="Q19" s="27"/>
      <c r="R19" s="27"/>
      <c r="S19" s="31"/>
      <c r="T19" s="2016" t="s">
        <v>2071</v>
      </c>
      <c r="U19" s="1941"/>
      <c r="V19" s="1941"/>
      <c r="W19" s="1942"/>
      <c r="X19" s="2031" t="s">
        <v>2072</v>
      </c>
      <c r="Y19" s="2032"/>
      <c r="Z19" s="2029">
        <v>60008</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2067</v>
      </c>
      <c r="B21" s="1941"/>
      <c r="C21" s="1941"/>
      <c r="D21" s="1941"/>
      <c r="E21" s="1941"/>
      <c r="F21" s="1941"/>
      <c r="G21" s="1941"/>
      <c r="H21" s="1942"/>
      <c r="I21" s="1996" t="s">
        <v>678</v>
      </c>
      <c r="J21" s="1991"/>
      <c r="K21" s="1991"/>
      <c r="L21" s="1991"/>
      <c r="M21" s="1991"/>
      <c r="N21" s="1991"/>
      <c r="O21" s="1991"/>
      <c r="P21" s="1991"/>
      <c r="Q21" s="1991"/>
      <c r="R21" s="1991"/>
      <c r="S21" s="1997"/>
      <c r="T21" s="2040" t="s">
        <v>2073</v>
      </c>
      <c r="U21" s="2041"/>
      <c r="V21" s="2041"/>
      <c r="W21" s="2041"/>
      <c r="X21" s="2046" t="s">
        <v>2074</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t="s">
        <v>2068</v>
      </c>
      <c r="B23" s="1994"/>
      <c r="C23" s="1994"/>
      <c r="D23" s="1994"/>
      <c r="E23" s="1994"/>
      <c r="F23" s="1994"/>
      <c r="G23" s="1994"/>
      <c r="H23" s="1995"/>
      <c r="T23" s="1976" t="s">
        <v>2086</v>
      </c>
      <c r="U23" s="2039"/>
      <c r="V23" s="2039"/>
      <c r="W23" s="2039"/>
      <c r="X23" s="2043">
        <v>44530</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60002</v>
      </c>
      <c r="B25" s="1941"/>
      <c r="C25" s="1941"/>
      <c r="D25" s="1941"/>
      <c r="E25" s="1941"/>
      <c r="F25" s="1941"/>
      <c r="G25" s="1941"/>
      <c r="H25" s="1942"/>
      <c r="I25" s="113"/>
      <c r="J25" s="1965"/>
      <c r="K25" s="1965"/>
      <c r="L25" s="1965"/>
      <c r="M25" s="1965"/>
      <c r="N25" s="1965"/>
      <c r="O25" s="1965"/>
      <c r="P25" s="1965"/>
      <c r="Q25" s="1965"/>
      <c r="R25" s="1965"/>
      <c r="S25" s="1966"/>
      <c r="T25" s="2036" t="s">
        <v>2139</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c r="B42" s="1960"/>
      <c r="C42" s="1961"/>
      <c r="D42" s="1959"/>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10" colorId="8" zoomScale="110" zoomScaleNormal="110" workbookViewId="0">
      <selection activeCell="H16" sqref="H16"/>
    </sheetView>
  </sheetViews>
  <sheetFormatPr defaultColWidth="9.140625" defaultRowHeight="12.75" x14ac:dyDescent="0.2"/>
  <cols>
    <col min="1" max="1" width="41.42578125" style="252" customWidth="1"/>
    <col min="2" max="3" width="17.5703125" style="712" customWidth="1"/>
    <col min="4" max="5" width="17.5703125" style="713" customWidth="1"/>
    <col min="6" max="6" width="17.5703125" style="329" customWidth="1"/>
    <col min="7" max="7" width="4.42578125" style="329" customWidth="1"/>
    <col min="8" max="8" width="33.42578125" style="329" customWidth="1"/>
    <col min="9" max="16384" width="9.140625" style="329"/>
  </cols>
  <sheetData>
    <row r="1" spans="1:6" ht="33.75" customHeight="1" x14ac:dyDescent="0.2">
      <c r="A1" s="1883" t="s">
        <v>104</v>
      </c>
    </row>
    <row r="2" spans="1:6" ht="39.75" customHeight="1" x14ac:dyDescent="0.2">
      <c r="A2" s="2182" t="s">
        <v>1802</v>
      </c>
      <c r="B2" s="1528" t="s">
        <v>1950</v>
      </c>
      <c r="C2" s="714" t="s">
        <v>1951</v>
      </c>
      <c r="D2" s="714" t="s">
        <v>1952</v>
      </c>
      <c r="E2" s="714" t="s">
        <v>1953</v>
      </c>
      <c r="F2" s="714" t="s">
        <v>1954</v>
      </c>
    </row>
    <row r="3" spans="1:6" ht="12" customHeight="1" x14ac:dyDescent="0.2">
      <c r="A3" s="2183"/>
      <c r="B3" s="1525"/>
      <c r="C3" s="1526"/>
      <c r="D3" s="1527" t="s">
        <v>256</v>
      </c>
      <c r="E3" s="1526"/>
      <c r="F3" s="1527" t="s">
        <v>257</v>
      </c>
    </row>
    <row r="4" spans="1:6" ht="13.7" customHeight="1" x14ac:dyDescent="0.2">
      <c r="A4" s="715" t="s">
        <v>1155</v>
      </c>
      <c r="B4" s="1749">
        <f>'Revenues 9-14'!C5</f>
        <v>2990444</v>
      </c>
      <c r="C4" s="1524">
        <v>1595084</v>
      </c>
      <c r="D4" s="1752">
        <f>B4-C4</f>
        <v>1395360</v>
      </c>
      <c r="E4" s="1524">
        <v>3197406</v>
      </c>
      <c r="F4" s="1752">
        <f>E4-C4</f>
        <v>1602322</v>
      </c>
    </row>
    <row r="5" spans="1:6" ht="13.7" customHeight="1" x14ac:dyDescent="0.2">
      <c r="A5" s="715" t="s">
        <v>870</v>
      </c>
      <c r="B5" s="1750">
        <f>'Revenues 9-14'!D5</f>
        <v>537478</v>
      </c>
      <c r="C5" s="585">
        <v>285658</v>
      </c>
      <c r="D5" s="1753">
        <f t="shared" ref="D5:D18" si="0">B5-C5</f>
        <v>251820</v>
      </c>
      <c r="E5" s="585">
        <v>572611</v>
      </c>
      <c r="F5" s="1753">
        <f>E5-C5</f>
        <v>286953</v>
      </c>
    </row>
    <row r="6" spans="1:6" ht="13.7" customHeight="1" x14ac:dyDescent="0.2">
      <c r="A6" s="715" t="s">
        <v>411</v>
      </c>
      <c r="B6" s="1750">
        <f>'Revenues 9-14'!E5</f>
        <v>468145</v>
      </c>
      <c r="C6" s="585">
        <v>249949</v>
      </c>
      <c r="D6" s="1753">
        <f t="shared" si="0"/>
        <v>218196</v>
      </c>
      <c r="E6" s="585">
        <v>501032</v>
      </c>
      <c r="F6" s="1753">
        <f t="shared" ref="F6:F18" si="1">E6-C6</f>
        <v>251083</v>
      </c>
    </row>
    <row r="7" spans="1:6" ht="13.7" customHeight="1" x14ac:dyDescent="0.2">
      <c r="A7" s="715" t="s">
        <v>155</v>
      </c>
      <c r="B7" s="1750">
        <f>'Revenues 9-14'!F5</f>
        <v>133628</v>
      </c>
      <c r="C7" s="585">
        <v>68558</v>
      </c>
      <c r="D7" s="1753">
        <f t="shared" si="0"/>
        <v>65070</v>
      </c>
      <c r="E7" s="585">
        <v>137427</v>
      </c>
      <c r="F7" s="1753">
        <f t="shared" si="1"/>
        <v>68869</v>
      </c>
    </row>
    <row r="8" spans="1:6" ht="13.7" customHeight="1" x14ac:dyDescent="0.2">
      <c r="A8" s="715" t="s">
        <v>1179</v>
      </c>
      <c r="B8" s="1750">
        <f>'Revenues 9-14'!G5</f>
        <v>41677</v>
      </c>
      <c r="C8" s="585">
        <v>23846</v>
      </c>
      <c r="D8" s="1753">
        <f t="shared" si="0"/>
        <v>17831</v>
      </c>
      <c r="E8" s="585">
        <v>47801</v>
      </c>
      <c r="F8" s="1753">
        <f t="shared" si="1"/>
        <v>23955</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44418</v>
      </c>
      <c r="C11" s="585">
        <v>22356</v>
      </c>
      <c r="D11" s="1753">
        <f t="shared" si="0"/>
        <v>22062</v>
      </c>
      <c r="E11" s="585">
        <v>44814</v>
      </c>
      <c r="F11" s="1753">
        <f t="shared" si="1"/>
        <v>22458</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19544</v>
      </c>
      <c r="C14" s="585">
        <v>10184</v>
      </c>
      <c r="D14" s="1753">
        <f t="shared" si="0"/>
        <v>9360</v>
      </c>
      <c r="E14" s="585">
        <v>20415</v>
      </c>
      <c r="F14" s="1753">
        <f t="shared" si="1"/>
        <v>10231</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51545</v>
      </c>
      <c r="C16" s="585">
        <v>28815</v>
      </c>
      <c r="D16" s="1753">
        <f t="shared" si="0"/>
        <v>22730</v>
      </c>
      <c r="E16" s="585">
        <v>57759</v>
      </c>
      <c r="F16" s="1753">
        <f t="shared" si="1"/>
        <v>28944</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6779</v>
      </c>
      <c r="C18" s="585">
        <v>3325</v>
      </c>
      <c r="D18" s="1753">
        <f t="shared" si="0"/>
        <v>3454</v>
      </c>
      <c r="E18" s="585">
        <v>6665</v>
      </c>
      <c r="F18" s="1753">
        <f t="shared" si="1"/>
        <v>3340</v>
      </c>
    </row>
    <row r="19" spans="1:6" ht="13.7" customHeight="1" thickBot="1" x14ac:dyDescent="0.25">
      <c r="A19" s="1754" t="s">
        <v>1161</v>
      </c>
      <c r="B19" s="1751">
        <f>SUM(B4:B18)</f>
        <v>4293658</v>
      </c>
      <c r="C19" s="1751">
        <f>SUM(C4:C18)</f>
        <v>2287775</v>
      </c>
      <c r="D19" s="1751">
        <f>SUM(D4:D18)</f>
        <v>2005883</v>
      </c>
      <c r="E19" s="1751">
        <f>SUM(E4:E18)</f>
        <v>4585930</v>
      </c>
      <c r="F19" s="1751">
        <f>SUM(F4:F18)</f>
        <v>2298155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H16" sqref="H16"/>
    </sheetView>
  </sheetViews>
  <sheetFormatPr defaultColWidth="9.140625" defaultRowHeight="12.75" x14ac:dyDescent="0.2"/>
  <cols>
    <col min="1" max="1" width="44" style="401" customWidth="1"/>
    <col min="2" max="2" width="12.140625" style="722" customWidth="1"/>
    <col min="3" max="5" width="16.5703125" style="722" customWidth="1"/>
    <col min="6" max="6" width="13.42578125" style="384" customWidth="1"/>
    <col min="7" max="7" width="14.5703125" style="384" customWidth="1"/>
    <col min="8" max="10" width="16.5703125" style="384" customWidth="1"/>
    <col min="11" max="16384" width="9.140625" style="384"/>
  </cols>
  <sheetData>
    <row r="1" spans="1:7" ht="27" customHeight="1" x14ac:dyDescent="0.2">
      <c r="A1" s="2204" t="s">
        <v>629</v>
      </c>
      <c r="B1" s="2202"/>
      <c r="C1" s="721"/>
    </row>
    <row r="2" spans="1:7" ht="33.75" x14ac:dyDescent="0.2">
      <c r="A2" s="2209" t="s">
        <v>1802</v>
      </c>
      <c r="B2" s="2210"/>
      <c r="C2" s="1884" t="s">
        <v>1955</v>
      </c>
      <c r="D2" s="723" t="s">
        <v>1956</v>
      </c>
      <c r="E2" s="723" t="s">
        <v>1957</v>
      </c>
      <c r="F2" s="1884" t="s">
        <v>1958</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t="s">
        <v>2077</v>
      </c>
      <c r="B31" s="733">
        <v>38216</v>
      </c>
      <c r="C31" s="734">
        <v>6999935</v>
      </c>
      <c r="D31" s="735">
        <v>6</v>
      </c>
      <c r="E31" s="734">
        <v>2269310</v>
      </c>
      <c r="F31" s="734"/>
      <c r="G31" s="734"/>
      <c r="H31" s="734">
        <v>110167</v>
      </c>
      <c r="I31" s="1756">
        <f>((E31+F31)-H31)+G31</f>
        <v>2159143</v>
      </c>
      <c r="J31" s="734">
        <v>2108468</v>
      </c>
      <c r="K31" s="736"/>
    </row>
    <row r="32" spans="1:11" ht="12" customHeight="1" x14ac:dyDescent="0.2">
      <c r="A32" s="732" t="s">
        <v>2078</v>
      </c>
      <c r="B32" s="733">
        <v>42292</v>
      </c>
      <c r="C32" s="734">
        <v>4200000</v>
      </c>
      <c r="D32" s="735">
        <v>3</v>
      </c>
      <c r="E32" s="734">
        <v>4200000</v>
      </c>
      <c r="F32" s="734"/>
      <c r="G32" s="734"/>
      <c r="H32" s="734"/>
      <c r="I32" s="1756">
        <f>((E32+F32)-H32)+G32</f>
        <v>4200000</v>
      </c>
      <c r="J32" s="734">
        <v>4101425</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11199935</v>
      </c>
      <c r="D49" s="745"/>
      <c r="E49" s="1756">
        <f t="shared" ref="E49:J49" si="2">SUM(E31:E48)</f>
        <v>6469310</v>
      </c>
      <c r="F49" s="1756">
        <f t="shared" si="2"/>
        <v>0</v>
      </c>
      <c r="G49" s="1756">
        <f t="shared" si="2"/>
        <v>0</v>
      </c>
      <c r="H49" s="1756">
        <f t="shared" si="2"/>
        <v>110167</v>
      </c>
      <c r="I49" s="1756">
        <f t="shared" si="2"/>
        <v>6359143</v>
      </c>
      <c r="J49" s="1756">
        <f t="shared" si="2"/>
        <v>6209893</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6" colorId="8" zoomScale="110" zoomScaleNormal="110" workbookViewId="0">
      <selection activeCell="H16" sqref="H16"/>
    </sheetView>
  </sheetViews>
  <sheetFormatPr defaultColWidth="9.140625" defaultRowHeight="12.75" x14ac:dyDescent="0.2"/>
  <cols>
    <col min="1" max="1" width="4.5703125" style="384" customWidth="1"/>
    <col min="2" max="2" width="3.42578125" style="384" customWidth="1"/>
    <col min="3" max="3" width="4.5703125" style="384" customWidth="1"/>
    <col min="4" max="4" width="3.42578125" style="384" customWidth="1"/>
    <col min="5" max="5" width="44.5703125" style="408" customWidth="1"/>
    <col min="6" max="6" width="18.140625" style="384" customWidth="1"/>
    <col min="7" max="9" width="15.5703125" style="384" customWidth="1"/>
    <col min="10" max="10" width="16.5703125" style="384" customWidth="1"/>
    <col min="11" max="11" width="15.5703125" style="202" customWidth="1"/>
    <col min="12" max="12" width="4.5703125" style="384" customWidth="1"/>
    <col min="13" max="13" width="7.570312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1812</v>
      </c>
      <c r="K2" s="762" t="s">
        <v>138</v>
      </c>
    </row>
    <row r="3" spans="1:11" x14ac:dyDescent="0.2">
      <c r="A3" s="2235" t="s">
        <v>1963</v>
      </c>
      <c r="B3" s="2236"/>
      <c r="C3" s="2236"/>
      <c r="D3" s="2236"/>
      <c r="E3" s="2237"/>
      <c r="F3" s="763"/>
      <c r="G3" s="764"/>
      <c r="H3" s="764"/>
      <c r="I3" s="764"/>
      <c r="J3" s="765"/>
      <c r="K3" s="765"/>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v>19544</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6" t="s">
        <v>1813</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19544</v>
      </c>
      <c r="I12" s="1758">
        <f>SUM(I5:I11)</f>
        <v>0</v>
      </c>
      <c r="J12" s="1758">
        <f>SUM(J5:J11)</f>
        <v>0</v>
      </c>
      <c r="K12" s="1758">
        <f>SUM(K5:K11)</f>
        <v>0</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c r="I14" s="771"/>
      <c r="J14" s="773"/>
      <c r="K14" s="765"/>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1809</v>
      </c>
      <c r="B19" s="2225"/>
      <c r="C19" s="2225"/>
      <c r="D19" s="2225"/>
      <c r="E19" s="2226"/>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0</v>
      </c>
      <c r="K21" s="793"/>
    </row>
    <row r="22" spans="1:11" ht="13.5" thickTop="1" x14ac:dyDescent="0.2">
      <c r="A22" s="2217" t="s">
        <v>1815</v>
      </c>
      <c r="B22" s="2217"/>
      <c r="C22" s="2217"/>
      <c r="D22" s="2217"/>
      <c r="E22" s="2218"/>
      <c r="F22" s="789" t="s">
        <v>862</v>
      </c>
      <c r="G22" s="782"/>
      <c r="H22" s="764">
        <v>19544</v>
      </c>
      <c r="I22" s="764"/>
      <c r="J22" s="797"/>
      <c r="K22" s="765"/>
    </row>
    <row r="23" spans="1:11" ht="13.5" thickBot="1" x14ac:dyDescent="0.25">
      <c r="A23" s="2247" t="s">
        <v>906</v>
      </c>
      <c r="B23" s="2246"/>
      <c r="C23" s="2246"/>
      <c r="D23" s="2246"/>
      <c r="E23" s="2246"/>
      <c r="F23" s="1761"/>
      <c r="G23" s="1758">
        <f>SUM(G14:G16,G21,G22)</f>
        <v>0</v>
      </c>
      <c r="H23" s="1758">
        <f>SUM(H14:H16,H21,H22)</f>
        <v>19544</v>
      </c>
      <c r="I23" s="1758">
        <f>SUM(I14:I16,I21,I22)</f>
        <v>0</v>
      </c>
      <c r="J23" s="1758">
        <f>SUM(J14:J16,J21,J22)</f>
        <v>0</v>
      </c>
      <c r="K23" s="1758">
        <f>SUM(K14:K16,K21,K22)</f>
        <v>0</v>
      </c>
    </row>
    <row r="24" spans="1:11" ht="14.25" thickTop="1" thickBot="1" x14ac:dyDescent="0.25">
      <c r="A24" s="2247" t="s">
        <v>1964</v>
      </c>
      <c r="B24" s="2246"/>
      <c r="C24" s="2246"/>
      <c r="D24" s="2246"/>
      <c r="E24" s="224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16" sqref="H16"/>
    </sheetView>
  </sheetViews>
  <sheetFormatPr defaultColWidth="9.140625" defaultRowHeight="12.75" x14ac:dyDescent="0.2"/>
  <cols>
    <col min="1" max="1" width="28.85546875" style="808" customWidth="1"/>
    <col min="2" max="2" width="5.570312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20000</v>
      </c>
      <c r="D5" s="841"/>
      <c r="E5" s="841"/>
      <c r="F5" s="1760">
        <f>(C5+D5)-E5</f>
        <v>20000</v>
      </c>
      <c r="G5" s="837"/>
      <c r="H5" s="842"/>
      <c r="I5" s="842"/>
      <c r="J5" s="842"/>
      <c r="K5" s="793"/>
      <c r="L5" s="1769">
        <f>F5-K5</f>
        <v>20000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11067553</v>
      </c>
      <c r="D8" s="844"/>
      <c r="E8" s="844"/>
      <c r="F8" s="1760">
        <f>(C8+D8)-E8</f>
        <v>11067553</v>
      </c>
      <c r="G8" s="843">
        <v>50</v>
      </c>
      <c r="H8" s="765">
        <v>3332746</v>
      </c>
      <c r="I8" s="765">
        <v>221351</v>
      </c>
      <c r="J8" s="765"/>
      <c r="K8" s="1769">
        <f>(H8+I8)-J8</f>
        <v>3554097</v>
      </c>
      <c r="L8" s="1769">
        <f>F8-K8</f>
        <v>7513456</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278576</v>
      </c>
      <c r="D10" s="846"/>
      <c r="E10" s="846"/>
      <c r="F10" s="1764">
        <f>(C10+D10)-E10</f>
        <v>278576</v>
      </c>
      <c r="G10" s="843">
        <v>20</v>
      </c>
      <c r="H10" s="847">
        <v>128804</v>
      </c>
      <c r="I10" s="847">
        <v>13929</v>
      </c>
      <c r="J10" s="847"/>
      <c r="K10" s="1769">
        <f>(H10+I10)-J10</f>
        <v>142733</v>
      </c>
      <c r="L10" s="1769">
        <f>F10-K10</f>
        <v>135843</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1112358</v>
      </c>
      <c r="D12" s="844">
        <v>47129</v>
      </c>
      <c r="E12" s="844"/>
      <c r="F12" s="1760">
        <f>(C12+D12)-E12</f>
        <v>1159487</v>
      </c>
      <c r="G12" s="843">
        <v>10</v>
      </c>
      <c r="H12" s="765">
        <v>1297875</v>
      </c>
      <c r="I12" s="765">
        <v>113592</v>
      </c>
      <c r="J12" s="765"/>
      <c r="K12" s="1769">
        <f>(H12+I12)-J12</f>
        <v>1411467</v>
      </c>
      <c r="L12" s="1769">
        <f>F12-K12</f>
        <v>-251980</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12478487</v>
      </c>
      <c r="D16" s="1760">
        <f>SUM(D3,D5:D6,D8:D10,D12:D15)</f>
        <v>47129</v>
      </c>
      <c r="E16" s="1760">
        <f>SUM(E3,E5:E6,E8:E10,E12:E15)</f>
        <v>0</v>
      </c>
      <c r="F16" s="1760">
        <f>SUM(F3,F5:F6,F8:F10,F12:F15)</f>
        <v>12525616</v>
      </c>
      <c r="G16" s="843"/>
      <c r="H16" s="1760">
        <f>SUM(H3,H6,H8:H10,H12:H14,)</f>
        <v>4759425</v>
      </c>
      <c r="I16" s="1760">
        <f>SUM(I3,I6,I8:I10,I12:I14,)</f>
        <v>348872</v>
      </c>
      <c r="J16" s="1760">
        <f>SUM(J3,J6,J8:J10,J12:J14,)</f>
        <v>0</v>
      </c>
      <c r="K16" s="1760">
        <f>(H16+I16)-J16</f>
        <v>5108297</v>
      </c>
      <c r="L16" s="1760">
        <f>F16-K16</f>
        <v>7417319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17539</v>
      </c>
      <c r="G17" s="837">
        <v>10</v>
      </c>
      <c r="H17" s="769"/>
      <c r="I17" s="1769">
        <f>F17/G17</f>
        <v>1753.9</v>
      </c>
      <c r="J17" s="769"/>
      <c r="K17" s="795"/>
      <c r="L17" s="795"/>
    </row>
    <row r="18" spans="1:12" ht="14.25" thickTop="1" thickBot="1" x14ac:dyDescent="0.25">
      <c r="A18" s="1767" t="s">
        <v>685</v>
      </c>
      <c r="B18" s="1768"/>
      <c r="C18" s="771"/>
      <c r="D18" s="771"/>
      <c r="E18" s="771"/>
      <c r="F18" s="850"/>
      <c r="G18" s="851"/>
      <c r="H18" s="773"/>
      <c r="I18" s="1760">
        <f>SUM(I16,I17)</f>
        <v>350625.9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1.1"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6" activePane="bottomLeft" state="frozen"/>
      <selection activeCell="H16" sqref="H16"/>
      <selection pane="bottomLeft" activeCell="H16" sqref="H16"/>
    </sheetView>
  </sheetViews>
  <sheetFormatPr defaultColWidth="8.5703125" defaultRowHeight="11.25" x14ac:dyDescent="0.2"/>
  <cols>
    <col min="1" max="1" width="22.140625" style="856" customWidth="1"/>
    <col min="2" max="2" width="31.85546875" style="856" customWidth="1"/>
    <col min="3" max="3" width="6.5703125" style="863" customWidth="1"/>
    <col min="4" max="4" width="55.5703125" style="856" customWidth="1"/>
    <col min="5" max="5" width="3.140625" style="863" customWidth="1"/>
    <col min="6" max="6" width="17.42578125" style="856" customWidth="1"/>
    <col min="7" max="7" width="0.85546875" style="856" customWidth="1"/>
    <col min="8" max="8" width="2.42578125" style="856" customWidth="1"/>
    <col min="9" max="16384" width="8.5703125" style="856"/>
  </cols>
  <sheetData>
    <row r="1" spans="1:7" ht="19.5" customHeight="1" thickTop="1" x14ac:dyDescent="0.2">
      <c r="A1" s="2258" t="s">
        <v>1974</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3484650</v>
      </c>
      <c r="G8" s="865"/>
    </row>
    <row r="9" spans="1:7" x14ac:dyDescent="0.2">
      <c r="A9" s="869" t="s">
        <v>460</v>
      </c>
      <c r="B9" s="870" t="s">
        <v>1876</v>
      </c>
      <c r="C9" s="871"/>
      <c r="D9" s="869" t="s">
        <v>501</v>
      </c>
      <c r="E9" s="868"/>
      <c r="F9" s="1909">
        <f>'Expenditures 15-22'!K151</f>
        <v>381702</v>
      </c>
      <c r="G9" s="872"/>
    </row>
    <row r="10" spans="1:7" x14ac:dyDescent="0.2">
      <c r="A10" s="869" t="s">
        <v>499</v>
      </c>
      <c r="B10" s="870" t="s">
        <v>1877</v>
      </c>
      <c r="C10" s="871"/>
      <c r="D10" s="869" t="s">
        <v>501</v>
      </c>
      <c r="E10" s="868"/>
      <c r="F10" s="1909">
        <f>'Expenditures 15-22'!K174</f>
        <v>492945</v>
      </c>
      <c r="G10" s="872"/>
    </row>
    <row r="11" spans="1:7" x14ac:dyDescent="0.2">
      <c r="A11" s="869" t="s">
        <v>461</v>
      </c>
      <c r="B11" s="870" t="s">
        <v>1878</v>
      </c>
      <c r="C11" s="871"/>
      <c r="D11" s="869" t="s">
        <v>501</v>
      </c>
      <c r="E11" s="868"/>
      <c r="F11" s="1909">
        <f>'Expenditures 15-22'!K210</f>
        <v>189531</v>
      </c>
      <c r="G11" s="872"/>
    </row>
    <row r="12" spans="1:7" x14ac:dyDescent="0.2">
      <c r="A12" s="869" t="s">
        <v>462</v>
      </c>
      <c r="B12" s="870" t="s">
        <v>1879</v>
      </c>
      <c r="C12" s="871"/>
      <c r="D12" s="869" t="s">
        <v>501</v>
      </c>
      <c r="E12" s="868"/>
      <c r="F12" s="1909">
        <f>'Expenditures 15-22'!K295</f>
        <v>125877</v>
      </c>
      <c r="G12" s="872"/>
    </row>
    <row r="13" spans="1:7" x14ac:dyDescent="0.2">
      <c r="A13" s="869" t="s">
        <v>106</v>
      </c>
      <c r="B13" s="870" t="s">
        <v>1880</v>
      </c>
      <c r="C13" s="871"/>
      <c r="D13" s="869" t="s">
        <v>501</v>
      </c>
      <c r="E13" s="868"/>
      <c r="F13" s="1909">
        <f>'Expenditures 15-22'!K342</f>
        <v>41429</v>
      </c>
      <c r="G13" s="873"/>
    </row>
    <row r="14" spans="1:7" ht="12" customHeight="1" thickBot="1" x14ac:dyDescent="0.25">
      <c r="A14" s="1770"/>
      <c r="B14" s="1771"/>
      <c r="C14" s="1772"/>
      <c r="D14" s="1773" t="s">
        <v>501</v>
      </c>
      <c r="E14" s="1774" t="s">
        <v>958</v>
      </c>
      <c r="F14" s="1775">
        <f>SUM(F8:F13)</f>
        <v>4716134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2288</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144378</v>
      </c>
      <c r="G53" s="865"/>
    </row>
    <row r="54" spans="1:7" x14ac:dyDescent="0.2">
      <c r="A54" s="869" t="s">
        <v>459</v>
      </c>
      <c r="B54" s="869" t="s">
        <v>1476</v>
      </c>
      <c r="C54" s="889" t="s">
        <v>982</v>
      </c>
      <c r="D54" s="885" t="s">
        <v>1095</v>
      </c>
      <c r="E54" s="868"/>
      <c r="F54" s="1913">
        <f>'Expenditures 15-22'!G114</f>
        <v>42679</v>
      </c>
      <c r="G54" s="865"/>
    </row>
    <row r="55" spans="1:7" x14ac:dyDescent="0.2">
      <c r="A55" s="869" t="s">
        <v>459</v>
      </c>
      <c r="B55" s="869" t="s">
        <v>1477</v>
      </c>
      <c r="C55" s="889" t="s">
        <v>982</v>
      </c>
      <c r="D55" s="885" t="s">
        <v>291</v>
      </c>
      <c r="E55" s="868"/>
      <c r="F55" s="1913">
        <f>'Expenditures 15-22'!I114</f>
        <v>14813</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4450</v>
      </c>
      <c r="G58" s="865"/>
    </row>
    <row r="59" spans="1:7" x14ac:dyDescent="0.2">
      <c r="A59" s="893" t="s">
        <v>460</v>
      </c>
      <c r="B59" s="856" t="s">
        <v>1883</v>
      </c>
      <c r="C59" s="894" t="s">
        <v>982</v>
      </c>
      <c r="D59" s="856" t="s">
        <v>291</v>
      </c>
      <c r="F59" s="1916">
        <f>'Expenditures 15-22'!I151</f>
        <v>2726</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110167</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63</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7691</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329255</v>
      </c>
      <c r="G76" s="865"/>
    </row>
    <row r="77" spans="1:8" s="893" customFormat="1" ht="12" customHeight="1" thickTop="1" thickBot="1" x14ac:dyDescent="0.25">
      <c r="A77" s="1779"/>
      <c r="B77" s="1776"/>
      <c r="C77" s="1772"/>
      <c r="D77" s="1777" t="s">
        <v>1899</v>
      </c>
      <c r="E77" s="1774"/>
      <c r="F77" s="1780">
        <f>(F14-F76)</f>
        <v>4386879</v>
      </c>
      <c r="G77" s="869"/>
    </row>
    <row r="78" spans="1:8" s="893" customFormat="1" ht="12" customHeight="1" thickTop="1" x14ac:dyDescent="0.2">
      <c r="A78" s="1781"/>
      <c r="B78" s="1776"/>
      <c r="C78" s="1772"/>
      <c r="D78" s="1777" t="s">
        <v>2061</v>
      </c>
      <c r="E78" s="1774"/>
      <c r="F78" s="898">
        <v>300.89999999999998</v>
      </c>
      <c r="G78" s="899"/>
      <c r="H78" s="869"/>
    </row>
    <row r="79" spans="1:8" s="893" customFormat="1" ht="12" customHeight="1" thickBot="1" x14ac:dyDescent="0.25">
      <c r="A79" s="1782"/>
      <c r="B79" s="1776"/>
      <c r="C79" s="1772"/>
      <c r="D79" s="1777" t="s">
        <v>1900</v>
      </c>
      <c r="E79" s="1774" t="s">
        <v>958</v>
      </c>
      <c r="F79" s="1783">
        <f>IF(F78&gt;0,F77/F78," Complete Line 78")</f>
        <v>14579.192422731805</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16173</v>
      </c>
      <c r="G94" s="912"/>
    </row>
    <row r="95" spans="1:7" x14ac:dyDescent="0.2">
      <c r="A95" s="908" t="s">
        <v>140</v>
      </c>
      <c r="B95" s="908" t="s">
        <v>175</v>
      </c>
      <c r="C95" s="910">
        <v>1700</v>
      </c>
      <c r="D95" s="918" t="str">
        <f>'Revenues 9-14'!A82</f>
        <v>Total District/School Activity Income</v>
      </c>
      <c r="E95" s="906"/>
      <c r="F95" s="1789">
        <f>SUM('Revenues 9-14'!C82,'Revenues 9-14'!D82)</f>
        <v>30950</v>
      </c>
      <c r="G95" s="912"/>
    </row>
    <row r="96" spans="1:7" x14ac:dyDescent="0.2">
      <c r="A96" s="908" t="s">
        <v>459</v>
      </c>
      <c r="B96" s="908" t="s">
        <v>176</v>
      </c>
      <c r="C96" s="910">
        <f>'Revenues 9-14'!B84</f>
        <v>1811</v>
      </c>
      <c r="D96" s="911" t="str">
        <f>'Revenues 9-14'!A84</f>
        <v>Rentals - Regular Textbooks</v>
      </c>
      <c r="E96" s="906"/>
      <c r="F96" s="1789">
        <f>'Revenues 9-14'!C84</f>
        <v>115212</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2002</v>
      </c>
      <c r="C105" s="913">
        <v>3100</v>
      </c>
      <c r="D105" s="919" t="str">
        <f>'Revenues 9-14'!A132</f>
        <v>Total Special Education</v>
      </c>
      <c r="E105" s="906"/>
      <c r="F105" s="1789">
        <f>SUM('Revenues 9-14'!C132:D132,'Revenues 9-14'!F132)</f>
        <v>7351</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0</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224</v>
      </c>
      <c r="G109" s="912"/>
    </row>
    <row r="110" spans="1:7" x14ac:dyDescent="0.2">
      <c r="A110" s="908" t="s">
        <v>140</v>
      </c>
      <c r="B110" s="908" t="s">
        <v>2007</v>
      </c>
      <c r="C110" s="920">
        <f>'Revenues 9-14'!B148</f>
        <v>3370</v>
      </c>
      <c r="D110" s="911" t="str">
        <f>'Revenues 9-14'!A148</f>
        <v>Driver Education</v>
      </c>
      <c r="E110" s="906"/>
      <c r="F110" s="1789">
        <f>SUM('Revenues 9-14'!C148,'Revenues 9-14'!D148)</f>
        <v>0</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98807</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0</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89">
        <f>SUM('Revenues 9-14'!C198,'Revenues 9-14'!G198)</f>
        <v>13976</v>
      </c>
      <c r="G125" s="930"/>
    </row>
    <row r="126" spans="1:7" x14ac:dyDescent="0.2">
      <c r="A126" s="927" t="s">
        <v>668</v>
      </c>
      <c r="B126" s="927" t="s">
        <v>2023</v>
      </c>
      <c r="C126" s="932">
        <v>4300</v>
      </c>
      <c r="D126" s="933" t="str">
        <f>'Revenues 9-14'!A204</f>
        <v>Total Title I</v>
      </c>
      <c r="E126" s="906"/>
      <c r="F126" s="1789">
        <f>SUM('Revenues 9-14'!C204,'Revenues 9-14'!D204,'Revenues 9-14'!F204,'Revenues 9-14'!G204)</f>
        <v>0</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15907</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38977</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4647</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375</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342599</v>
      </c>
    </row>
    <row r="175" spans="1:7" ht="12" customHeight="1" x14ac:dyDescent="0.2">
      <c r="A175" s="1770"/>
      <c r="B175" s="1784"/>
      <c r="C175" s="1785"/>
      <c r="D175" s="1786" t="s">
        <v>2056</v>
      </c>
      <c r="E175" s="1787"/>
      <c r="F175" s="1789">
        <f>'PCTC-OEPP 27-28'!F77-F174</f>
        <v>4044280</v>
      </c>
    </row>
    <row r="176" spans="1:7" ht="12" customHeight="1" x14ac:dyDescent="0.2">
      <c r="A176" s="1770"/>
      <c r="B176" s="1784"/>
      <c r="C176" s="1785"/>
      <c r="D176" s="1786" t="s">
        <v>1817</v>
      </c>
      <c r="E176" s="1787"/>
      <c r="F176" s="1789">
        <f>'Cap Outlay Deprec 26'!I18</f>
        <v>350625.9</v>
      </c>
    </row>
    <row r="177" spans="1:7" ht="12" customHeight="1" x14ac:dyDescent="0.2">
      <c r="A177" s="1770"/>
      <c r="B177" s="1784"/>
      <c r="C177" s="1785"/>
      <c r="D177" s="1786" t="s">
        <v>2057</v>
      </c>
      <c r="E177" s="1787"/>
      <c r="F177" s="1789">
        <f>F175+F176</f>
        <v>4394905.9000000004</v>
      </c>
    </row>
    <row r="178" spans="1:7" ht="12" customHeight="1" x14ac:dyDescent="0.2">
      <c r="A178" s="1770"/>
      <c r="B178" s="1790"/>
      <c r="C178" s="1785"/>
      <c r="D178" s="1786" t="str">
        <f>D78</f>
        <v>9 Month ADA from District Average Daily Attendance/Prior General State Aid Inquiry 2018-2019</v>
      </c>
      <c r="E178" s="1787"/>
      <c r="F178" s="1791">
        <f>'PCTC-OEPP 27-28'!F78</f>
        <v>300.89999999999998</v>
      </c>
      <c r="G178" s="930"/>
    </row>
    <row r="179" spans="1:7" ht="12" customHeight="1" thickBot="1" x14ac:dyDescent="0.25">
      <c r="A179" s="1770"/>
      <c r="B179" s="1790"/>
      <c r="C179" s="1785"/>
      <c r="D179" s="1786" t="s">
        <v>2058</v>
      </c>
      <c r="E179" s="1787" t="s">
        <v>1545</v>
      </c>
      <c r="F179" s="1792">
        <f>F177/F178</f>
        <v>14605.868727151879</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53" sqref="D53"/>
    </sheetView>
  </sheetViews>
  <sheetFormatPr defaultColWidth="9.140625" defaultRowHeight="15" x14ac:dyDescent="0.25"/>
  <cols>
    <col min="1" max="1" width="52" style="1542" customWidth="1"/>
    <col min="2" max="2" width="16.42578125" style="1543" bestFit="1" customWidth="1"/>
    <col min="3" max="3" width="33.5703125" style="1543" customWidth="1"/>
    <col min="4" max="4" width="16.42578125" style="1544" customWidth="1"/>
    <col min="5" max="5" width="30" style="1544" hidden="1" customWidth="1"/>
    <col min="6" max="6" width="23.5703125" style="1544" customWidth="1"/>
    <col min="7" max="7" width="23.425781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1931</v>
      </c>
      <c r="B7" s="2276"/>
      <c r="C7" s="2276"/>
      <c r="D7" s="2276"/>
      <c r="E7" s="2276"/>
      <c r="F7" s="2276"/>
      <c r="G7" s="2277"/>
    </row>
    <row r="8" spans="1:7" ht="15.75" customHeight="1" x14ac:dyDescent="0.25">
      <c r="A8" s="2278" t="s">
        <v>1906</v>
      </c>
      <c r="B8" s="2279"/>
      <c r="C8" s="2279"/>
      <c r="D8" s="2279"/>
      <c r="E8" s="2279"/>
      <c r="F8" s="2279"/>
      <c r="G8" s="2280"/>
    </row>
    <row r="9" spans="1:7" ht="35.25" customHeight="1" x14ac:dyDescent="0.25">
      <c r="A9" s="2275" t="s">
        <v>1934</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1933</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1975</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5" t="s">
        <v>2089</v>
      </c>
      <c r="B17" s="2486" t="s">
        <v>2141</v>
      </c>
      <c r="C17" s="1937" t="s">
        <v>2088</v>
      </c>
      <c r="D17" s="1844">
        <v>1467.5</v>
      </c>
      <c r="E17" s="1540">
        <f t="shared" ref="E17:E141" si="0">IF(D17&lt;=25000,D17,IF(D17&gt;25000,25000,0))</f>
        <v>1467.5</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1467.5</v>
      </c>
      <c r="G17" s="1793">
        <f>IF(F17=0,0,D17-F17)</f>
        <v>0</v>
      </c>
      <c r="H17" s="1647"/>
    </row>
    <row r="18" spans="1:8" x14ac:dyDescent="0.25">
      <c r="A18" s="1935" t="s">
        <v>2090</v>
      </c>
      <c r="B18" s="2486" t="s">
        <v>2142</v>
      </c>
      <c r="C18" s="1937" t="s">
        <v>2098</v>
      </c>
      <c r="D18" s="1844">
        <v>1195</v>
      </c>
      <c r="E18" s="1540">
        <f t="shared" ref="E18:E140" si="2">IF(D18&lt;=25000,D18,IF(D18&gt;25000,25000,0))</f>
        <v>1195</v>
      </c>
      <c r="F18" s="1932">
        <f t="shared" si="1"/>
        <v>1195</v>
      </c>
      <c r="G18" s="1793">
        <f t="shared" ref="G18:G140" si="3">IF(F18=0,0,D18-F18)</f>
        <v>0</v>
      </c>
    </row>
    <row r="19" spans="1:8" x14ac:dyDescent="0.25">
      <c r="A19" s="1935" t="s">
        <v>2089</v>
      </c>
      <c r="B19" s="2486" t="s">
        <v>2143</v>
      </c>
      <c r="C19" s="1937" t="s">
        <v>2099</v>
      </c>
      <c r="D19" s="1844">
        <v>1500</v>
      </c>
      <c r="E19" s="1540">
        <f t="shared" si="2"/>
        <v>1500</v>
      </c>
      <c r="F19" s="1932">
        <f t="shared" si="1"/>
        <v>1500</v>
      </c>
      <c r="G19" s="1793">
        <f t="shared" si="3"/>
        <v>0</v>
      </c>
    </row>
    <row r="20" spans="1:8" x14ac:dyDescent="0.25">
      <c r="A20" s="1935" t="s">
        <v>2091</v>
      </c>
      <c r="B20" s="1936" t="s">
        <v>2092</v>
      </c>
      <c r="C20" s="1937" t="s">
        <v>2100</v>
      </c>
      <c r="D20" s="1844">
        <v>2289</v>
      </c>
      <c r="E20" s="1540">
        <f t="shared" si="2"/>
        <v>2289</v>
      </c>
      <c r="F20" s="1932">
        <f t="shared" si="1"/>
        <v>2289</v>
      </c>
      <c r="G20" s="1793">
        <f t="shared" si="3"/>
        <v>0</v>
      </c>
    </row>
    <row r="21" spans="1:8" x14ac:dyDescent="0.25">
      <c r="A21" s="1935" t="s">
        <v>2091</v>
      </c>
      <c r="B21" s="1936" t="s">
        <v>2092</v>
      </c>
      <c r="C21" s="1937" t="s">
        <v>2101</v>
      </c>
      <c r="D21" s="1844">
        <v>2400</v>
      </c>
      <c r="E21" s="1540">
        <f t="shared" si="2"/>
        <v>2400</v>
      </c>
      <c r="F21" s="1932">
        <f t="shared" si="1"/>
        <v>2400</v>
      </c>
      <c r="G21" s="1793">
        <f t="shared" si="3"/>
        <v>0</v>
      </c>
    </row>
    <row r="22" spans="1:8" x14ac:dyDescent="0.25">
      <c r="A22" s="1935"/>
      <c r="B22" s="1936"/>
      <c r="C22" s="1937"/>
      <c r="D22" s="1844"/>
      <c r="E22" s="1540">
        <f t="shared" si="2"/>
        <v>0</v>
      </c>
      <c r="F22" s="1932">
        <f t="shared" si="1"/>
        <v>0</v>
      </c>
      <c r="G22" s="1793">
        <f t="shared" si="3"/>
        <v>0</v>
      </c>
    </row>
    <row r="23" spans="1:8" x14ac:dyDescent="0.25">
      <c r="A23" s="1935" t="s">
        <v>2091</v>
      </c>
      <c r="B23" s="2486" t="s">
        <v>2092</v>
      </c>
      <c r="C23" s="1937" t="s">
        <v>2102</v>
      </c>
      <c r="D23" s="1844">
        <v>1795.2</v>
      </c>
      <c r="E23" s="1540">
        <f t="shared" si="2"/>
        <v>1795.2</v>
      </c>
      <c r="F23" s="1932">
        <f t="shared" si="1"/>
        <v>1795.2</v>
      </c>
      <c r="G23" s="1793">
        <f t="shared" si="3"/>
        <v>0</v>
      </c>
    </row>
    <row r="24" spans="1:8" x14ac:dyDescent="0.25">
      <c r="A24" s="1935" t="s">
        <v>2089</v>
      </c>
      <c r="B24" s="2486" t="s">
        <v>2141</v>
      </c>
      <c r="C24" s="1937" t="s">
        <v>2103</v>
      </c>
      <c r="D24" s="1844">
        <v>1841</v>
      </c>
      <c r="E24" s="1540">
        <f t="shared" si="2"/>
        <v>1841</v>
      </c>
      <c r="F24" s="1932">
        <f t="shared" si="1"/>
        <v>1841</v>
      </c>
      <c r="G24" s="1793">
        <f t="shared" si="3"/>
        <v>0</v>
      </c>
    </row>
    <row r="25" spans="1:8" x14ac:dyDescent="0.25">
      <c r="A25" s="1935" t="s">
        <v>2095</v>
      </c>
      <c r="B25" s="1936" t="s">
        <v>2093</v>
      </c>
      <c r="C25" s="1937" t="s">
        <v>2104</v>
      </c>
      <c r="D25" s="1844">
        <v>13554.22</v>
      </c>
      <c r="E25" s="1540">
        <f t="shared" si="2"/>
        <v>13554.22</v>
      </c>
      <c r="F25" s="1932">
        <f t="shared" si="1"/>
        <v>13554.22</v>
      </c>
      <c r="G25" s="1793">
        <f t="shared" si="3"/>
        <v>0</v>
      </c>
    </row>
    <row r="26" spans="1:8" x14ac:dyDescent="0.25">
      <c r="A26" s="1935" t="s">
        <v>2096</v>
      </c>
      <c r="B26" s="2486" t="s">
        <v>2144</v>
      </c>
      <c r="C26" s="1937" t="s">
        <v>2105</v>
      </c>
      <c r="D26" s="1844">
        <v>5295</v>
      </c>
      <c r="E26" s="1540">
        <f t="shared" si="2"/>
        <v>5295</v>
      </c>
      <c r="F26" s="1932">
        <f t="shared" si="1"/>
        <v>5295</v>
      </c>
      <c r="G26" s="1793">
        <f t="shared" si="3"/>
        <v>0</v>
      </c>
    </row>
    <row r="27" spans="1:8" x14ac:dyDescent="0.25">
      <c r="A27" s="1935" t="s">
        <v>2095</v>
      </c>
      <c r="B27" s="1936" t="s">
        <v>2093</v>
      </c>
      <c r="C27" s="1937" t="s">
        <v>2106</v>
      </c>
      <c r="D27" s="1844">
        <v>16171.2</v>
      </c>
      <c r="E27" s="1540">
        <f t="shared" si="2"/>
        <v>16171.2</v>
      </c>
      <c r="F27" s="1932">
        <f t="shared" si="1"/>
        <v>16171.2</v>
      </c>
      <c r="G27" s="1793">
        <f t="shared" si="3"/>
        <v>0</v>
      </c>
    </row>
    <row r="28" spans="1:8" x14ac:dyDescent="0.25">
      <c r="A28" s="1935" t="s">
        <v>2097</v>
      </c>
      <c r="B28" s="1936" t="s">
        <v>2094</v>
      </c>
      <c r="C28" s="1937" t="s">
        <v>2107</v>
      </c>
      <c r="D28" s="1844">
        <v>11817.35</v>
      </c>
      <c r="E28" s="1540">
        <f t="shared" si="2"/>
        <v>11817.35</v>
      </c>
      <c r="F28" s="1932">
        <f t="shared" si="1"/>
        <v>11817.35</v>
      </c>
      <c r="G28" s="1793">
        <f t="shared" si="3"/>
        <v>0</v>
      </c>
    </row>
    <row r="29" spans="1:8" x14ac:dyDescent="0.25">
      <c r="A29" s="1935" t="s">
        <v>2097</v>
      </c>
      <c r="B29" s="1936" t="s">
        <v>2094</v>
      </c>
      <c r="C29" s="1937" t="s">
        <v>2108</v>
      </c>
      <c r="D29" s="1844">
        <v>58305.8</v>
      </c>
      <c r="E29" s="1540">
        <f t="shared" si="2"/>
        <v>25000</v>
      </c>
      <c r="F29" s="1932">
        <f t="shared" si="1"/>
        <v>25000</v>
      </c>
      <c r="G29" s="1793">
        <f t="shared" si="3"/>
        <v>33305.800000000003</v>
      </c>
    </row>
    <row r="30" spans="1:8" x14ac:dyDescent="0.25">
      <c r="A30" s="1935" t="s">
        <v>2096</v>
      </c>
      <c r="B30" s="2486" t="s">
        <v>2144</v>
      </c>
      <c r="C30" s="1937" t="s">
        <v>2109</v>
      </c>
      <c r="D30" s="1844">
        <v>23119</v>
      </c>
      <c r="E30" s="1540">
        <f t="shared" si="2"/>
        <v>23119</v>
      </c>
      <c r="F30" s="1932">
        <f t="shared" si="1"/>
        <v>23119</v>
      </c>
      <c r="G30" s="1793">
        <f t="shared" si="3"/>
        <v>0</v>
      </c>
    </row>
    <row r="31" spans="1:8" x14ac:dyDescent="0.25">
      <c r="A31" s="1935" t="s">
        <v>2091</v>
      </c>
      <c r="B31" s="1936" t="s">
        <v>2092</v>
      </c>
      <c r="C31" s="1937" t="s">
        <v>2110</v>
      </c>
      <c r="D31" s="1844">
        <v>9591.0400000000009</v>
      </c>
      <c r="E31" s="1540">
        <f t="shared" si="2"/>
        <v>9591.0400000000009</v>
      </c>
      <c r="F31" s="1932">
        <f t="shared" si="1"/>
        <v>9591.0400000000009</v>
      </c>
      <c r="G31" s="1793">
        <f t="shared" si="3"/>
        <v>0</v>
      </c>
    </row>
    <row r="32" spans="1:8" x14ac:dyDescent="0.25">
      <c r="A32" s="1935" t="s">
        <v>2091</v>
      </c>
      <c r="B32" s="2486" t="s">
        <v>2092</v>
      </c>
      <c r="C32" s="1937" t="s">
        <v>2111</v>
      </c>
      <c r="D32" s="1844">
        <v>4732.5</v>
      </c>
      <c r="E32" s="1540">
        <f t="shared" si="2"/>
        <v>4732.5</v>
      </c>
      <c r="F32" s="1932">
        <f t="shared" si="1"/>
        <v>4732.5</v>
      </c>
      <c r="G32" s="1793">
        <f t="shared" si="3"/>
        <v>0</v>
      </c>
    </row>
    <row r="33" spans="1:7" x14ac:dyDescent="0.25">
      <c r="A33" s="1935" t="s">
        <v>2114</v>
      </c>
      <c r="B33" s="1936" t="s">
        <v>2112</v>
      </c>
      <c r="C33" s="1937" t="s">
        <v>2115</v>
      </c>
      <c r="D33" s="1844">
        <v>138828.99</v>
      </c>
      <c r="E33" s="1540">
        <f t="shared" si="2"/>
        <v>25000</v>
      </c>
      <c r="F33" s="1932">
        <f t="shared" si="1"/>
        <v>25000</v>
      </c>
      <c r="G33" s="1793">
        <f t="shared" si="3"/>
        <v>113828.98999999999</v>
      </c>
    </row>
    <row r="34" spans="1:7" x14ac:dyDescent="0.25">
      <c r="A34" s="1935" t="s">
        <v>2091</v>
      </c>
      <c r="B34" s="2486" t="s">
        <v>2092</v>
      </c>
      <c r="C34" s="1937" t="s">
        <v>2116</v>
      </c>
      <c r="D34" s="1844">
        <v>4357.5</v>
      </c>
      <c r="E34" s="1540">
        <f t="shared" si="2"/>
        <v>4357.5</v>
      </c>
      <c r="F34" s="1932">
        <f t="shared" si="1"/>
        <v>4357.5</v>
      </c>
      <c r="G34" s="1793">
        <f t="shared" si="3"/>
        <v>0</v>
      </c>
    </row>
    <row r="35" spans="1:7" x14ac:dyDescent="0.25">
      <c r="A35" s="1935" t="s">
        <v>2089</v>
      </c>
      <c r="B35" s="2486" t="s">
        <v>2141</v>
      </c>
      <c r="C35" s="1937" t="s">
        <v>2117</v>
      </c>
      <c r="D35" s="1844">
        <v>8415</v>
      </c>
      <c r="E35" s="1540">
        <f t="shared" si="2"/>
        <v>8415</v>
      </c>
      <c r="F35" s="1932">
        <f t="shared" si="1"/>
        <v>8415</v>
      </c>
      <c r="G35" s="1793">
        <f t="shared" si="3"/>
        <v>0</v>
      </c>
    </row>
    <row r="36" spans="1:7" x14ac:dyDescent="0.25">
      <c r="A36" s="1935" t="s">
        <v>2095</v>
      </c>
      <c r="B36" s="1936" t="s">
        <v>2093</v>
      </c>
      <c r="C36" s="1937" t="s">
        <v>2118</v>
      </c>
      <c r="D36" s="1844">
        <v>11460</v>
      </c>
      <c r="E36" s="1540">
        <f t="shared" si="2"/>
        <v>11460</v>
      </c>
      <c r="F36" s="1932">
        <f t="shared" si="1"/>
        <v>11460</v>
      </c>
      <c r="G36" s="1793">
        <f t="shared" si="3"/>
        <v>0</v>
      </c>
    </row>
    <row r="37" spans="1:7" x14ac:dyDescent="0.25">
      <c r="A37" s="1935" t="s">
        <v>2095</v>
      </c>
      <c r="B37" s="1936" t="s">
        <v>2093</v>
      </c>
      <c r="C37" s="1937" t="s">
        <v>2119</v>
      </c>
      <c r="D37" s="1844">
        <v>4498.1499999999996</v>
      </c>
      <c r="E37" s="1540">
        <f t="shared" si="2"/>
        <v>4498.1499999999996</v>
      </c>
      <c r="F37" s="1932">
        <f t="shared" si="1"/>
        <v>4498.1499999999996</v>
      </c>
      <c r="G37" s="1793">
        <f t="shared" si="3"/>
        <v>0</v>
      </c>
    </row>
    <row r="38" spans="1:7" x14ac:dyDescent="0.25">
      <c r="A38" s="1935" t="s">
        <v>2089</v>
      </c>
      <c r="B38" s="1938" t="s">
        <v>2113</v>
      </c>
      <c r="C38" s="1937" t="s">
        <v>2120</v>
      </c>
      <c r="D38" s="1844">
        <v>40517</v>
      </c>
      <c r="E38" s="1540">
        <f t="shared" si="2"/>
        <v>25000</v>
      </c>
      <c r="F38" s="1932">
        <f t="shared" si="1"/>
        <v>0</v>
      </c>
      <c r="G38" s="1793">
        <f t="shared" si="3"/>
        <v>0</v>
      </c>
    </row>
    <row r="39" spans="1:7" x14ac:dyDescent="0.25">
      <c r="A39" s="1935" t="s">
        <v>2095</v>
      </c>
      <c r="B39" s="1938" t="s">
        <v>2093</v>
      </c>
      <c r="C39" s="1937" t="s">
        <v>2121</v>
      </c>
      <c r="D39" s="1844">
        <v>6345.64</v>
      </c>
      <c r="E39" s="1540">
        <f t="shared" si="2"/>
        <v>6345.64</v>
      </c>
      <c r="F39" s="1932">
        <f t="shared" si="1"/>
        <v>6345.64</v>
      </c>
      <c r="G39" s="1793">
        <f t="shared" si="3"/>
        <v>0</v>
      </c>
    </row>
    <row r="40" spans="1:7" x14ac:dyDescent="0.25">
      <c r="A40" s="1935" t="s">
        <v>2089</v>
      </c>
      <c r="B40" s="2487" t="s">
        <v>2141</v>
      </c>
      <c r="C40" s="1937" t="s">
        <v>2122</v>
      </c>
      <c r="D40" s="1844">
        <v>19375.060000000001</v>
      </c>
      <c r="E40" s="1540">
        <f t="shared" si="2"/>
        <v>19375.060000000001</v>
      </c>
      <c r="F40" s="1932">
        <f t="shared" si="1"/>
        <v>19375.060000000001</v>
      </c>
      <c r="G40" s="1793">
        <f t="shared" si="3"/>
        <v>0</v>
      </c>
    </row>
    <row r="41" spans="1:7" x14ac:dyDescent="0.25">
      <c r="A41" s="1935" t="s">
        <v>2097</v>
      </c>
      <c r="B41" s="1938" t="s">
        <v>2094</v>
      </c>
      <c r="C41" s="1937" t="s">
        <v>2087</v>
      </c>
      <c r="D41" s="1844">
        <v>7898.78</v>
      </c>
      <c r="E41" s="1540">
        <f t="shared" si="2"/>
        <v>7898.78</v>
      </c>
      <c r="F41" s="1932">
        <f t="shared" si="1"/>
        <v>7898.78</v>
      </c>
      <c r="G41" s="1793">
        <f t="shared" si="3"/>
        <v>0</v>
      </c>
    </row>
    <row r="42" spans="1:7" x14ac:dyDescent="0.25">
      <c r="A42" s="1935" t="s">
        <v>2096</v>
      </c>
      <c r="B42" s="2487" t="s">
        <v>2144</v>
      </c>
      <c r="C42" s="1937" t="s">
        <v>2123</v>
      </c>
      <c r="D42" s="1844">
        <v>13015</v>
      </c>
      <c r="E42" s="1540">
        <f t="shared" si="2"/>
        <v>13015</v>
      </c>
      <c r="F42" s="1932">
        <f t="shared" si="1"/>
        <v>13015</v>
      </c>
      <c r="G42" s="1793">
        <f t="shared" si="3"/>
        <v>0</v>
      </c>
    </row>
    <row r="43" spans="1:7" x14ac:dyDescent="0.25">
      <c r="A43" s="1935" t="s">
        <v>2136</v>
      </c>
      <c r="B43" s="2487" t="s">
        <v>2145</v>
      </c>
      <c r="C43" s="1937" t="s">
        <v>2124</v>
      </c>
      <c r="D43" s="1844">
        <v>378726.36</v>
      </c>
      <c r="E43" s="1540">
        <f t="shared" si="2"/>
        <v>25000</v>
      </c>
      <c r="F43" s="1932">
        <f t="shared" si="1"/>
        <v>25000</v>
      </c>
      <c r="G43" s="1793">
        <f t="shared" si="3"/>
        <v>353726.36</v>
      </c>
    </row>
    <row r="44" spans="1:7" x14ac:dyDescent="0.25">
      <c r="A44" s="1935"/>
      <c r="B44" s="1938"/>
      <c r="C44" s="1937"/>
      <c r="D44" s="1844"/>
      <c r="E44" s="1540">
        <f t="shared" si="2"/>
        <v>0</v>
      </c>
      <c r="F44" s="1932">
        <f t="shared" si="1"/>
        <v>0</v>
      </c>
      <c r="G44" s="1793">
        <f t="shared" si="3"/>
        <v>0</v>
      </c>
    </row>
    <row r="45" spans="1:7" x14ac:dyDescent="0.25">
      <c r="A45" s="1935" t="s">
        <v>2089</v>
      </c>
      <c r="B45" s="2487" t="s">
        <v>2146</v>
      </c>
      <c r="C45" s="1937" t="s">
        <v>2125</v>
      </c>
      <c r="D45" s="1844">
        <v>39583.5</v>
      </c>
      <c r="E45" s="1540">
        <f t="shared" si="2"/>
        <v>25000</v>
      </c>
      <c r="F45" s="1932">
        <f t="shared" si="1"/>
        <v>25000</v>
      </c>
      <c r="G45" s="1793">
        <f t="shared" si="3"/>
        <v>14583.5</v>
      </c>
    </row>
    <row r="46" spans="1:7" x14ac:dyDescent="0.25">
      <c r="A46" s="1935" t="s">
        <v>2091</v>
      </c>
      <c r="B46" s="2487" t="s">
        <v>2092</v>
      </c>
      <c r="C46" s="1937" t="s">
        <v>2126</v>
      </c>
      <c r="D46" s="1844">
        <v>3137.5</v>
      </c>
      <c r="E46" s="1540">
        <f t="shared" si="2"/>
        <v>3137.5</v>
      </c>
      <c r="F46" s="1932">
        <f t="shared" si="1"/>
        <v>3137.5</v>
      </c>
      <c r="G46" s="1793">
        <f t="shared" si="3"/>
        <v>0</v>
      </c>
    </row>
    <row r="47" spans="1:7" x14ac:dyDescent="0.25">
      <c r="A47" s="1935" t="s">
        <v>2095</v>
      </c>
      <c r="B47" s="1938" t="s">
        <v>2093</v>
      </c>
      <c r="C47" s="1937" t="s">
        <v>2127</v>
      </c>
      <c r="D47" s="1844">
        <v>3500</v>
      </c>
      <c r="E47" s="1540">
        <f t="shared" si="2"/>
        <v>3500</v>
      </c>
      <c r="F47" s="1932">
        <f t="shared" si="1"/>
        <v>3500</v>
      </c>
      <c r="G47" s="1793">
        <f t="shared" si="3"/>
        <v>0</v>
      </c>
    </row>
    <row r="48" spans="1:7" x14ac:dyDescent="0.25">
      <c r="A48" s="1935" t="s">
        <v>2090</v>
      </c>
      <c r="B48" s="1938" t="s">
        <v>2135</v>
      </c>
      <c r="C48" s="1937" t="s">
        <v>2128</v>
      </c>
      <c r="D48" s="1844">
        <v>28045.45</v>
      </c>
      <c r="E48" s="1540">
        <f t="shared" si="2"/>
        <v>25000</v>
      </c>
      <c r="F48" s="1932">
        <f t="shared" si="1"/>
        <v>25000</v>
      </c>
      <c r="G48" s="1793">
        <f t="shared" si="3"/>
        <v>3045.4500000000007</v>
      </c>
    </row>
    <row r="49" spans="1:7" x14ac:dyDescent="0.25">
      <c r="A49" s="1935" t="s">
        <v>2089</v>
      </c>
      <c r="B49" s="2487" t="s">
        <v>2141</v>
      </c>
      <c r="C49" s="1937" t="s">
        <v>2129</v>
      </c>
      <c r="D49" s="1844">
        <v>7297.8</v>
      </c>
      <c r="E49" s="1540">
        <f t="shared" si="2"/>
        <v>7297.8</v>
      </c>
      <c r="F49" s="1932">
        <f t="shared" si="1"/>
        <v>7297.8</v>
      </c>
      <c r="G49" s="1793">
        <f t="shared" si="3"/>
        <v>0</v>
      </c>
    </row>
    <row r="50" spans="1:7" x14ac:dyDescent="0.25">
      <c r="A50" s="1935" t="s">
        <v>2137</v>
      </c>
      <c r="B50" s="2487" t="s">
        <v>2147</v>
      </c>
      <c r="C50" s="1937" t="s">
        <v>2130</v>
      </c>
      <c r="D50" s="1844">
        <v>91626.65</v>
      </c>
      <c r="E50" s="1540">
        <f t="shared" si="2"/>
        <v>25000</v>
      </c>
      <c r="F50" s="1932">
        <f t="shared" si="1"/>
        <v>25000</v>
      </c>
      <c r="G50" s="1793">
        <f t="shared" si="3"/>
        <v>66626.649999999994</v>
      </c>
    </row>
    <row r="51" spans="1:7" x14ac:dyDescent="0.25">
      <c r="A51" s="1935" t="s">
        <v>2091</v>
      </c>
      <c r="B51" s="2487" t="s">
        <v>2092</v>
      </c>
      <c r="C51" s="1937" t="s">
        <v>2131</v>
      </c>
      <c r="D51" s="1844">
        <v>16277</v>
      </c>
      <c r="E51" s="1540">
        <f t="shared" si="2"/>
        <v>16277</v>
      </c>
      <c r="F51" s="1932">
        <f t="shared" si="1"/>
        <v>16277</v>
      </c>
      <c r="G51" s="1793">
        <f t="shared" si="3"/>
        <v>0</v>
      </c>
    </row>
    <row r="52" spans="1:7" x14ac:dyDescent="0.25">
      <c r="A52" s="1935"/>
      <c r="B52" s="1938"/>
      <c r="C52" s="1937"/>
      <c r="D52" s="1844"/>
      <c r="E52" s="1540">
        <f t="shared" si="2"/>
        <v>0</v>
      </c>
      <c r="F52" s="1932">
        <f t="shared" si="1"/>
        <v>0</v>
      </c>
      <c r="G52" s="1793">
        <f t="shared" si="3"/>
        <v>0</v>
      </c>
    </row>
    <row r="53" spans="1:7" x14ac:dyDescent="0.25">
      <c r="A53" s="1935"/>
      <c r="B53" s="1938"/>
      <c r="C53" s="1937"/>
      <c r="D53" s="1844"/>
      <c r="E53" s="1540">
        <f t="shared" si="2"/>
        <v>0</v>
      </c>
      <c r="F53" s="1932">
        <f t="shared" si="1"/>
        <v>0</v>
      </c>
      <c r="G53" s="1793">
        <f t="shared" si="3"/>
        <v>0</v>
      </c>
    </row>
    <row r="54" spans="1:7" x14ac:dyDescent="0.25">
      <c r="A54" s="1935" t="s">
        <v>2095</v>
      </c>
      <c r="B54" s="1938" t="s">
        <v>2093</v>
      </c>
      <c r="C54" s="1939" t="s">
        <v>2140</v>
      </c>
      <c r="D54" s="1844">
        <v>4208.3900000000003</v>
      </c>
      <c r="E54" s="1540">
        <f t="shared" si="2"/>
        <v>4208.3900000000003</v>
      </c>
      <c r="F54" s="1932">
        <f t="shared" si="1"/>
        <v>4208.3900000000003</v>
      </c>
      <c r="G54" s="1793">
        <f t="shared" si="3"/>
        <v>0</v>
      </c>
    </row>
    <row r="55" spans="1:7" x14ac:dyDescent="0.25">
      <c r="A55" s="1935" t="s">
        <v>2114</v>
      </c>
      <c r="B55" s="1938" t="s">
        <v>2112</v>
      </c>
      <c r="C55" s="1937" t="s">
        <v>2132</v>
      </c>
      <c r="D55" s="1844">
        <v>53320</v>
      </c>
      <c r="E55" s="1540">
        <f t="shared" si="2"/>
        <v>25000</v>
      </c>
      <c r="F55" s="1932">
        <f t="shared" si="1"/>
        <v>25000</v>
      </c>
      <c r="G55" s="1793">
        <f t="shared" si="3"/>
        <v>28320</v>
      </c>
    </row>
    <row r="56" spans="1:7" x14ac:dyDescent="0.25">
      <c r="A56" s="1935" t="s">
        <v>2095</v>
      </c>
      <c r="B56" s="1938" t="s">
        <v>2093</v>
      </c>
      <c r="C56" s="1937" t="s">
        <v>2133</v>
      </c>
      <c r="D56" s="1844">
        <v>6609</v>
      </c>
      <c r="E56" s="1540">
        <f t="shared" si="2"/>
        <v>6609</v>
      </c>
      <c r="F56" s="1932">
        <f t="shared" si="1"/>
        <v>6609</v>
      </c>
      <c r="G56" s="1793">
        <f t="shared" si="3"/>
        <v>0</v>
      </c>
    </row>
    <row r="57" spans="1:7" x14ac:dyDescent="0.25">
      <c r="A57" s="1935" t="s">
        <v>2095</v>
      </c>
      <c r="B57" s="1938" t="s">
        <v>2093</v>
      </c>
      <c r="C57" s="1937" t="s">
        <v>2134</v>
      </c>
      <c r="D57" s="1844">
        <v>3896.79</v>
      </c>
      <c r="E57" s="1540">
        <f t="shared" si="2"/>
        <v>3896.79</v>
      </c>
      <c r="F57" s="1932">
        <f t="shared" si="1"/>
        <v>3896.79</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1046013.3700000001</v>
      </c>
      <c r="E141" s="1541">
        <f t="shared" si="0"/>
        <v>25000</v>
      </c>
      <c r="F141" s="1933">
        <f>SUM(F17:F140)</f>
        <v>392059.62</v>
      </c>
      <c r="G141" s="1795">
        <f>SUM(G17:G140)</f>
        <v>613436.75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31" colorId="8" zoomScale="110" zoomScaleNormal="110" workbookViewId="0">
      <selection activeCell="H16" sqref="H16"/>
    </sheetView>
  </sheetViews>
  <sheetFormatPr defaultColWidth="9.140625" defaultRowHeight="12.75" x14ac:dyDescent="0.2"/>
  <cols>
    <col min="1" max="1" width="8.140625" style="329" customWidth="1"/>
    <col min="2" max="2" width="46.85546875" style="329" customWidth="1"/>
    <col min="3" max="3" width="8" style="329" customWidth="1"/>
    <col min="4" max="6" width="16.5703125" style="329" customWidth="1"/>
    <col min="7" max="7" width="17.140625" style="329" customWidth="1"/>
    <col min="8" max="8" width="3.5703125" style="329" customWidth="1"/>
    <col min="9" max="9" width="3.425781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6" t="s">
        <v>1976</v>
      </c>
      <c r="B11" s="2287"/>
      <c r="C11" s="2287"/>
      <c r="D11" s="2288"/>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2428234</v>
      </c>
      <c r="F19" s="1799"/>
      <c r="G19" s="1801">
        <f>'Expenditures 15-22'!K33-SUM('Expenditures 15-22'!G33,'Expenditures 15-22'!I33)+'Expenditures 15-22'!D229</f>
        <v>2428234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169882</v>
      </c>
      <c r="F21" s="1802"/>
      <c r="G21" s="1805">
        <f>'Expenditures 15-22'!K42-SUM('Expenditures 15-22'!G42,'Expenditures 15-22'!I42)+'Expenditures 15-22'!K120-SUM('Expenditures 15-22'!G120,'Expenditures 15-22'!I120)+'Expenditures 15-22'!K180-SUM('Expenditures 15-22'!G180,'Expenditures 15-22'!I180)+'Expenditures 15-22'!D238</f>
        <v>169882</v>
      </c>
      <c r="H21" s="987"/>
      <c r="I21" s="162"/>
    </row>
    <row r="22" spans="1:9" s="668" customFormat="1" ht="12" customHeight="1" x14ac:dyDescent="0.2">
      <c r="A22" s="994" t="s">
        <v>564</v>
      </c>
      <c r="B22" s="995"/>
      <c r="C22" s="993">
        <v>2200</v>
      </c>
      <c r="D22" s="1802"/>
      <c r="E22" s="1804">
        <f>'Expenditures 15-22'!K47-SUM('Expenditures 15-22'!G47,'Expenditures 15-22'!I47)+'Expenditures 15-22'!D243</f>
        <v>40597</v>
      </c>
      <c r="F22" s="1802"/>
      <c r="G22" s="1805">
        <f>'Expenditures 15-22'!K47-SUM('Expenditures 15-22'!G47,'Expenditures 15-22'!I47)+'Expenditures 15-22'!D243</f>
        <v>40597</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158827</v>
      </c>
      <c r="F23" s="1802"/>
      <c r="G23" s="1804">
        <f>'Expenditures 15-22'!K53-SUM('Expenditures 15-22'!G53,'Expenditures 15-22'!I53)+'Expenditures 15-22'!D257+'Expenditures 15-22'!K330-SUM('Expenditures 15-22'!G330,'Expenditures 15-22'!I330)</f>
        <v>158827</v>
      </c>
      <c r="H23" s="987"/>
      <c r="I23" s="162"/>
    </row>
    <row r="24" spans="1:9" s="668" customFormat="1" ht="12" customHeight="1" x14ac:dyDescent="0.2">
      <c r="A24" s="994" t="s">
        <v>566</v>
      </c>
      <c r="B24" s="995"/>
      <c r="C24" s="993">
        <v>2400</v>
      </c>
      <c r="D24" s="1802"/>
      <c r="E24" s="1804">
        <f>'Expenditures 15-22'!K57-SUM('Expenditures 15-22'!G57,'Expenditures 15-22'!I57)+'Expenditures 15-22'!D261</f>
        <v>430767</v>
      </c>
      <c r="F24" s="1802"/>
      <c r="G24" s="1805">
        <f>'Expenditures 15-22'!K57-SUM('Expenditures 15-22'!G57,'Expenditures 15-22'!I57)+'Expenditures 15-22'!D261</f>
        <v>430767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166220</v>
      </c>
      <c r="E26" s="1804">
        <f>'Expenditures 15-22'!K122-SUM('Expenditures 15-22'!G122,'Expenditures 15-22'!I122)+E7</f>
        <v>0</v>
      </c>
      <c r="F26" s="1804">
        <f>'Expenditures 15-22'!K59-SUM('Expenditures 15-22'!G59,'Expenditures 15-22'!I59)+'Expenditures 15-22'!D263-E7</f>
        <v>166220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1352</v>
      </c>
      <c r="E27" s="1804">
        <f>E8</f>
        <v>0</v>
      </c>
      <c r="F27" s="1804">
        <f>'Expenditures 15-22'!K60-SUM('Expenditures 15-22'!G60,'Expenditures 15-22'!I60)+'Expenditures 15-22'!D264-E8</f>
        <v>1352</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392418</v>
      </c>
      <c r="F28" s="1806">
        <f>'Expenditures 15-22'!K61-SUM('Expenditures 15-22'!G61,'Expenditures 15-22'!I61)+'Expenditures 15-22'!K124-SUM('Expenditures 15-22'!G124,'Expenditures 15-22'!I124)+'Expenditures 15-22'!D266-E9</f>
        <v>392418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189531</v>
      </c>
      <c r="F29" s="1802"/>
      <c r="G29" s="1805">
        <f>'Expenditures 15-22'!K62-SUM('Expenditures 15-22'!G62,'Expenditures 15-22'!I62)+'Expenditures 15-22'!K125-SUM('Expenditures 15-22'!G125,'Expenditures 15-22'!I125)+'Expenditures 15-22'!K182-SUM('Expenditures 15-22'!G182,'Expenditures 15-22'!I182)+'Expenditures 15-22'!D267</f>
        <v>189531</v>
      </c>
      <c r="H29" s="985"/>
    </row>
    <row r="30" spans="1:9" ht="12" customHeight="1" x14ac:dyDescent="0.2">
      <c r="A30" s="994" t="s">
        <v>100</v>
      </c>
      <c r="B30" s="997"/>
      <c r="C30" s="993">
        <v>2560</v>
      </c>
      <c r="D30" s="1802"/>
      <c r="E30" s="1804">
        <f>'Expenditures 15-22'!K63-SUM('Expenditures 15-22'!G63,'Expenditures 15-22'!I63)+'Expenditures 15-22'!D268-E10</f>
        <v>28624</v>
      </c>
      <c r="F30" s="1802"/>
      <c r="G30" s="1804">
        <f>'Expenditures 15-22'!K63-SUM('Expenditures 15-22'!G63,'Expenditures 15-22'!I63)+'Expenditures 15-22'!D268-E10</f>
        <v>28624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-613436.75</v>
      </c>
      <c r="F40" s="1802"/>
      <c r="G40" s="1806">
        <f>-'Contracts Paid in CY 29'!G141</f>
        <v>-613436.75</v>
      </c>
    </row>
    <row r="41" spans="1:7" ht="12" customHeight="1" x14ac:dyDescent="0.2">
      <c r="A41" s="998" t="s">
        <v>156</v>
      </c>
      <c r="B41" s="999"/>
      <c r="C41" s="1000"/>
      <c r="D41" s="1806">
        <f>SUM(D19:D39)</f>
        <v>167572</v>
      </c>
      <c r="E41" s="1806">
        <f>SUM(E19:E40)</f>
        <v>3225443.25</v>
      </c>
      <c r="F41" s="1806">
        <f>SUM(F19:F39)</f>
        <v>559990</v>
      </c>
      <c r="G41" s="1806">
        <f>SUM(G19:G40)</f>
        <v>2833025.25</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167572</v>
      </c>
      <c r="F43" s="1807" t="s">
        <v>473</v>
      </c>
      <c r="G43" s="1808">
        <f>F41</f>
        <v>559990</v>
      </c>
    </row>
    <row r="44" spans="1:7" ht="12" customHeight="1" x14ac:dyDescent="0.2">
      <c r="A44" s="987"/>
      <c r="B44" s="162"/>
      <c r="C44" s="1001"/>
      <c r="D44" s="1807" t="s">
        <v>474</v>
      </c>
      <c r="E44" s="1808">
        <f>E41</f>
        <v>3225443.25</v>
      </c>
      <c r="F44" s="1807" t="s">
        <v>474</v>
      </c>
      <c r="G44" s="1808">
        <f>G41</f>
        <v>2833025.25</v>
      </c>
    </row>
    <row r="45" spans="1:7" ht="12" customHeight="1" x14ac:dyDescent="0.2">
      <c r="A45" s="987"/>
      <c r="B45" s="162"/>
      <c r="C45" s="162"/>
      <c r="D45" s="1809" t="s">
        <v>1006</v>
      </c>
      <c r="E45" s="1810">
        <f>(E43/E44)</f>
        <v>5.195316953724112E-2</v>
      </c>
      <c r="F45" s="1809" t="s">
        <v>1006</v>
      </c>
      <c r="G45" s="1810">
        <f>(G43/G44)</f>
        <v>0.19766502257613131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17" activePane="bottomLeft" state="frozen"/>
      <selection activeCell="H16" sqref="H16"/>
      <selection pane="bottomLeft" activeCell="H16" sqref="H16"/>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Emmons SD 33</v>
      </c>
      <c r="D6" s="2307"/>
      <c r="E6" s="2307"/>
      <c r="F6" s="1852"/>
    </row>
    <row r="7" spans="1:10" ht="11.25" customHeight="1" thickBot="1" x14ac:dyDescent="0.3">
      <c r="A7" s="1850"/>
      <c r="B7" s="1851"/>
      <c r="C7" s="2308">
        <f>COVER!A13</f>
        <v>30049033002</v>
      </c>
      <c r="D7" s="2308"/>
      <c r="E7" s="2308"/>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2064</v>
      </c>
      <c r="D14" s="1865" t="s">
        <v>2064</v>
      </c>
      <c r="E14" s="1868" t="s">
        <v>2064</v>
      </c>
      <c r="F14" s="1867" t="s">
        <v>2079</v>
      </c>
      <c r="H14" s="1878">
        <f t="shared" si="0"/>
        <v>5</v>
      </c>
      <c r="I14" s="1878">
        <f t="shared" si="1"/>
        <v>5</v>
      </c>
      <c r="J14" s="1878">
        <f t="shared" si="2"/>
        <v>5</v>
      </c>
    </row>
    <row r="15" spans="1:10" ht="12" customHeight="1" x14ac:dyDescent="0.2">
      <c r="A15" s="1863" t="s">
        <v>1387</v>
      </c>
      <c r="B15" s="1864"/>
      <c r="C15" s="1865" t="s">
        <v>2064</v>
      </c>
      <c r="D15" s="1865" t="s">
        <v>2064</v>
      </c>
      <c r="E15" s="1868" t="s">
        <v>2064</v>
      </c>
      <c r="F15" s="1867" t="s">
        <v>2080</v>
      </c>
      <c r="H15" s="1878">
        <f t="shared" si="0"/>
        <v>5</v>
      </c>
      <c r="I15" s="1878">
        <f t="shared" si="1"/>
        <v>5</v>
      </c>
      <c r="J15" s="1878">
        <f t="shared" si="2"/>
        <v>5</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2064</v>
      </c>
      <c r="D19" s="1865" t="s">
        <v>2064</v>
      </c>
      <c r="E19" s="1868" t="s">
        <v>2064</v>
      </c>
      <c r="F19" s="1867" t="s">
        <v>2081</v>
      </c>
      <c r="H19" s="1878">
        <f t="shared" si="0"/>
        <v>5</v>
      </c>
      <c r="I19" s="1878">
        <f t="shared" si="1"/>
        <v>5</v>
      </c>
      <c r="J19" s="1878">
        <f t="shared" si="2"/>
        <v>5</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2064</v>
      </c>
      <c r="D24" s="1865" t="s">
        <v>2064</v>
      </c>
      <c r="E24" s="1868" t="s">
        <v>2064</v>
      </c>
      <c r="F24" s="1867" t="s">
        <v>2082</v>
      </c>
      <c r="H24" s="1878">
        <f t="shared" si="0"/>
        <v>5</v>
      </c>
      <c r="I24" s="1878">
        <f t="shared" si="1"/>
        <v>5</v>
      </c>
      <c r="J24" s="1878">
        <f t="shared" si="2"/>
        <v>5</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2083</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2064</v>
      </c>
      <c r="D28" s="1865" t="s">
        <v>2064</v>
      </c>
      <c r="E28" s="1868" t="s">
        <v>2064</v>
      </c>
      <c r="F28" s="1867" t="s">
        <v>2087</v>
      </c>
      <c r="H28" s="1878">
        <f t="shared" si="0"/>
        <v>5</v>
      </c>
      <c r="I28" s="1878">
        <f t="shared" si="1"/>
        <v>5</v>
      </c>
      <c r="J28" s="1878">
        <f t="shared" si="2"/>
        <v>5</v>
      </c>
    </row>
    <row r="29" spans="1:12" ht="12" customHeight="1" x14ac:dyDescent="0.2">
      <c r="A29" s="1863" t="s">
        <v>1537</v>
      </c>
      <c r="B29" s="1864"/>
      <c r="C29" s="1865" t="s">
        <v>2064</v>
      </c>
      <c r="D29" s="1865" t="s">
        <v>2064</v>
      </c>
      <c r="E29" s="1868" t="s">
        <v>2064</v>
      </c>
      <c r="F29" s="1867" t="s">
        <v>2084</v>
      </c>
      <c r="H29" s="1878">
        <f t="shared" si="0"/>
        <v>5</v>
      </c>
      <c r="I29" s="1878">
        <f t="shared" si="1"/>
        <v>5</v>
      </c>
      <c r="J29" s="1878">
        <f t="shared" si="2"/>
        <v>5</v>
      </c>
    </row>
    <row r="30" spans="1:12" ht="12" customHeight="1" x14ac:dyDescent="0.2">
      <c r="A30" s="1863" t="s">
        <v>1538</v>
      </c>
      <c r="B30" s="1864"/>
      <c r="C30" s="1865" t="s">
        <v>2064</v>
      </c>
      <c r="D30" s="1865" t="s">
        <v>2064</v>
      </c>
      <c r="E30" s="1868" t="s">
        <v>2064</v>
      </c>
      <c r="F30" s="1867" t="s">
        <v>2085</v>
      </c>
      <c r="H30" s="1878">
        <f t="shared" si="0"/>
        <v>5</v>
      </c>
      <c r="I30" s="1878">
        <f t="shared" si="1"/>
        <v>5</v>
      </c>
      <c r="J30" s="1878">
        <f t="shared" si="2"/>
        <v>5</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40</v>
      </c>
      <c r="I34" s="1878">
        <f>SUM(I11:I32)</f>
        <v>40</v>
      </c>
      <c r="J34" s="1878">
        <f>SUM(J11:J32)</f>
        <v>40</v>
      </c>
      <c r="K34" s="1878">
        <f>SUM(H34:J34)</f>
        <v>120</v>
      </c>
    </row>
    <row r="35" spans="1:11" ht="12" customHeight="1" x14ac:dyDescent="0.2">
      <c r="A35" s="1871" t="s">
        <v>1392</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1391</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0" customWidth="1"/>
    <col min="2" max="2" width="2.5703125" style="1010" customWidth="1"/>
    <col min="3" max="3" width="38.5703125" style="1010" customWidth="1"/>
    <col min="4" max="4" width="6.42578125" style="1010" customWidth="1"/>
    <col min="5" max="10" width="15.5703125" style="1010" customWidth="1"/>
    <col min="11" max="14" width="4.570312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Emmons SD 33</v>
      </c>
      <c r="J6" s="2317"/>
      <c r="Q6" s="1664"/>
    </row>
    <row r="7" spans="1:17" x14ac:dyDescent="0.2">
      <c r="A7" s="2318" t="s">
        <v>869</v>
      </c>
      <c r="B7" s="2319"/>
      <c r="C7" s="2319"/>
      <c r="D7" s="2319"/>
      <c r="E7" s="2320"/>
      <c r="F7" s="1017"/>
      <c r="G7" s="1009"/>
      <c r="H7" s="1016" t="s">
        <v>372</v>
      </c>
      <c r="I7" s="2321">
        <f>COVER!A13</f>
        <v>30049033002</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68457</v>
      </c>
      <c r="F12" s="1039"/>
      <c r="G12" s="1811">
        <f t="shared" ref="G12:G18" si="0">SUM(E12:F12)</f>
        <v>68457</v>
      </c>
      <c r="H12" s="1040">
        <v>56635</v>
      </c>
      <c r="I12" s="1039"/>
      <c r="J12" s="1811">
        <f t="shared" ref="J12:J18" si="1">SUM(H12:I12)</f>
        <v>56635</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143116</v>
      </c>
      <c r="F15" s="1811">
        <f>'Expenditures 15-22'!K122</f>
        <v>0</v>
      </c>
      <c r="G15" s="1811">
        <f t="shared" si="0"/>
        <v>143116</v>
      </c>
      <c r="H15" s="1040">
        <v>148225</v>
      </c>
      <c r="I15" s="1040"/>
      <c r="J15" s="1811">
        <f t="shared" si="1"/>
        <v>148225</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211573</v>
      </c>
      <c r="F19" s="1813">
        <f t="shared" si="2"/>
        <v>0</v>
      </c>
      <c r="G19" s="1813">
        <f t="shared" si="2"/>
        <v>211573</v>
      </c>
      <c r="H19" s="1813">
        <f t="shared" si="2"/>
        <v>204860</v>
      </c>
      <c r="I19" s="1813">
        <f t="shared" si="2"/>
        <v>0</v>
      </c>
      <c r="J19" s="1813">
        <f t="shared" si="2"/>
        <v>204860</v>
      </c>
    </row>
    <row r="20" spans="1:10" ht="13.5" thickTop="1" x14ac:dyDescent="0.2">
      <c r="A20" s="1035">
        <v>9</v>
      </c>
      <c r="B20" s="2328" t="s">
        <v>1980</v>
      </c>
      <c r="C20" s="2328"/>
      <c r="D20" s="2329"/>
      <c r="E20" s="1046"/>
      <c r="F20" s="1046"/>
      <c r="G20" s="1046"/>
      <c r="H20" s="1046"/>
      <c r="I20" s="1046"/>
      <c r="J20" s="1814">
        <f>IF(AND(G19&gt;0,J19&gt;0),(((J19-G19)/G19)),"Enter Budget Data")</f>
        <v>-3.1729001337599788E-2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1982</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Emmons SD 33</v>
      </c>
    </row>
    <row r="65" spans="2:2" x14ac:dyDescent="0.2">
      <c r="B65" s="1070">
        <f>COVER!A13</f>
        <v>30049033002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94" zoomScale="110" zoomScaleNormal="110" workbookViewId="0">
      <selection activeCell="H16" sqref="H16"/>
    </sheetView>
  </sheetViews>
  <sheetFormatPr defaultColWidth="9.140625" defaultRowHeight="12" x14ac:dyDescent="0.2"/>
  <cols>
    <col min="1" max="1" width="2.425781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5703125" style="17" customWidth="1"/>
    <col min="3" max="3" width="107.42578125" style="2" customWidth="1"/>
    <col min="4" max="4" width="1.425781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15" sqref="G15"/>
    </sheetView>
  </sheetViews>
  <sheetFormatPr defaultColWidth="9.140625" defaultRowHeight="12.75" x14ac:dyDescent="0.2"/>
  <cols>
    <col min="1" max="1" width="1.85546875" style="329" customWidth="1"/>
    <col min="2" max="2" width="59.570312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142875</xdr:colOff>
                <xdr:row>1</xdr:row>
                <xdr:rowOff>19050</xdr:rowOff>
              </from>
              <to>
                <xdr:col>1</xdr:col>
                <xdr:colOff>1057275</xdr:colOff>
                <xdr:row>5</xdr:row>
                <xdr:rowOff>57150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1152525</xdr:colOff>
                <xdr:row>1</xdr:row>
                <xdr:rowOff>19050</xdr:rowOff>
              </from>
              <to>
                <xdr:col>1</xdr:col>
                <xdr:colOff>2066925</xdr:colOff>
                <xdr:row>5</xdr:row>
                <xdr:rowOff>66675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6" customWidth="1"/>
    <col min="2" max="6" width="16.570312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1986</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1987</v>
      </c>
      <c r="B4" s="2356"/>
      <c r="C4" s="2356"/>
      <c r="D4" s="2356"/>
      <c r="E4" s="2356"/>
      <c r="F4" s="2357"/>
      <c r="G4" s="1074"/>
      <c r="H4" s="1074"/>
    </row>
    <row r="5" spans="1:8" ht="14.25" customHeight="1" x14ac:dyDescent="0.2">
      <c r="A5" s="2358" t="s">
        <v>1983</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3592744</v>
      </c>
      <c r="C8" s="1815">
        <f>'Acct Summary 7-8'!D8</f>
        <v>568736</v>
      </c>
      <c r="D8" s="1815">
        <f>'Acct Summary 7-8'!F8</f>
        <v>237611</v>
      </c>
      <c r="E8" s="1815">
        <f>'Acct Summary 7-8'!I8</f>
        <v>3405</v>
      </c>
      <c r="F8" s="1815">
        <f>SUM(B8:E8)</f>
        <v>4402496</v>
      </c>
    </row>
    <row r="9" spans="1:8" s="1079" customFormat="1" ht="14.25" customHeight="1" thickBot="1" x14ac:dyDescent="0.25">
      <c r="A9" s="1078" t="s">
        <v>1369</v>
      </c>
      <c r="B9" s="1816">
        <f>'Acct Summary 7-8'!C17</f>
        <v>3484650</v>
      </c>
      <c r="C9" s="1816">
        <f>'Acct Summary 7-8'!D17</f>
        <v>381702</v>
      </c>
      <c r="D9" s="1816">
        <f>'Acct Summary 7-8'!F17</f>
        <v>189531</v>
      </c>
      <c r="E9" s="1815"/>
      <c r="F9" s="1815">
        <f>SUM(B9:E9)</f>
        <v>4055883</v>
      </c>
    </row>
    <row r="10" spans="1:8" s="1079" customFormat="1" ht="14.25" thickTop="1" thickBot="1" x14ac:dyDescent="0.25">
      <c r="A10" s="1080" t="s">
        <v>1370</v>
      </c>
      <c r="B10" s="1817">
        <f>(B8-B9)</f>
        <v>108094</v>
      </c>
      <c r="C10" s="1817">
        <f>(C8-C9)</f>
        <v>187034</v>
      </c>
      <c r="D10" s="1817">
        <f>(D8-D9)</f>
        <v>48080</v>
      </c>
      <c r="E10" s="1816">
        <f>(E8-E9)</f>
        <v>3405</v>
      </c>
      <c r="F10" s="1818">
        <f>SUM(F8-F9)</f>
        <v>346613</v>
      </c>
    </row>
    <row r="11" spans="1:8" s="1079" customFormat="1" ht="14.25" thickTop="1" thickBot="1" x14ac:dyDescent="0.25">
      <c r="A11" s="1081" t="s">
        <v>1984</v>
      </c>
      <c r="B11" s="1819">
        <f>'Acct Summary 7-8'!C81</f>
        <v>2769826</v>
      </c>
      <c r="C11" s="1819">
        <f>'Acct Summary 7-8'!D81</f>
        <v>1159568</v>
      </c>
      <c r="D11" s="1819">
        <f>'Acct Summary 7-8'!F81</f>
        <v>265990</v>
      </c>
      <c r="E11" s="1819">
        <f>'Acct Summary 7-8'!I81</f>
        <v>156707</v>
      </c>
      <c r="F11" s="1820">
        <f>SUM(B11:E11)</f>
        <v>4352091</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2" colorId="8" zoomScale="110" zoomScaleNormal="110" workbookViewId="0">
      <selection activeCell="C55" sqref="C55"/>
    </sheetView>
  </sheetViews>
  <sheetFormatPr defaultColWidth="9.140625" defaultRowHeight="12" x14ac:dyDescent="0.2"/>
  <cols>
    <col min="1" max="1" width="2.5703125" style="1133" customWidth="1"/>
    <col min="2" max="2" width="3.140625" style="1133" customWidth="1"/>
    <col min="3" max="3" width="96.140625" style="1073" customWidth="1"/>
    <col min="4" max="4" width="42.140625" style="242" customWidth="1"/>
    <col min="5" max="5" width="2.570312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570312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30049033002</v>
      </c>
    </row>
    <row r="3" spans="1:2" x14ac:dyDescent="0.2">
      <c r="A3" t="s">
        <v>956</v>
      </c>
      <c r="B3" s="138" t="str">
        <f>COVER!A15</f>
        <v>LAKE</v>
      </c>
    </row>
    <row r="4" spans="1:2" x14ac:dyDescent="0.2">
      <c r="A4" t="s">
        <v>1007</v>
      </c>
      <c r="B4" s="138" t="str">
        <f>COVER!A17</f>
        <v>Emmons SD 33</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066-005340</v>
      </c>
    </row>
    <row r="16" spans="1:2" x14ac:dyDescent="0.2">
      <c r="A16" t="s">
        <v>422</v>
      </c>
      <c r="B16" s="138" t="str">
        <f>COVER!T13</f>
        <v>EVANS, MARSHALL &amp; PEASE, P.C.</v>
      </c>
    </row>
    <row r="17" spans="1:2" x14ac:dyDescent="0.2">
      <c r="A17" t="s">
        <v>884</v>
      </c>
      <c r="B17" s="138" t="str">
        <f>COVER!T15</f>
        <v>CHRISTOPHER M. SCALET, CPA</v>
      </c>
    </row>
    <row r="18" spans="1:2" x14ac:dyDescent="0.2">
      <c r="A18" t="s">
        <v>1150</v>
      </c>
      <c r="B18" s="138" t="str">
        <f>COVER!T17</f>
        <v>1875 HICKS ROAD</v>
      </c>
    </row>
    <row r="19" spans="1:2" x14ac:dyDescent="0.2">
      <c r="A19" t="s">
        <v>886</v>
      </c>
      <c r="B19" s="138" t="str">
        <f>COVER!T25</f>
        <v>CHRIS@EMPCPA.COM</v>
      </c>
    </row>
    <row r="20" spans="1:2" x14ac:dyDescent="0.2">
      <c r="A20" t="s">
        <v>887</v>
      </c>
      <c r="B20" s="138" t="str">
        <f>COVER!T19</f>
        <v>ROLLING MEADOWS</v>
      </c>
    </row>
    <row r="21" spans="1:2" x14ac:dyDescent="0.2">
      <c r="A21" t="s">
        <v>479</v>
      </c>
      <c r="B21" s="138" t="str">
        <f>COVER!X19</f>
        <v>IL</v>
      </c>
    </row>
    <row r="22" spans="1:2" x14ac:dyDescent="0.2">
      <c r="A22" t="s">
        <v>888</v>
      </c>
      <c r="B22" s="138">
        <f>COVER!Z19</f>
        <v>60008</v>
      </c>
    </row>
    <row r="23" spans="1:2" x14ac:dyDescent="0.2">
      <c r="A23" t="s">
        <v>1152</v>
      </c>
      <c r="B23" s="138" t="str">
        <f>COVER!T21</f>
        <v>847-221-5700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33512</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2769826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2769826</v>
      </c>
      <c r="D92" s="2" t="str">
        <f t="shared" si="0"/>
        <v>Error?</v>
      </c>
    </row>
    <row r="93" spans="1:4" x14ac:dyDescent="0.2">
      <c r="A93" s="5">
        <v>32</v>
      </c>
      <c r="B93" s="138">
        <f>'Assets-Liab 5-6'!C41</f>
        <v>2769826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1159568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1159568</v>
      </c>
      <c r="D123" s="2" t="str">
        <f t="shared" si="0"/>
        <v>Error?</v>
      </c>
    </row>
    <row r="124" spans="1:4" x14ac:dyDescent="0.2">
      <c r="A124" s="5">
        <v>63</v>
      </c>
      <c r="B124" s="138">
        <f>'Assets-Liab 5-6'!D41</f>
        <v>1159568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149250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149250</v>
      </c>
      <c r="D140" s="2" t="str">
        <f t="shared" si="1"/>
        <v>Error?</v>
      </c>
    </row>
    <row r="141" spans="1:4" x14ac:dyDescent="0.2">
      <c r="A141" s="5">
        <v>80</v>
      </c>
      <c r="B141" s="138">
        <f>'Assets-Liab 5-6'!E41</f>
        <v>149250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265990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265990</v>
      </c>
      <c r="D170" s="2" t="str">
        <f t="shared" si="1"/>
        <v>Error?</v>
      </c>
    </row>
    <row r="171" spans="1:4" x14ac:dyDescent="0.2">
      <c r="A171" s="5">
        <v>110</v>
      </c>
      <c r="B171" s="138">
        <f>'Assets-Liab 5-6'!F41</f>
        <v>265990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71049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71049</v>
      </c>
      <c r="D189" s="2" t="str">
        <f t="shared" si="1"/>
        <v>Error?</v>
      </c>
    </row>
    <row r="190" spans="1:4" x14ac:dyDescent="0.2">
      <c r="A190" s="5">
        <v>129</v>
      </c>
      <c r="B190" s="138">
        <f>'Assets-Liab 5-6'!G41</f>
        <v>71049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20000</v>
      </c>
      <c r="D273" s="2" t="str">
        <f t="shared" si="3"/>
        <v>Error?</v>
      </c>
    </row>
    <row r="274" spans="1:4" x14ac:dyDescent="0.2">
      <c r="A274" s="5">
        <v>213</v>
      </c>
      <c r="B274" s="138">
        <f>'Assets-Liab 5-6'!M17</f>
        <v>11067553</v>
      </c>
      <c r="D274" s="2" t="str">
        <f t="shared" si="3"/>
        <v>Error?</v>
      </c>
    </row>
    <row r="275" spans="1:4" x14ac:dyDescent="0.2">
      <c r="A275" s="5">
        <v>214</v>
      </c>
      <c r="B275" s="138">
        <f>'Assets-Liab 5-6'!M18</f>
        <v>278576</v>
      </c>
      <c r="D275" s="2" t="str">
        <f t="shared" si="3"/>
        <v>Error?</v>
      </c>
    </row>
    <row r="276" spans="1:4" x14ac:dyDescent="0.2">
      <c r="A276" s="5">
        <v>215</v>
      </c>
      <c r="B276" s="138">
        <f>'Assets-Liab 5-6'!M19</f>
        <v>1159487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12525616</v>
      </c>
      <c r="C279" s="2" t="s">
        <v>573</v>
      </c>
      <c r="D279" s="2" t="str">
        <f t="shared" si="3"/>
        <v>Error?</v>
      </c>
    </row>
    <row r="280" spans="1:4" x14ac:dyDescent="0.2">
      <c r="A280" s="5">
        <v>219</v>
      </c>
      <c r="B280" s="138">
        <f>'Assets-Liab 5-6'!M40</f>
        <v>12525616</v>
      </c>
      <c r="D280" s="2" t="str">
        <f t="shared" si="3"/>
        <v>Error?</v>
      </c>
    </row>
    <row r="281" spans="1:4" x14ac:dyDescent="0.2">
      <c r="A281" s="5">
        <v>220</v>
      </c>
      <c r="B281" s="138">
        <f>'Assets-Liab 5-6'!M41</f>
        <v>12525616</v>
      </c>
      <c r="C281" s="2" t="s">
        <v>573</v>
      </c>
      <c r="D281" s="2" t="str">
        <f t="shared" si="3"/>
        <v>Error?</v>
      </c>
    </row>
    <row r="282" spans="1:4" x14ac:dyDescent="0.2">
      <c r="A282" s="5">
        <v>221</v>
      </c>
      <c r="B282" s="138">
        <f>'Assets-Liab 5-6'!N21</f>
        <v>149250</v>
      </c>
      <c r="D282" s="2" t="str">
        <f t="shared" si="3"/>
        <v>Error?</v>
      </c>
    </row>
    <row r="283" spans="1:4" x14ac:dyDescent="0.2">
      <c r="A283" s="5">
        <v>222</v>
      </c>
      <c r="B283" s="138">
        <f>'Assets-Liab 5-6'!N22</f>
        <v>6209893</v>
      </c>
      <c r="D283" s="2" t="str">
        <f t="shared" si="3"/>
        <v>Error?</v>
      </c>
    </row>
    <row r="284" spans="1:4" x14ac:dyDescent="0.2">
      <c r="A284" s="5">
        <v>223</v>
      </c>
      <c r="B284" s="138">
        <f>'Assets-Liab 5-6'!N23</f>
        <v>6359143</v>
      </c>
      <c r="C284" s="2" t="s">
        <v>573</v>
      </c>
      <c r="D284" s="2" t="str">
        <f t="shared" si="3"/>
        <v>Error?</v>
      </c>
    </row>
    <row r="285" spans="1:4" x14ac:dyDescent="0.2">
      <c r="A285" s="5">
        <v>224</v>
      </c>
      <c r="B285" s="138">
        <f>'Assets-Liab 5-6'!N36</f>
        <v>6359143</v>
      </c>
      <c r="D285" s="2" t="str">
        <f t="shared" si="3"/>
        <v>Error?</v>
      </c>
    </row>
    <row r="286" spans="1:4" x14ac:dyDescent="0.2">
      <c r="A286" s="10">
        <v>225</v>
      </c>
      <c r="D286" s="2" t="str">
        <f t="shared" si="3"/>
        <v>OK</v>
      </c>
    </row>
    <row r="287" spans="1:4" x14ac:dyDescent="0.2">
      <c r="A287" s="5">
        <v>226</v>
      </c>
      <c r="B287" s="138">
        <f>'Assets-Liab 5-6'!N37</f>
        <v>6359143</v>
      </c>
      <c r="C287" s="2" t="s">
        <v>573</v>
      </c>
      <c r="D287" s="2" t="str">
        <f t="shared" si="3"/>
        <v>Error?</v>
      </c>
    </row>
    <row r="288" spans="1:4" x14ac:dyDescent="0.2">
      <c r="A288" s="5">
        <v>227</v>
      </c>
      <c r="B288" s="138">
        <f>'Assets-Liab 5-6'!N41</f>
        <v>6359143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1455344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8445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31480</v>
      </c>
      <c r="D718" s="2" t="str">
        <f t="shared" si="10"/>
        <v>Error?</v>
      </c>
    </row>
    <row r="719" spans="1:4" x14ac:dyDescent="0.2">
      <c r="A719" s="5">
        <v>658</v>
      </c>
      <c r="B719" s="138">
        <f>'Expenditures 15-22'!C15</f>
        <v>2214</v>
      </c>
      <c r="D719" s="2" t="str">
        <f t="shared" si="10"/>
        <v>Error?</v>
      </c>
    </row>
    <row r="720" spans="1:4" x14ac:dyDescent="0.2">
      <c r="A720" s="5">
        <v>659</v>
      </c>
      <c r="B720" s="138">
        <f>'Expenditures 15-22'!C33</f>
        <v>1800494</v>
      </c>
      <c r="C720" s="2" t="s">
        <v>573</v>
      </c>
      <c r="D720" s="2" t="str">
        <f t="shared" si="10"/>
        <v>Error?</v>
      </c>
    </row>
    <row r="721" spans="1:4" x14ac:dyDescent="0.2">
      <c r="A721" s="5">
        <v>660</v>
      </c>
      <c r="B721" s="138">
        <f>'Expenditures 15-22'!C36</f>
        <v>34456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35717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70173</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17447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17447</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51052</v>
      </c>
      <c r="D733" s="2" t="str">
        <f t="shared" si="10"/>
        <v>Error?</v>
      </c>
    </row>
    <row r="734" spans="1:4" x14ac:dyDescent="0.2">
      <c r="A734" s="5">
        <v>673</v>
      </c>
      <c r="B734" s="138">
        <f>'Expenditures 15-22'!C53</f>
        <v>51052</v>
      </c>
      <c r="C734" s="2" t="s">
        <v>573</v>
      </c>
      <c r="D734" s="2" t="str">
        <f t="shared" si="10"/>
        <v>Error?</v>
      </c>
    </row>
    <row r="735" spans="1:4" x14ac:dyDescent="0.2">
      <c r="A735" s="5">
        <v>674</v>
      </c>
      <c r="B735" s="138">
        <f>'Expenditures 15-22'!C55</f>
        <v>350911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350911</v>
      </c>
      <c r="C737" s="2" t="s">
        <v>573</v>
      </c>
      <c r="D737" s="2" t="str">
        <f t="shared" si="10"/>
        <v>Error?</v>
      </c>
    </row>
    <row r="738" spans="1:4" x14ac:dyDescent="0.2">
      <c r="A738" s="5">
        <v>677</v>
      </c>
      <c r="B738" s="138">
        <f>'Expenditures 15-22'!C59</f>
        <v>126805</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126805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616388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2416882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305565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156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740</v>
      </c>
      <c r="D776" s="2" t="str">
        <f t="shared" si="11"/>
        <v>Error?</v>
      </c>
    </row>
    <row r="777" spans="1:4" x14ac:dyDescent="0.2">
      <c r="A777" s="5">
        <v>716</v>
      </c>
      <c r="B777" s="138">
        <f>'Expenditures 15-22'!D15</f>
        <v>74</v>
      </c>
      <c r="D777" s="2" t="str">
        <f t="shared" si="11"/>
        <v>Error?</v>
      </c>
    </row>
    <row r="778" spans="1:4" x14ac:dyDescent="0.2">
      <c r="A778" s="5">
        <v>717</v>
      </c>
      <c r="B778" s="138">
        <f>'Expenditures 15-22'!D33</f>
        <v>325512</v>
      </c>
      <c r="C778" s="2" t="s">
        <v>573</v>
      </c>
      <c r="D778" s="2" t="str">
        <f t="shared" si="11"/>
        <v>Error?</v>
      </c>
    </row>
    <row r="779" spans="1:4" x14ac:dyDescent="0.2">
      <c r="A779" s="5">
        <v>718</v>
      </c>
      <c r="B779" s="138">
        <f>'Expenditures 15-22'!D36</f>
        <v>144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10508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10652</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9423</v>
      </c>
      <c r="D791" s="2" t="str">
        <f t="shared" si="11"/>
        <v>Error?</v>
      </c>
    </row>
    <row r="792" spans="1:4" x14ac:dyDescent="0.2">
      <c r="A792" s="5">
        <v>731</v>
      </c>
      <c r="B792" s="138">
        <f>'Expenditures 15-22'!D53</f>
        <v>9423</v>
      </c>
      <c r="C792" s="2" t="s">
        <v>573</v>
      </c>
      <c r="D792" s="2" t="str">
        <f t="shared" si="11"/>
        <v>Error?</v>
      </c>
    </row>
    <row r="793" spans="1:4" x14ac:dyDescent="0.2">
      <c r="A793" s="5">
        <v>732</v>
      </c>
      <c r="B793" s="138">
        <f>'Expenditures 15-22'!D55</f>
        <v>53689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53689</v>
      </c>
      <c r="C795" s="2" t="s">
        <v>573</v>
      </c>
      <c r="D795" s="2" t="str">
        <f t="shared" si="11"/>
        <v>Error?</v>
      </c>
    </row>
    <row r="796" spans="1:4" x14ac:dyDescent="0.2">
      <c r="A796" s="5">
        <v>735</v>
      </c>
      <c r="B796" s="138">
        <f>'Expenditures 15-22'!D59</f>
        <v>16311</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16311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90075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415587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113333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4266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118702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1204</v>
      </c>
      <c r="D839" s="2" t="str">
        <f t="shared" si="12"/>
        <v>Error?</v>
      </c>
    </row>
    <row r="840" spans="1:4" x14ac:dyDescent="0.2">
      <c r="A840" s="5">
        <v>779</v>
      </c>
      <c r="B840" s="138">
        <f>'Expenditures 15-22'!E39</f>
        <v>40517</v>
      </c>
      <c r="D840" s="2" t="str">
        <f t="shared" si="12"/>
        <v>Error?</v>
      </c>
    </row>
    <row r="841" spans="1:4" x14ac:dyDescent="0.2">
      <c r="A841" s="5">
        <v>780</v>
      </c>
      <c r="B841" s="138">
        <f>'Expenditures 15-22'!E40</f>
        <v>39584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81305</v>
      </c>
      <c r="C843" s="2" t="s">
        <v>573</v>
      </c>
      <c r="D843" s="2" t="str">
        <f t="shared" si="12"/>
        <v>Error?</v>
      </c>
    </row>
    <row r="844" spans="1:4" x14ac:dyDescent="0.2">
      <c r="A844" s="5">
        <v>783</v>
      </c>
      <c r="B844" s="138">
        <f>'Expenditures 15-22'!E44</f>
        <v>13631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13631</v>
      </c>
      <c r="C847" s="2" t="s">
        <v>573</v>
      </c>
      <c r="D847" s="2" t="str">
        <f t="shared" si="12"/>
        <v>Error?</v>
      </c>
    </row>
    <row r="848" spans="1:4" x14ac:dyDescent="0.2">
      <c r="A848" s="5">
        <v>787</v>
      </c>
      <c r="B848" s="138">
        <f>'Expenditures 15-22'!E49</f>
        <v>46333</v>
      </c>
      <c r="D848" s="2" t="str">
        <f t="shared" si="12"/>
        <v>Error?</v>
      </c>
    </row>
    <row r="849" spans="1:4" x14ac:dyDescent="0.2">
      <c r="A849" s="5">
        <v>788</v>
      </c>
      <c r="B849" s="138">
        <f>'Expenditures 15-22'!E50</f>
        <v>2086</v>
      </c>
      <c r="D849" s="2" t="str">
        <f t="shared" si="12"/>
        <v>Error?</v>
      </c>
    </row>
    <row r="850" spans="1:4" x14ac:dyDescent="0.2">
      <c r="A850" s="5">
        <v>789</v>
      </c>
      <c r="B850" s="138">
        <f>'Expenditures 15-22'!E53</f>
        <v>48419</v>
      </c>
      <c r="C850" s="2" t="s">
        <v>573</v>
      </c>
      <c r="D850" s="2" t="str">
        <f t="shared" si="12"/>
        <v>Error?</v>
      </c>
    </row>
    <row r="851" spans="1:4" x14ac:dyDescent="0.2">
      <c r="A851" s="5">
        <v>790</v>
      </c>
      <c r="B851" s="138">
        <f>'Expenditures 15-22'!E55</f>
        <v>2482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2482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1352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310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1662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147499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308745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112512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14730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133363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842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182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1024</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6697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6697</v>
      </c>
      <c r="C905" s="2" t="s">
        <v>573</v>
      </c>
      <c r="D905" s="2" t="str">
        <f t="shared" si="13"/>
        <v>Error?</v>
      </c>
    </row>
    <row r="906" spans="1:4" x14ac:dyDescent="0.2">
      <c r="A906" s="5">
        <v>845</v>
      </c>
      <c r="B906" s="138">
        <f>'Expenditures 15-22'!F49</f>
        <v>2892</v>
      </c>
      <c r="D906" s="2" t="str">
        <f t="shared" si="13"/>
        <v>Error?</v>
      </c>
    </row>
    <row r="907" spans="1:4" x14ac:dyDescent="0.2">
      <c r="A907" s="5">
        <v>846</v>
      </c>
      <c r="B907" s="138">
        <f>'Expenditures 15-22'!F50</f>
        <v>4975</v>
      </c>
      <c r="D907" s="2" t="str">
        <f t="shared" si="13"/>
        <v>Error?</v>
      </c>
    </row>
    <row r="908" spans="1:4" x14ac:dyDescent="0.2">
      <c r="A908" s="5">
        <v>847</v>
      </c>
      <c r="B908" s="138">
        <f>'Expenditures 15-22'!F53</f>
        <v>7867</v>
      </c>
      <c r="C908" s="2" t="s">
        <v>573</v>
      </c>
      <c r="D908" s="2" t="str">
        <f t="shared" si="13"/>
        <v>Error?</v>
      </c>
    </row>
    <row r="909" spans="1:4" x14ac:dyDescent="0.2">
      <c r="A909" s="5">
        <v>848</v>
      </c>
      <c r="B909" s="138">
        <f>'Expenditures 15-22'!F55</f>
        <v>2345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2345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28314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28314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46247</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179610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42679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42679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42679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4500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4500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101834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106334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2043325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8601</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55716</v>
      </c>
      <c r="C1106" s="2" t="s">
        <v>573</v>
      </c>
      <c r="D1106" s="2" t="str">
        <f t="shared" si="16"/>
        <v>Error?</v>
      </c>
    </row>
    <row r="1107" spans="1:4" x14ac:dyDescent="0.2">
      <c r="A1107" s="5">
        <v>1046</v>
      </c>
      <c r="B1107" s="138">
        <f>'Expenditures 15-22'!K15</f>
        <v>2288</v>
      </c>
      <c r="C1107" s="2" t="s">
        <v>573</v>
      </c>
      <c r="D1107" s="2" t="str">
        <f t="shared" si="16"/>
        <v>Error?</v>
      </c>
    </row>
    <row r="1108" spans="1:4" x14ac:dyDescent="0.2">
      <c r="A1108" s="5">
        <v>1047</v>
      </c>
      <c r="B1108" s="138">
        <f>'Expenditures 15-22'!K33</f>
        <v>2439142</v>
      </c>
      <c r="C1108" s="2" t="s">
        <v>573</v>
      </c>
      <c r="D1108" s="2" t="str">
        <f t="shared" si="16"/>
        <v>Error?</v>
      </c>
    </row>
    <row r="1109" spans="1:4" x14ac:dyDescent="0.2">
      <c r="A1109" s="5">
        <v>1048</v>
      </c>
      <c r="B1109" s="138">
        <f>'Expenditures 15-22'!K36</f>
        <v>34600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48271</v>
      </c>
      <c r="C1111" s="2" t="s">
        <v>573</v>
      </c>
      <c r="D1111" s="2" t="str">
        <f t="shared" si="16"/>
        <v>Error?</v>
      </c>
    </row>
    <row r="1112" spans="1:4" x14ac:dyDescent="0.2">
      <c r="A1112" s="5">
        <v>1051</v>
      </c>
      <c r="B1112" s="138">
        <f>'Expenditures 15-22'!K39</f>
        <v>40517</v>
      </c>
      <c r="C1112" s="2" t="s">
        <v>573</v>
      </c>
      <c r="D1112" s="2" t="str">
        <f t="shared" si="16"/>
        <v>Error?</v>
      </c>
    </row>
    <row r="1113" spans="1:4" x14ac:dyDescent="0.2">
      <c r="A1113" s="5">
        <v>1052</v>
      </c>
      <c r="B1113" s="138">
        <f>'Expenditures 15-22'!K40</f>
        <v>39766</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163154</v>
      </c>
      <c r="C1115" s="2" t="s">
        <v>573</v>
      </c>
      <c r="D1115" s="2" t="str">
        <f t="shared" si="16"/>
        <v>Error?</v>
      </c>
    </row>
    <row r="1116" spans="1:4" x14ac:dyDescent="0.2">
      <c r="A1116" s="5">
        <v>1055</v>
      </c>
      <c r="B1116" s="138">
        <f>'Expenditures 15-22'!K44</f>
        <v>13631</v>
      </c>
      <c r="C1116" s="2" t="s">
        <v>573</v>
      </c>
      <c r="D1116" s="2" t="str">
        <f t="shared" si="16"/>
        <v>Error?</v>
      </c>
    </row>
    <row r="1117" spans="1:4" x14ac:dyDescent="0.2">
      <c r="A1117" s="5">
        <v>1056</v>
      </c>
      <c r="B1117" s="138">
        <f>'Expenditures 15-22'!K45</f>
        <v>24144</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37775</v>
      </c>
      <c r="C1119" s="2" t="s">
        <v>573</v>
      </c>
      <c r="D1119" s="2" t="str">
        <f t="shared" si="16"/>
        <v>Error?</v>
      </c>
    </row>
    <row r="1120" spans="1:4" x14ac:dyDescent="0.2">
      <c r="A1120" s="5">
        <v>1059</v>
      </c>
      <c r="B1120" s="138">
        <f>'Expenditures 15-22'!K49</f>
        <v>49225</v>
      </c>
      <c r="C1120" s="2" t="s">
        <v>573</v>
      </c>
      <c r="D1120" s="2" t="str">
        <f t="shared" si="16"/>
        <v>Error?</v>
      </c>
    </row>
    <row r="1121" spans="1:4" x14ac:dyDescent="0.2">
      <c r="A1121" s="5">
        <v>1060</v>
      </c>
      <c r="B1121" s="138">
        <f>'Expenditures 15-22'!K50</f>
        <v>68457</v>
      </c>
      <c r="C1121" s="2" t="s">
        <v>573</v>
      </c>
      <c r="D1121" s="2" t="str">
        <f t="shared" si="16"/>
        <v>Error?</v>
      </c>
    </row>
    <row r="1122" spans="1:4" x14ac:dyDescent="0.2">
      <c r="A1122" s="5">
        <v>1061</v>
      </c>
      <c r="B1122" s="138">
        <f>'Expenditures 15-22'!K53</f>
        <v>117682</v>
      </c>
      <c r="C1122" s="2" t="s">
        <v>573</v>
      </c>
      <c r="D1122" s="2" t="str">
        <f t="shared" si="16"/>
        <v>Error?</v>
      </c>
    </row>
    <row r="1123" spans="1:4" x14ac:dyDescent="0.2">
      <c r="A1123" s="5">
        <v>1062</v>
      </c>
      <c r="B1123" s="138">
        <f>'Expenditures 15-22'!K55</f>
        <v>409427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409427</v>
      </c>
      <c r="C1125" s="2" t="s">
        <v>573</v>
      </c>
      <c r="D1125" s="2" t="str">
        <f t="shared" si="16"/>
        <v>Error?</v>
      </c>
    </row>
    <row r="1126" spans="1:4" x14ac:dyDescent="0.2">
      <c r="A1126" s="5">
        <v>1065</v>
      </c>
      <c r="B1126" s="138">
        <f>'Expenditures 15-22'!K59</f>
        <v>143116</v>
      </c>
      <c r="C1126" s="2" t="s">
        <v>573</v>
      </c>
      <c r="D1126" s="2" t="str">
        <f t="shared" si="16"/>
        <v>Error?</v>
      </c>
    </row>
    <row r="1127" spans="1:4" x14ac:dyDescent="0.2">
      <c r="A1127" s="5">
        <v>1066</v>
      </c>
      <c r="B1127" s="138">
        <f>'Expenditures 15-22'!K60</f>
        <v>1352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28624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173092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901130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144378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3484650</v>
      </c>
      <c r="C1152" s="2" t="s">
        <v>573</v>
      </c>
      <c r="D1152" s="2" t="str">
        <f t="shared" si="17"/>
        <v>Error?</v>
      </c>
    </row>
    <row r="1153" spans="1:4" x14ac:dyDescent="0.2">
      <c r="A1153" s="5">
        <v>1092</v>
      </c>
      <c r="B1153" s="138">
        <f>'Expenditures 15-22'!K115</f>
        <v>108094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102880</v>
      </c>
      <c r="D1221" s="2" t="str">
        <f t="shared" si="18"/>
        <v>Error?</v>
      </c>
    </row>
    <row r="1222" spans="1:4" x14ac:dyDescent="0.2">
      <c r="A1222" s="10">
        <v>1161</v>
      </c>
      <c r="D1222" s="2" t="str">
        <f t="shared" si="18"/>
        <v>OK</v>
      </c>
    </row>
    <row r="1223" spans="1:4" x14ac:dyDescent="0.2">
      <c r="A1223" s="5">
        <v>1162</v>
      </c>
      <c r="B1223" s="138">
        <f>'Expenditures 15-22'!C127</f>
        <v>102880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102880</v>
      </c>
      <c r="C1225" s="2" t="s">
        <v>573</v>
      </c>
      <c r="D1225" s="2" t="str">
        <f t="shared" si="18"/>
        <v>Error?</v>
      </c>
    </row>
    <row r="1226" spans="1:4" x14ac:dyDescent="0.2">
      <c r="A1226" s="5">
        <v>1165</v>
      </c>
      <c r="B1226" s="138">
        <f>'Expenditures 15-22'!C151</f>
        <v>102880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19839</v>
      </c>
      <c r="D1229" s="2" t="str">
        <f t="shared" si="18"/>
        <v>Error?</v>
      </c>
    </row>
    <row r="1230" spans="1:4" x14ac:dyDescent="0.2">
      <c r="A1230" s="10">
        <v>1169</v>
      </c>
      <c r="D1230" s="2" t="str">
        <f t="shared" si="18"/>
        <v>OK</v>
      </c>
    </row>
    <row r="1231" spans="1:4" x14ac:dyDescent="0.2">
      <c r="A1231" s="5">
        <v>1170</v>
      </c>
      <c r="B1231" s="138">
        <f>'Expenditures 15-22'!D127</f>
        <v>19839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19839</v>
      </c>
      <c r="C1233" s="2" t="s">
        <v>573</v>
      </c>
      <c r="D1233" s="2" t="str">
        <f t="shared" si="18"/>
        <v>Error?</v>
      </c>
    </row>
    <row r="1234" spans="1:4" x14ac:dyDescent="0.2">
      <c r="A1234" s="5">
        <v>1173</v>
      </c>
      <c r="B1234" s="138">
        <f>'Expenditures 15-22'!D151</f>
        <v>19839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157278</v>
      </c>
      <c r="D1237" s="2" t="str">
        <f t="shared" si="18"/>
        <v>Error?</v>
      </c>
    </row>
    <row r="1238" spans="1:4" x14ac:dyDescent="0.2">
      <c r="A1238" s="10">
        <v>1177</v>
      </c>
      <c r="D1238" s="2" t="str">
        <f t="shared" si="18"/>
        <v>OK</v>
      </c>
    </row>
    <row r="1239" spans="1:4" x14ac:dyDescent="0.2">
      <c r="A1239" s="5">
        <v>1178</v>
      </c>
      <c r="B1239" s="138">
        <f>'Expenditures 15-22'!E127</f>
        <v>157278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157278</v>
      </c>
      <c r="C1241" s="2" t="s">
        <v>573</v>
      </c>
      <c r="D1241" s="2" t="str">
        <f t="shared" si="18"/>
        <v>Error?</v>
      </c>
    </row>
    <row r="1242" spans="1:4" x14ac:dyDescent="0.2">
      <c r="A1242" s="5">
        <v>1181</v>
      </c>
      <c r="B1242" s="138">
        <f>'Expenditures 15-22'!E151</f>
        <v>157278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94529</v>
      </c>
      <c r="D1245" s="2" t="str">
        <f t="shared" si="18"/>
        <v>Error?</v>
      </c>
    </row>
    <row r="1246" spans="1:4" x14ac:dyDescent="0.2">
      <c r="A1246" s="10">
        <v>1185</v>
      </c>
      <c r="D1246" s="2" t="str">
        <f t="shared" si="18"/>
        <v>OK</v>
      </c>
    </row>
    <row r="1247" spans="1:4" x14ac:dyDescent="0.2">
      <c r="A1247" s="5">
        <v>1186</v>
      </c>
      <c r="B1247" s="138">
        <f>'Expenditures 15-22'!F127</f>
        <v>94529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94529</v>
      </c>
      <c r="C1249" s="2" t="s">
        <v>573</v>
      </c>
      <c r="D1249" s="2" t="str">
        <f t="shared" si="18"/>
        <v>Error?</v>
      </c>
    </row>
    <row r="1250" spans="1:4" x14ac:dyDescent="0.2">
      <c r="A1250" s="5">
        <v>1189</v>
      </c>
      <c r="B1250" s="138">
        <f>'Expenditures 15-22'!F151</f>
        <v>94529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4450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4450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4450</v>
      </c>
      <c r="C1258" s="2" t="s">
        <v>573</v>
      </c>
      <c r="D1258" s="2" t="str">
        <f t="shared" si="18"/>
        <v>Error?</v>
      </c>
    </row>
    <row r="1259" spans="1:4" x14ac:dyDescent="0.2">
      <c r="A1259" s="5">
        <v>1198</v>
      </c>
      <c r="B1259" s="138">
        <f>'Expenditures 15-22'!G151</f>
        <v>4450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381702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381702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381702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381702</v>
      </c>
      <c r="C1288" s="2" t="s">
        <v>573</v>
      </c>
      <c r="D1288" s="2" t="str">
        <f t="shared" si="19"/>
        <v>Error?</v>
      </c>
    </row>
    <row r="1289" spans="1:4" x14ac:dyDescent="0.2">
      <c r="A1289" s="5">
        <v>1228</v>
      </c>
      <c r="B1289" s="138">
        <f>'Expenditures 15-22'!K152</f>
        <v>187034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380903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110167</v>
      </c>
      <c r="D1315" s="2" t="str">
        <f t="shared" si="19"/>
        <v>Error?</v>
      </c>
    </row>
    <row r="1316" spans="1:4" x14ac:dyDescent="0.2">
      <c r="A1316" s="5">
        <v>1255</v>
      </c>
      <c r="B1316" s="138">
        <f>'Expenditures 15-22'!H171</f>
        <v>1875</v>
      </c>
      <c r="D1316" s="2" t="str">
        <f t="shared" si="19"/>
        <v>Error?</v>
      </c>
    </row>
    <row r="1317" spans="1:4" x14ac:dyDescent="0.2">
      <c r="A1317" s="5">
        <v>1256</v>
      </c>
      <c r="B1317" s="138">
        <f>'Expenditures 15-22'!H172</f>
        <v>492945</v>
      </c>
      <c r="C1317" s="2" t="s">
        <v>573</v>
      </c>
      <c r="D1317" s="2" t="str">
        <f t="shared" si="19"/>
        <v>Error?</v>
      </c>
    </row>
    <row r="1318" spans="1:4" x14ac:dyDescent="0.2">
      <c r="A1318" s="5">
        <v>1257</v>
      </c>
      <c r="B1318" s="138">
        <f>'Expenditures 15-22'!H174</f>
        <v>492945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380903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110167</v>
      </c>
      <c r="C1329" s="2" t="s">
        <v>573</v>
      </c>
      <c r="D1329" s="2" t="str">
        <f t="shared" si="19"/>
        <v>Error?</v>
      </c>
    </row>
    <row r="1330" spans="1:4" x14ac:dyDescent="0.2">
      <c r="A1330" s="5">
        <v>1269</v>
      </c>
      <c r="B1330" s="138">
        <f>'Expenditures 15-22'!K171</f>
        <v>1875</v>
      </c>
      <c r="C1330" s="2" t="s">
        <v>573</v>
      </c>
      <c r="D1330" s="2" t="str">
        <f t="shared" si="19"/>
        <v>Error?</v>
      </c>
    </row>
    <row r="1331" spans="1:4" x14ac:dyDescent="0.2">
      <c r="A1331" s="5">
        <v>1270</v>
      </c>
      <c r="B1331" s="138">
        <f>'Expenditures 15-22'!K172</f>
        <v>492945</v>
      </c>
      <c r="C1331" s="2" t="s">
        <v>573</v>
      </c>
      <c r="D1331" s="2" t="str">
        <f t="shared" si="19"/>
        <v>Error?</v>
      </c>
    </row>
    <row r="1332" spans="1:4" x14ac:dyDescent="0.2">
      <c r="A1332" s="5">
        <v>1271</v>
      </c>
      <c r="B1332" s="138">
        <f>'Expenditures 15-22'!K174</f>
        <v>492945</v>
      </c>
      <c r="C1332" s="2" t="s">
        <v>573</v>
      </c>
      <c r="D1332" s="2" t="str">
        <f t="shared" si="19"/>
        <v>Error?</v>
      </c>
    </row>
    <row r="1333" spans="1:4" x14ac:dyDescent="0.2">
      <c r="A1333" s="5">
        <v>1272</v>
      </c>
      <c r="B1333" s="138">
        <f>'Expenditures 15-22'!K175</f>
        <v>-20939</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180509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180509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180509</v>
      </c>
      <c r="C1353" s="2" t="s">
        <v>573</v>
      </c>
      <c r="D1353" s="2" t="str">
        <f t="shared" si="20"/>
        <v>Error?</v>
      </c>
    </row>
    <row r="1354" spans="1:4" x14ac:dyDescent="0.2">
      <c r="A1354" s="5">
        <v>1293</v>
      </c>
      <c r="B1354" s="138">
        <f>'Expenditures 15-22'!F182</f>
        <v>9022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9022</v>
      </c>
      <c r="C1358" s="2" t="s">
        <v>573</v>
      </c>
      <c r="D1358" s="2" t="str">
        <f t="shared" si="20"/>
        <v>Error?</v>
      </c>
    </row>
    <row r="1359" spans="1:4" x14ac:dyDescent="0.2">
      <c r="A1359" s="5">
        <v>1298</v>
      </c>
      <c r="B1359" s="138">
        <f>'Expenditures 15-22'!F210</f>
        <v>9022</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189531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189531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189531</v>
      </c>
      <c r="C1388" s="2" t="s">
        <v>573</v>
      </c>
      <c r="D1388" s="2" t="str">
        <f t="shared" si="20"/>
        <v>Error?</v>
      </c>
    </row>
    <row r="1389" spans="1:4" x14ac:dyDescent="0.2">
      <c r="A1389" s="5">
        <v>1328</v>
      </c>
      <c r="B1389" s="138">
        <f>'Expenditures 15-22'!K211</f>
        <v>48080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85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1157</v>
      </c>
      <c r="D1408" s="2" t="str">
        <f t="shared" si="21"/>
        <v>Error?</v>
      </c>
    </row>
    <row r="1409" spans="1:4" x14ac:dyDescent="0.2">
      <c r="A1409" s="5">
        <v>1348</v>
      </c>
      <c r="B1409" s="138">
        <f>'Expenditures 15-22'!D224</f>
        <v>63</v>
      </c>
      <c r="D1409" s="2" t="str">
        <f t="shared" si="21"/>
        <v>Error?</v>
      </c>
    </row>
    <row r="1410" spans="1:4" x14ac:dyDescent="0.2">
      <c r="A1410" s="5">
        <v>1349</v>
      </c>
      <c r="B1410" s="138">
        <f>'Expenditures 15-22'!D229</f>
        <v>45663</v>
      </c>
      <c r="C1410" s="2" t="s">
        <v>573</v>
      </c>
      <c r="D1410" s="2" t="str">
        <f t="shared" si="21"/>
        <v>Error?</v>
      </c>
    </row>
    <row r="1411" spans="1:4" x14ac:dyDescent="0.2">
      <c r="A1411" s="5">
        <v>1350</v>
      </c>
      <c r="B1411" s="138">
        <f>'Expenditures 15-22'!D232</f>
        <v>499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6229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6728</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2822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2822</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637</v>
      </c>
      <c r="D1423" s="2" t="str">
        <f t="shared" si="21"/>
        <v>Error?</v>
      </c>
    </row>
    <row r="1424" spans="1:4" x14ac:dyDescent="0.2">
      <c r="A1424" s="5">
        <v>1363</v>
      </c>
      <c r="B1424" s="138">
        <f>'Expenditures 15-22'!D257</f>
        <v>637</v>
      </c>
      <c r="C1424" s="2" t="s">
        <v>573</v>
      </c>
      <c r="D1424" s="2" t="str">
        <f t="shared" si="21"/>
        <v>Error?</v>
      </c>
    </row>
    <row r="1425" spans="1:4" x14ac:dyDescent="0.2">
      <c r="A1425" s="5">
        <v>1364</v>
      </c>
      <c r="B1425" s="138">
        <f>'Expenditures 15-22'!D259</f>
        <v>21340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21340</v>
      </c>
      <c r="C1427" s="2" t="s">
        <v>573</v>
      </c>
      <c r="D1427" s="2" t="str">
        <f t="shared" si="21"/>
        <v>Error?</v>
      </c>
    </row>
    <row r="1428" spans="1:4" x14ac:dyDescent="0.2">
      <c r="A1428" s="5">
        <v>1367</v>
      </c>
      <c r="B1428" s="138">
        <f>'Expenditures 15-22'!D263</f>
        <v>23104</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17892</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40996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72523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125877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85</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1157</v>
      </c>
      <c r="C1472" s="2" t="s">
        <v>573</v>
      </c>
      <c r="D1472" s="2" t="str">
        <f t="shared" si="22"/>
        <v>Error?</v>
      </c>
    </row>
    <row r="1473" spans="1:4" x14ac:dyDescent="0.2">
      <c r="A1473" s="5">
        <v>1412</v>
      </c>
      <c r="B1473" s="138">
        <f>'Expenditures 15-22'!K224</f>
        <v>63</v>
      </c>
      <c r="C1473" s="2" t="s">
        <v>573</v>
      </c>
      <c r="D1473" s="2" t="str">
        <f t="shared" si="22"/>
        <v>Error?</v>
      </c>
    </row>
    <row r="1474" spans="1:4" x14ac:dyDescent="0.2">
      <c r="A1474" s="5">
        <v>1413</v>
      </c>
      <c r="B1474" s="138">
        <f>'Expenditures 15-22'!K229</f>
        <v>45663</v>
      </c>
      <c r="C1474" s="2" t="s">
        <v>573</v>
      </c>
      <c r="D1474" s="2" t="str">
        <f t="shared" si="22"/>
        <v>Error?</v>
      </c>
    </row>
    <row r="1475" spans="1:4" x14ac:dyDescent="0.2">
      <c r="A1475" s="5">
        <v>1414</v>
      </c>
      <c r="B1475" s="138">
        <f>'Expenditures 15-22'!K232</f>
        <v>499</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6229</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6728</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2822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2822</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637</v>
      </c>
      <c r="C1487" s="2" t="s">
        <v>573</v>
      </c>
      <c r="D1487" s="2" t="str">
        <f t="shared" si="22"/>
        <v>Error?</v>
      </c>
    </row>
    <row r="1488" spans="1:4" x14ac:dyDescent="0.2">
      <c r="A1488" s="5">
        <v>1427</v>
      </c>
      <c r="B1488" s="138">
        <f>'Expenditures 15-22'!K257</f>
        <v>637</v>
      </c>
      <c r="C1488" s="2" t="s">
        <v>573</v>
      </c>
      <c r="D1488" s="2" t="str">
        <f t="shared" si="22"/>
        <v>Error?</v>
      </c>
    </row>
    <row r="1489" spans="1:4" x14ac:dyDescent="0.2">
      <c r="A1489" s="5">
        <v>1428</v>
      </c>
      <c r="B1489" s="138">
        <f>'Expenditures 15-22'!K259</f>
        <v>21340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21340</v>
      </c>
      <c r="C1491" s="2" t="s">
        <v>573</v>
      </c>
      <c r="D1491" s="2" t="str">
        <f t="shared" si="22"/>
        <v>Error?</v>
      </c>
    </row>
    <row r="1492" spans="1:4" x14ac:dyDescent="0.2">
      <c r="A1492" s="5">
        <v>1431</v>
      </c>
      <c r="B1492" s="138">
        <f>'Expenditures 15-22'!K263</f>
        <v>23104</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17892</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40996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72523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125877</v>
      </c>
      <c r="C1517" s="2" t="s">
        <v>573</v>
      </c>
      <c r="D1517" s="2" t="str">
        <f t="shared" si="22"/>
        <v>Error?</v>
      </c>
    </row>
    <row r="1518" spans="1:4" x14ac:dyDescent="0.2">
      <c r="A1518" s="5">
        <v>1457</v>
      </c>
      <c r="B1518" s="138">
        <f>'Expenditures 15-22'!K296</f>
        <v>-22324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2656521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2769826</v>
      </c>
      <c r="C1630" s="2" t="s">
        <v>573</v>
      </c>
      <c r="D1630" s="2" t="str">
        <f t="shared" si="24"/>
        <v>Error?</v>
      </c>
    </row>
    <row r="1631" spans="1:4" x14ac:dyDescent="0.2">
      <c r="A1631" s="5">
        <v>1570</v>
      </c>
      <c r="B1631" s="138">
        <f>'Acct Summary 7-8'!D79</f>
        <v>972534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1159568</v>
      </c>
      <c r="C1644" s="2" t="s">
        <v>573</v>
      </c>
      <c r="D1644" s="2" t="str">
        <f t="shared" si="24"/>
        <v>Error?</v>
      </c>
    </row>
    <row r="1645" spans="1:4" x14ac:dyDescent="0.2">
      <c r="A1645" s="5">
        <v>1584</v>
      </c>
      <c r="B1645" s="138">
        <f>'Acct Summary 7-8'!E79</f>
        <v>170189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149250</v>
      </c>
      <c r="C1658" s="2" t="s">
        <v>573</v>
      </c>
      <c r="D1658" s="2" t="str">
        <f t="shared" si="24"/>
        <v>Error?</v>
      </c>
    </row>
    <row r="1659" spans="1:4" x14ac:dyDescent="0.2">
      <c r="A1659" s="5">
        <v>1598</v>
      </c>
      <c r="B1659" s="138">
        <f>'Acct Summary 7-8'!F79</f>
        <v>217910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265990</v>
      </c>
      <c r="C1672" s="2" t="s">
        <v>573</v>
      </c>
      <c r="D1672" s="2" t="str">
        <f t="shared" si="25"/>
        <v>Error?</v>
      </c>
    </row>
    <row r="1673" spans="1:4" x14ac:dyDescent="0.2">
      <c r="A1673" s="5">
        <v>1612</v>
      </c>
      <c r="B1673" s="138">
        <f>'Acct Summary 7-8'!G79</f>
        <v>93373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71049</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2990444</v>
      </c>
      <c r="C1744" s="2" t="s">
        <v>573</v>
      </c>
      <c r="D1744" s="2" t="str">
        <f t="shared" si="26"/>
        <v>Error?</v>
      </c>
    </row>
    <row r="1745" spans="1:5" x14ac:dyDescent="0.2">
      <c r="A1745" s="5">
        <v>1684</v>
      </c>
      <c r="B1745" s="138">
        <f>'Tax Sched 23'!B5</f>
        <v>537478</v>
      </c>
      <c r="C1745" s="2" t="s">
        <v>573</v>
      </c>
      <c r="D1745" s="2" t="str">
        <f t="shared" si="26"/>
        <v>Error?</v>
      </c>
    </row>
    <row r="1746" spans="1:5" x14ac:dyDescent="0.2">
      <c r="A1746" s="5">
        <v>1685</v>
      </c>
      <c r="B1746" s="138">
        <f>'Tax Sched 23'!B6</f>
        <v>468145</v>
      </c>
      <c r="C1746" s="2" t="s">
        <v>573</v>
      </c>
      <c r="D1746" s="2" t="str">
        <f t="shared" si="26"/>
        <v>Error?</v>
      </c>
    </row>
    <row r="1747" spans="1:5" x14ac:dyDescent="0.2">
      <c r="A1747" s="5">
        <v>1686</v>
      </c>
      <c r="B1747" s="138">
        <f>'Tax Sched 23'!B7</f>
        <v>133628</v>
      </c>
      <c r="C1747" s="2" t="s">
        <v>573</v>
      </c>
      <c r="D1747" s="2" t="str">
        <f t="shared" si="26"/>
        <v>Error?</v>
      </c>
    </row>
    <row r="1748" spans="1:5" x14ac:dyDescent="0.2">
      <c r="A1748" s="5">
        <v>1687</v>
      </c>
      <c r="B1748" s="138">
        <f>'Tax Sched 23'!B8</f>
        <v>41677</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44418</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19544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4293658</v>
      </c>
      <c r="C1759" s="2" t="s">
        <v>573</v>
      </c>
      <c r="D1759" s="2" t="str">
        <f t="shared" si="26"/>
        <v>Error?</v>
      </c>
    </row>
    <row r="1760" spans="1:5" x14ac:dyDescent="0.2">
      <c r="A1760" s="5">
        <v>1699</v>
      </c>
      <c r="B1760" s="138">
        <f>'Tax Sched 23'!D4</f>
        <v>1395360</v>
      </c>
      <c r="C1760" s="2" t="s">
        <v>573</v>
      </c>
      <c r="D1760" s="2" t="str">
        <f t="shared" si="26"/>
        <v>Error?</v>
      </c>
    </row>
    <row r="1761" spans="1:5" x14ac:dyDescent="0.2">
      <c r="A1761" s="5">
        <v>1700</v>
      </c>
      <c r="B1761" s="138">
        <f>'Tax Sched 23'!D5</f>
        <v>251820</v>
      </c>
      <c r="C1761" s="2" t="s">
        <v>573</v>
      </c>
      <c r="D1761" s="2" t="str">
        <f t="shared" si="26"/>
        <v>Error?</v>
      </c>
    </row>
    <row r="1762" spans="1:5" s="8" customFormat="1" x14ac:dyDescent="0.2">
      <c r="A1762" s="5">
        <v>1701</v>
      </c>
      <c r="B1762" s="138">
        <f>'Tax Sched 23'!D6</f>
        <v>218196</v>
      </c>
      <c r="C1762" s="2" t="s">
        <v>573</v>
      </c>
      <c r="D1762" s="2" t="str">
        <f t="shared" si="26"/>
        <v>Error?</v>
      </c>
      <c r="E1762" s="9"/>
    </row>
    <row r="1763" spans="1:5" x14ac:dyDescent="0.2">
      <c r="A1763" s="5">
        <v>1702</v>
      </c>
      <c r="B1763" s="138">
        <f>'Tax Sched 23'!D7</f>
        <v>65070</v>
      </c>
      <c r="C1763" s="2" t="s">
        <v>573</v>
      </c>
      <c r="D1763" s="2" t="str">
        <f t="shared" si="26"/>
        <v>Error?</v>
      </c>
    </row>
    <row r="1764" spans="1:5" x14ac:dyDescent="0.2">
      <c r="A1764" s="5">
        <v>1703</v>
      </c>
      <c r="B1764" s="138">
        <f>'Tax Sched 23'!D8</f>
        <v>17831</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22062</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9360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2005883</v>
      </c>
      <c r="C1775" s="2" t="s">
        <v>573</v>
      </c>
      <c r="D1775" s="2" t="str">
        <f t="shared" si="26"/>
        <v>Error?</v>
      </c>
    </row>
    <row r="1776" spans="1:5" x14ac:dyDescent="0.2">
      <c r="A1776" s="5">
        <v>1715</v>
      </c>
      <c r="B1776" s="138">
        <f>'Tax Sched 23'!C4</f>
        <v>1595084</v>
      </c>
      <c r="D1776" s="2" t="str">
        <f t="shared" si="26"/>
        <v>Error?</v>
      </c>
    </row>
    <row r="1777" spans="1:4" x14ac:dyDescent="0.2">
      <c r="A1777" s="5">
        <v>1716</v>
      </c>
      <c r="B1777" s="138">
        <f>'Tax Sched 23'!C5</f>
        <v>285658</v>
      </c>
      <c r="D1777" s="2" t="str">
        <f t="shared" si="26"/>
        <v>Error?</v>
      </c>
    </row>
    <row r="1778" spans="1:4" x14ac:dyDescent="0.2">
      <c r="A1778" s="5">
        <v>1717</v>
      </c>
      <c r="B1778" s="138">
        <f>'Tax Sched 23'!C6</f>
        <v>249949</v>
      </c>
      <c r="D1778" s="2" t="str">
        <f t="shared" si="26"/>
        <v>Error?</v>
      </c>
    </row>
    <row r="1779" spans="1:4" x14ac:dyDescent="0.2">
      <c r="A1779" s="5">
        <v>1718</v>
      </c>
      <c r="B1779" s="138">
        <f>'Tax Sched 23'!C7</f>
        <v>68558</v>
      </c>
      <c r="D1779" s="2" t="str">
        <f t="shared" si="26"/>
        <v>Error?</v>
      </c>
    </row>
    <row r="1780" spans="1:4" x14ac:dyDescent="0.2">
      <c r="A1780" s="5">
        <v>1719</v>
      </c>
      <c r="B1780" s="138">
        <f>'Tax Sched 23'!C8</f>
        <v>23846</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22356</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10184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2287775</v>
      </c>
      <c r="C1791" s="2" t="s">
        <v>573</v>
      </c>
      <c r="D1791" s="2" t="str">
        <f t="shared" ref="D1791:D1854" si="27">IF(ISBLANK(B1791),"OK",IF(A1791-B1791=0,"OK","Error?"))</f>
        <v>Error?</v>
      </c>
    </row>
    <row r="1792" spans="1:4" x14ac:dyDescent="0.2">
      <c r="A1792" s="5">
        <v>1731</v>
      </c>
      <c r="B1792" s="138">
        <f>'Tax Sched 23'!F4</f>
        <v>1602322</v>
      </c>
      <c r="C1792" s="2" t="s">
        <v>573</v>
      </c>
      <c r="D1792" s="2" t="str">
        <f t="shared" si="27"/>
        <v>Error?</v>
      </c>
    </row>
    <row r="1793" spans="1:4" x14ac:dyDescent="0.2">
      <c r="A1793" s="5">
        <v>1732</v>
      </c>
      <c r="B1793" s="138">
        <f>'Tax Sched 23'!F5</f>
        <v>286953</v>
      </c>
      <c r="C1793" s="2" t="s">
        <v>573</v>
      </c>
      <c r="D1793" s="2" t="str">
        <f t="shared" si="27"/>
        <v>Error?</v>
      </c>
    </row>
    <row r="1794" spans="1:4" x14ac:dyDescent="0.2">
      <c r="A1794" s="5">
        <v>1733</v>
      </c>
      <c r="B1794" s="138">
        <f>'Tax Sched 23'!F6</f>
        <v>251083</v>
      </c>
      <c r="C1794" s="2" t="s">
        <v>573</v>
      </c>
      <c r="D1794" s="2" t="str">
        <f t="shared" si="27"/>
        <v>Error?</v>
      </c>
    </row>
    <row r="1795" spans="1:4" x14ac:dyDescent="0.2">
      <c r="A1795" s="5">
        <v>1734</v>
      </c>
      <c r="B1795" s="138">
        <f>'Tax Sched 23'!F7</f>
        <v>68869</v>
      </c>
      <c r="C1795" s="2" t="s">
        <v>573</v>
      </c>
      <c r="D1795" s="2" t="str">
        <f t="shared" si="27"/>
        <v>Error?</v>
      </c>
    </row>
    <row r="1796" spans="1:4" x14ac:dyDescent="0.2">
      <c r="A1796" s="5">
        <v>1735</v>
      </c>
      <c r="B1796" s="138">
        <f>'Tax Sched 23'!F8</f>
        <v>23955</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22458</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10231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2298155</v>
      </c>
      <c r="C1807" s="2" t="s">
        <v>573</v>
      </c>
      <c r="D1807" s="2" t="str">
        <f t="shared" si="27"/>
        <v>Error?</v>
      </c>
    </row>
    <row r="1808" spans="1:4" x14ac:dyDescent="0.2">
      <c r="A1808" s="5">
        <v>1747</v>
      </c>
      <c r="B1808" s="138">
        <f>'Tax Sched 23'!E4</f>
        <v>3197406</v>
      </c>
      <c r="D1808" s="2" t="str">
        <f t="shared" si="27"/>
        <v>Error?</v>
      </c>
    </row>
    <row r="1809" spans="1:4" x14ac:dyDescent="0.2">
      <c r="A1809" s="5">
        <v>1748</v>
      </c>
      <c r="B1809" s="138">
        <f>'Tax Sched 23'!E5</f>
        <v>572611</v>
      </c>
      <c r="D1809" s="2" t="str">
        <f t="shared" si="27"/>
        <v>Error?</v>
      </c>
    </row>
    <row r="1810" spans="1:4" x14ac:dyDescent="0.2">
      <c r="A1810" s="5">
        <v>1749</v>
      </c>
      <c r="B1810" s="138">
        <f>'Tax Sched 23'!E6</f>
        <v>501032</v>
      </c>
      <c r="D1810" s="2" t="str">
        <f t="shared" si="27"/>
        <v>Error?</v>
      </c>
    </row>
    <row r="1811" spans="1:4" x14ac:dyDescent="0.2">
      <c r="A1811" s="5">
        <v>1750</v>
      </c>
      <c r="B1811" s="138">
        <f>'Tax Sched 23'!E7</f>
        <v>137427</v>
      </c>
      <c r="D1811" s="2" t="str">
        <f t="shared" si="27"/>
        <v>Error?</v>
      </c>
    </row>
    <row r="1812" spans="1:4" x14ac:dyDescent="0.2">
      <c r="A1812" s="5">
        <v>1751</v>
      </c>
      <c r="B1812" s="138">
        <f>'Tax Sched 23'!E8</f>
        <v>47801</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44814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20415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4585930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6469310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19544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19544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19544</v>
      </c>
      <c r="D1980" s="2" t="str">
        <f t="shared" si="29"/>
        <v>Error?</v>
      </c>
    </row>
    <row r="1981" spans="1:5" x14ac:dyDescent="0.2">
      <c r="A1981" s="10">
        <v>1920</v>
      </c>
      <c r="D1981" s="2" t="str">
        <f t="shared" si="29"/>
        <v>OK</v>
      </c>
      <c r="E1981" s="2" t="s">
        <v>135</v>
      </c>
    </row>
    <row r="1982" spans="1:5" x14ac:dyDescent="0.2">
      <c r="A1982" s="5">
        <v>1921</v>
      </c>
      <c r="B1982" s="138">
        <f>'Rest Tax Levies-Tort Im 25'!H23</f>
        <v>19544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20000</v>
      </c>
      <c r="D2008" s="2" t="str">
        <f t="shared" si="30"/>
        <v>Error?</v>
      </c>
    </row>
    <row r="2009" spans="1:4" x14ac:dyDescent="0.2">
      <c r="A2009" s="5">
        <v>1948</v>
      </c>
      <c r="B2009" s="138">
        <f>'Cap Outlay Deprec 26'!C8</f>
        <v>11067553</v>
      </c>
      <c r="D2009" s="2" t="str">
        <f t="shared" si="30"/>
        <v>Error?</v>
      </c>
    </row>
    <row r="2010" spans="1:4" x14ac:dyDescent="0.2">
      <c r="A2010" s="5">
        <v>1949</v>
      </c>
      <c r="B2010" s="138">
        <f>'Cap Outlay Deprec 26'!C10</f>
        <v>278576</v>
      </c>
      <c r="D2010" s="2" t="str">
        <f t="shared" si="30"/>
        <v>Error?</v>
      </c>
    </row>
    <row r="2011" spans="1:4" x14ac:dyDescent="0.2">
      <c r="A2011" s="5">
        <v>1950</v>
      </c>
      <c r="B2011" s="138">
        <f>'Cap Outlay Deprec 26'!C12</f>
        <v>1112358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12478487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47129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47129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20000</v>
      </c>
      <c r="C2026" s="2" t="s">
        <v>573</v>
      </c>
      <c r="D2026" s="2" t="str">
        <f t="shared" si="30"/>
        <v>Error?</v>
      </c>
    </row>
    <row r="2027" spans="1:4" x14ac:dyDescent="0.2">
      <c r="A2027" s="5">
        <v>1966</v>
      </c>
      <c r="B2027" s="138">
        <f>'Cap Outlay Deprec 26'!F8</f>
        <v>11067553</v>
      </c>
      <c r="C2027" s="2" t="s">
        <v>573</v>
      </c>
      <c r="D2027" s="2" t="str">
        <f t="shared" si="30"/>
        <v>Error?</v>
      </c>
    </row>
    <row r="2028" spans="1:4" x14ac:dyDescent="0.2">
      <c r="A2028" s="5">
        <v>1967</v>
      </c>
      <c r="B2028" s="138">
        <f>'Cap Outlay Deprec 26'!F10</f>
        <v>278576</v>
      </c>
      <c r="C2028" s="2" t="s">
        <v>573</v>
      </c>
      <c r="D2028" s="2" t="str">
        <f t="shared" si="30"/>
        <v>Error?</v>
      </c>
    </row>
    <row r="2029" spans="1:4" x14ac:dyDescent="0.2">
      <c r="A2029" s="5">
        <v>1968</v>
      </c>
      <c r="B2029" s="138">
        <f>'Cap Outlay Deprec 26'!F12</f>
        <v>1159487</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12525616</v>
      </c>
      <c r="C2031" s="2" t="s">
        <v>573</v>
      </c>
      <c r="D2031" s="2" t="str">
        <f t="shared" si="30"/>
        <v>Error?</v>
      </c>
    </row>
    <row r="2032" spans="1:4" x14ac:dyDescent="0.2">
      <c r="A2032" s="10">
        <v>1971</v>
      </c>
      <c r="D2032" s="2" t="str">
        <f t="shared" si="30"/>
        <v>OK</v>
      </c>
    </row>
    <row r="2033" spans="1:4" x14ac:dyDescent="0.2">
      <c r="A2033" s="5">
        <v>1972</v>
      </c>
      <c r="B2033" s="138">
        <f>'Cap Outlay Deprec 26'!H8</f>
        <v>3332746</v>
      </c>
      <c r="D2033" s="2" t="str">
        <f t="shared" si="30"/>
        <v>Error?</v>
      </c>
    </row>
    <row r="2034" spans="1:4" x14ac:dyDescent="0.2">
      <c r="A2034" s="5">
        <v>1973</v>
      </c>
      <c r="B2034" s="138">
        <f>'Cap Outlay Deprec 26'!H10</f>
        <v>128804</v>
      </c>
      <c r="D2034" s="2" t="str">
        <f t="shared" si="30"/>
        <v>Error?</v>
      </c>
    </row>
    <row r="2035" spans="1:4" x14ac:dyDescent="0.2">
      <c r="A2035" s="5">
        <v>1974</v>
      </c>
      <c r="B2035" s="138">
        <f>'Cap Outlay Deprec 26'!H12</f>
        <v>1297875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4759425</v>
      </c>
      <c r="C2037" s="2" t="s">
        <v>573</v>
      </c>
      <c r="D2037" s="2" t="str">
        <f t="shared" si="30"/>
        <v>Error?</v>
      </c>
    </row>
    <row r="2038" spans="1:4" x14ac:dyDescent="0.2">
      <c r="A2038" s="10">
        <v>1977</v>
      </c>
      <c r="D2038" s="2" t="str">
        <f t="shared" si="30"/>
        <v>OK</v>
      </c>
    </row>
    <row r="2039" spans="1:4" x14ac:dyDescent="0.2">
      <c r="A2039" s="5">
        <v>1978</v>
      </c>
      <c r="B2039" s="138">
        <f>'Cap Outlay Deprec 26'!I8</f>
        <v>221351</v>
      </c>
      <c r="D2039" s="2" t="str">
        <f t="shared" si="30"/>
        <v>Error?</v>
      </c>
    </row>
    <row r="2040" spans="1:4" x14ac:dyDescent="0.2">
      <c r="A2040" s="5">
        <v>1979</v>
      </c>
      <c r="B2040" s="138">
        <f>'Cap Outlay Deprec 26'!I10</f>
        <v>13929</v>
      </c>
      <c r="D2040" s="2" t="str">
        <f t="shared" si="30"/>
        <v>Error?</v>
      </c>
    </row>
    <row r="2041" spans="1:4" x14ac:dyDescent="0.2">
      <c r="A2041" s="5">
        <v>1980</v>
      </c>
      <c r="B2041" s="138">
        <f>'Cap Outlay Deprec 26'!I12</f>
        <v>113592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348872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3554097</v>
      </c>
      <c r="C2051" s="2" t="s">
        <v>573</v>
      </c>
      <c r="D2051" s="2" t="str">
        <f t="shared" si="31"/>
        <v>Error?</v>
      </c>
    </row>
    <row r="2052" spans="1:4" x14ac:dyDescent="0.2">
      <c r="A2052" s="5">
        <v>1991</v>
      </c>
      <c r="B2052" s="138">
        <f>'Cap Outlay Deprec 26'!K10</f>
        <v>142733</v>
      </c>
      <c r="C2052" s="2" t="s">
        <v>573</v>
      </c>
      <c r="D2052" s="2" t="str">
        <f t="shared" si="31"/>
        <v>Error?</v>
      </c>
    </row>
    <row r="2053" spans="1:4" x14ac:dyDescent="0.2">
      <c r="A2053" s="5">
        <v>1992</v>
      </c>
      <c r="B2053" s="138">
        <f>'Cap Outlay Deprec 26'!K12</f>
        <v>1411467</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5108297</v>
      </c>
      <c r="C2055" s="2" t="s">
        <v>573</v>
      </c>
      <c r="D2055" s="2" t="str">
        <f t="shared" si="31"/>
        <v>Error?</v>
      </c>
    </row>
    <row r="2056" spans="1:4" x14ac:dyDescent="0.2">
      <c r="A2056" s="5">
        <v>1995</v>
      </c>
      <c r="B2056" s="138">
        <f>'Cap Outlay Deprec 26'!L5</f>
        <v>20000</v>
      </c>
      <c r="C2056" s="2" t="s">
        <v>573</v>
      </c>
      <c r="D2056" s="2" t="str">
        <f t="shared" si="31"/>
        <v>Error?</v>
      </c>
    </row>
    <row r="2057" spans="1:4" x14ac:dyDescent="0.2">
      <c r="A2057" s="5">
        <v>1996</v>
      </c>
      <c r="B2057" s="138">
        <f>'Cap Outlay Deprec 26'!L8</f>
        <v>7513456</v>
      </c>
      <c r="C2057" s="2" t="s">
        <v>573</v>
      </c>
      <c r="D2057" s="2" t="str">
        <f t="shared" si="31"/>
        <v>Error?</v>
      </c>
    </row>
    <row r="2058" spans="1:4" x14ac:dyDescent="0.2">
      <c r="A2058" s="5">
        <v>1997</v>
      </c>
      <c r="B2058" s="138">
        <f>'Cap Outlay Deprec 26'!L10</f>
        <v>135843</v>
      </c>
      <c r="C2058" s="2" t="s">
        <v>573</v>
      </c>
      <c r="D2058" s="2" t="str">
        <f t="shared" si="31"/>
        <v>Error?</v>
      </c>
    </row>
    <row r="2059" spans="1:4" x14ac:dyDescent="0.2">
      <c r="A2059" s="5">
        <v>1998</v>
      </c>
      <c r="B2059" s="138">
        <f>'Cap Outlay Deprec 26'!L12</f>
        <v>-251980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7417319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42544</v>
      </c>
      <c r="C2088" s="2" t="s">
        <v>573</v>
      </c>
      <c r="D2088" s="2" t="str">
        <f t="shared" si="31"/>
        <v>Error?</v>
      </c>
    </row>
    <row r="2089" spans="1:4" x14ac:dyDescent="0.2">
      <c r="A2089" s="5">
        <v>2028</v>
      </c>
      <c r="B2089" s="138">
        <f>'Expenditures 15-22'!K92</f>
        <v>101834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3291056</v>
      </c>
      <c r="C2551" s="2" t="s">
        <v>573</v>
      </c>
      <c r="D2551" s="2" t="str">
        <f t="shared" si="38"/>
        <v>Error?</v>
      </c>
    </row>
    <row r="2552" spans="1:4" x14ac:dyDescent="0.2">
      <c r="A2552" s="10">
        <v>2491</v>
      </c>
      <c r="D2552" s="2" t="str">
        <f t="shared" si="38"/>
        <v>OK</v>
      </c>
    </row>
    <row r="2553" spans="1:4" x14ac:dyDescent="0.2">
      <c r="A2553" s="5">
        <v>2492</v>
      </c>
      <c r="B2553" s="138">
        <f>'Acct Summary 7-8'!C6</f>
        <v>225810</v>
      </c>
      <c r="C2553" s="2" t="s">
        <v>573</v>
      </c>
      <c r="D2553" s="2" t="str">
        <f t="shared" si="38"/>
        <v>Error?</v>
      </c>
    </row>
    <row r="2554" spans="1:4" x14ac:dyDescent="0.2">
      <c r="A2554" s="5">
        <v>2493</v>
      </c>
      <c r="B2554" s="138">
        <f>'Acct Summary 7-8'!C7</f>
        <v>75878</v>
      </c>
      <c r="C2554" s="2" t="s">
        <v>573</v>
      </c>
      <c r="D2554" s="2" t="str">
        <f t="shared" si="38"/>
        <v>Error?</v>
      </c>
    </row>
    <row r="2555" spans="1:4" x14ac:dyDescent="0.2">
      <c r="A2555" s="5">
        <v>2494</v>
      </c>
      <c r="B2555" s="138">
        <f>'Acct Summary 7-8'!C8</f>
        <v>3592744</v>
      </c>
      <c r="C2555" s="2" t="s">
        <v>573</v>
      </c>
      <c r="D2555" s="2" t="str">
        <f t="shared" si="38"/>
        <v>Error?</v>
      </c>
    </row>
    <row r="2556" spans="1:4" x14ac:dyDescent="0.2">
      <c r="A2556" s="5">
        <v>2495</v>
      </c>
      <c r="B2556" s="138">
        <f>'Acct Summary 7-8'!C12</f>
        <v>2439142</v>
      </c>
      <c r="C2556" s="2" t="s">
        <v>573</v>
      </c>
      <c r="D2556" s="2" t="str">
        <f t="shared" si="38"/>
        <v>Error?</v>
      </c>
    </row>
    <row r="2557" spans="1:4" x14ac:dyDescent="0.2">
      <c r="A2557" s="5">
        <v>2496</v>
      </c>
      <c r="B2557" s="138">
        <f>'Acct Summary 7-8'!C13</f>
        <v>901130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144378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3484650</v>
      </c>
      <c r="C2561" s="2" t="s">
        <v>573</v>
      </c>
      <c r="D2561" s="2" t="str">
        <f t="shared" si="39"/>
        <v>Error?</v>
      </c>
    </row>
    <row r="2562" spans="1:4" x14ac:dyDescent="0.2">
      <c r="A2562" s="5">
        <v>2501</v>
      </c>
      <c r="B2562" s="138">
        <f>'Acct Summary 7-8'!C20</f>
        <v>108094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568736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568736</v>
      </c>
      <c r="C2568" s="2" t="s">
        <v>573</v>
      </c>
      <c r="D2568" s="2" t="str">
        <f t="shared" si="39"/>
        <v>Error?</v>
      </c>
    </row>
    <row r="2569" spans="1:4" x14ac:dyDescent="0.2">
      <c r="A2569" s="5">
        <v>2508</v>
      </c>
      <c r="B2569" s="138">
        <f>'Acct Summary 7-8'!D13</f>
        <v>381702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381702</v>
      </c>
      <c r="C2573" s="2" t="s">
        <v>573</v>
      </c>
      <c r="D2573" s="2" t="str">
        <f t="shared" si="39"/>
        <v>Error?</v>
      </c>
    </row>
    <row r="2574" spans="1:4" x14ac:dyDescent="0.2">
      <c r="A2574" s="5">
        <v>2513</v>
      </c>
      <c r="B2574" s="138">
        <f>'Acct Summary 7-8'!D20</f>
        <v>187034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138804</v>
      </c>
      <c r="C2591" s="2" t="s">
        <v>573</v>
      </c>
      <c r="D2591" s="2" t="str">
        <f t="shared" si="39"/>
        <v>Error?</v>
      </c>
    </row>
    <row r="2592" spans="1:4" x14ac:dyDescent="0.2">
      <c r="A2592" s="10">
        <v>2531</v>
      </c>
      <c r="D2592" s="2" t="str">
        <f t="shared" si="39"/>
        <v>OK</v>
      </c>
    </row>
    <row r="2593" spans="1:4" x14ac:dyDescent="0.2">
      <c r="A2593" s="5">
        <v>2532</v>
      </c>
      <c r="B2593" s="138">
        <f>'Acct Summary 7-8'!F6</f>
        <v>98807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237611</v>
      </c>
      <c r="C2595" s="2" t="s">
        <v>573</v>
      </c>
      <c r="D2595" s="2" t="str">
        <f t="shared" si="39"/>
        <v>Error?</v>
      </c>
    </row>
    <row r="2596" spans="1:4" x14ac:dyDescent="0.2">
      <c r="A2596" s="5">
        <v>2535</v>
      </c>
      <c r="B2596" s="138">
        <f>'Acct Summary 7-8'!F13</f>
        <v>189531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189531</v>
      </c>
      <c r="C2600" s="2" t="s">
        <v>573</v>
      </c>
      <c r="D2600" s="2" t="str">
        <f t="shared" si="39"/>
        <v>Error?</v>
      </c>
    </row>
    <row r="2601" spans="1:4" x14ac:dyDescent="0.2">
      <c r="A2601" s="5">
        <v>2540</v>
      </c>
      <c r="B2601" s="138">
        <f>'Acct Summary 7-8'!F20</f>
        <v>48080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103553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103553</v>
      </c>
      <c r="C2606" s="2" t="s">
        <v>573</v>
      </c>
      <c r="D2606" s="2" t="str">
        <f t="shared" si="39"/>
        <v>Error?</v>
      </c>
    </row>
    <row r="2607" spans="1:4" x14ac:dyDescent="0.2">
      <c r="A2607" s="5">
        <v>2546</v>
      </c>
      <c r="B2607" s="138">
        <f>'Acct Summary 7-8'!G12</f>
        <v>45663</v>
      </c>
      <c r="C2607" s="2" t="s">
        <v>573</v>
      </c>
      <c r="D2607" s="2" t="str">
        <f t="shared" si="39"/>
        <v>Error?</v>
      </c>
    </row>
    <row r="2608" spans="1:4" x14ac:dyDescent="0.2">
      <c r="A2608" s="5">
        <v>2547</v>
      </c>
      <c r="B2608" s="138">
        <f>'Acct Summary 7-8'!G13</f>
        <v>72523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125877</v>
      </c>
      <c r="C2612" s="2" t="s">
        <v>573</v>
      </c>
      <c r="D2612" s="2" t="str">
        <f t="shared" si="39"/>
        <v>Error?</v>
      </c>
    </row>
    <row r="2613" spans="1:4" x14ac:dyDescent="0.2">
      <c r="A2613" s="5">
        <v>2552</v>
      </c>
      <c r="B2613" s="138">
        <f>'Acct Summary 7-8'!G20</f>
        <v>-22324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472006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472006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492945</v>
      </c>
      <c r="C2634" s="2" t="s">
        <v>573</v>
      </c>
      <c r="D2634" s="2" t="str">
        <f t="shared" si="40"/>
        <v>Error?</v>
      </c>
    </row>
    <row r="2635" spans="1:4" x14ac:dyDescent="0.2">
      <c r="A2635" s="5">
        <v>2574</v>
      </c>
      <c r="B2635" s="138">
        <f>'Acct Summary 7-8'!E17</f>
        <v>492945</v>
      </c>
      <c r="C2635" s="2" t="s">
        <v>573</v>
      </c>
      <c r="D2635" s="2" t="str">
        <f t="shared" si="40"/>
        <v>Error?</v>
      </c>
    </row>
    <row r="2636" spans="1:4" x14ac:dyDescent="0.2">
      <c r="A2636" s="5">
        <v>2575</v>
      </c>
      <c r="B2636" s="138">
        <f>'Acct Summary 7-8'!E20</f>
        <v>-20939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42544</v>
      </c>
      <c r="C2789" s="2" t="s">
        <v>573</v>
      </c>
      <c r="D2789" s="2" t="str">
        <f t="shared" si="42"/>
        <v>Error?</v>
      </c>
    </row>
    <row r="2790" spans="1:4" x14ac:dyDescent="0.2">
      <c r="A2790" s="5">
        <v>2729</v>
      </c>
      <c r="B2790" s="138">
        <f>'Expenditures 15-22'!E102</f>
        <v>42544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156707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27304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156707</v>
      </c>
      <c r="D2912" s="2" t="str">
        <f t="shared" si="44"/>
        <v>Error?</v>
      </c>
    </row>
    <row r="2913" spans="1:4" x14ac:dyDescent="0.2">
      <c r="A2913" s="5">
        <v>2852</v>
      </c>
      <c r="B2913" s="138">
        <f>'Assets-Liab 5-6'!I41</f>
        <v>156707</v>
      </c>
      <c r="C2913" s="2" t="s">
        <v>573</v>
      </c>
      <c r="D2913" s="2" t="str">
        <f t="shared" si="44"/>
        <v>Error?</v>
      </c>
    </row>
    <row r="2914" spans="1:4" x14ac:dyDescent="0.2">
      <c r="A2914" s="5">
        <v>2853</v>
      </c>
      <c r="B2914" s="138">
        <f>'Assets-Liab 5-6'!L33</f>
        <v>27304</v>
      </c>
      <c r="D2914" s="2" t="str">
        <f t="shared" si="44"/>
        <v>Error?</v>
      </c>
    </row>
    <row r="2915" spans="1:4" x14ac:dyDescent="0.2">
      <c r="A2915" s="10">
        <v>2854</v>
      </c>
      <c r="D2915" s="2" t="str">
        <f t="shared" si="44"/>
        <v>OK</v>
      </c>
    </row>
    <row r="2916" spans="1:4" x14ac:dyDescent="0.2">
      <c r="A2916" s="5">
        <v>2855</v>
      </c>
      <c r="B2916" s="138">
        <f>'Assets-Liab 5-6'!L34</f>
        <v>27304</v>
      </c>
      <c r="C2916" s="2" t="s">
        <v>573</v>
      </c>
      <c r="D2916" s="2" t="str">
        <f t="shared" si="44"/>
        <v>Error?</v>
      </c>
    </row>
    <row r="2917" spans="1:4" x14ac:dyDescent="0.2">
      <c r="A2917" s="5">
        <v>2856</v>
      </c>
      <c r="B2917" s="138">
        <f>'Assets-Liab 5-6'!L41</f>
        <v>27304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42544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42544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3405</v>
      </c>
      <c r="C3225" s="2" t="s">
        <v>573</v>
      </c>
      <c r="D3225" s="2" t="str">
        <f t="shared" si="49"/>
        <v>Error?</v>
      </c>
    </row>
    <row r="3226" spans="1:4" x14ac:dyDescent="0.2">
      <c r="A3226" s="5">
        <v>3165</v>
      </c>
      <c r="B3226" s="138">
        <f>'Acct Summary 7-8'!I8</f>
        <v>3405</v>
      </c>
      <c r="C3226" s="2" t="s">
        <v>573</v>
      </c>
      <c r="D3226" s="2" t="str">
        <f t="shared" si="49"/>
        <v>Error?</v>
      </c>
    </row>
    <row r="3227" spans="1:4" x14ac:dyDescent="0.2">
      <c r="A3227" s="5">
        <v>3166</v>
      </c>
      <c r="B3227" s="138">
        <f>'Acct Summary 7-8'!I20</f>
        <v>3405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5211</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5211</v>
      </c>
      <c r="C3232" s="2" t="s">
        <v>573</v>
      </c>
      <c r="D3232" s="2" t="str">
        <f t="shared" si="49"/>
        <v>Error?</v>
      </c>
    </row>
    <row r="3233" spans="1:4" x14ac:dyDescent="0.2">
      <c r="A3233" s="5">
        <v>3172</v>
      </c>
      <c r="B3233" s="138">
        <f>'Acct Summary 7-8'!C78</f>
        <v>113305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187034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48080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-22324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-20939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3405</v>
      </c>
      <c r="C3320" s="2" t="s">
        <v>573</v>
      </c>
      <c r="D3320" s="2" t="str">
        <f t="shared" si="50"/>
        <v>Error?</v>
      </c>
    </row>
    <row r="3321" spans="1:4" x14ac:dyDescent="0.2">
      <c r="A3321" s="5">
        <v>3260</v>
      </c>
      <c r="B3321" s="138">
        <f>'Acct Summary 7-8'!I79</f>
        <v>153302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156707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303011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18977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1103</v>
      </c>
      <c r="D3371" s="2" t="str">
        <f t="shared" si="51"/>
        <v>Error?</v>
      </c>
    </row>
    <row r="3372" spans="1:4" x14ac:dyDescent="0.2">
      <c r="A3372" s="5">
        <v>3311</v>
      </c>
      <c r="B3372" s="138">
        <f>'Expenditures 15-22'!F8</f>
        <v>5760</v>
      </c>
      <c r="D3372" s="2" t="str">
        <f t="shared" si="51"/>
        <v>Error?</v>
      </c>
    </row>
    <row r="3373" spans="1:4" x14ac:dyDescent="0.2">
      <c r="A3373" s="5">
        <v>3312</v>
      </c>
      <c r="B3373" s="138">
        <f>'Expenditures 15-22'!F19</f>
        <v>361</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327748</v>
      </c>
      <c r="C3380" s="2" t="s">
        <v>573</v>
      </c>
      <c r="D3380" s="2" t="str">
        <f t="shared" si="51"/>
        <v>Error?</v>
      </c>
    </row>
    <row r="3381" spans="1:4" x14ac:dyDescent="0.2">
      <c r="A3381" s="5">
        <v>3320</v>
      </c>
      <c r="B3381" s="138">
        <f>'Expenditures 15-22'!K19</f>
        <v>1464</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21424</v>
      </c>
      <c r="D3387" s="2" t="str">
        <f t="shared" si="51"/>
        <v>Error?</v>
      </c>
    </row>
    <row r="3388" spans="1:4" x14ac:dyDescent="0.2">
      <c r="A3388" s="5">
        <v>3327</v>
      </c>
      <c r="B3388" s="138">
        <f>'Expenditures 15-22'!D217</f>
        <v>22934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21424</v>
      </c>
      <c r="C3390" s="2" t="s">
        <v>573</v>
      </c>
      <c r="D3390" s="2" t="str">
        <f t="shared" si="51"/>
        <v>Error?</v>
      </c>
    </row>
    <row r="3391" spans="1:4" x14ac:dyDescent="0.2">
      <c r="A3391" s="5">
        <v>3330</v>
      </c>
      <c r="B3391" s="138">
        <f>'Expenditures 15-22'!K217</f>
        <v>22934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2769826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1159568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149250</v>
      </c>
      <c r="D3417" s="2" t="str">
        <f t="shared" si="52"/>
        <v>Error?</v>
      </c>
    </row>
    <row r="3418" spans="1:4" x14ac:dyDescent="0.2">
      <c r="A3418" s="10">
        <v>3357</v>
      </c>
      <c r="D3418" s="2" t="str">
        <f t="shared" si="52"/>
        <v>OK</v>
      </c>
    </row>
    <row r="3419" spans="1:4" x14ac:dyDescent="0.2">
      <c r="A3419" s="5">
        <v>3358</v>
      </c>
      <c r="B3419" s="138">
        <f>'Assets-Liab 5-6'!F4</f>
        <v>265990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71049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156707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27304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51545</v>
      </c>
      <c r="C3446" s="2" t="s">
        <v>573</v>
      </c>
      <c r="D3446" s="2" t="str">
        <f t="shared" si="52"/>
        <v>Error?</v>
      </c>
    </row>
    <row r="3447" spans="1:4" x14ac:dyDescent="0.2">
      <c r="A3447" s="5">
        <v>3386</v>
      </c>
      <c r="B3447" s="138">
        <f>'Tax Sched 23'!D16</f>
        <v>22730</v>
      </c>
      <c r="C3447" s="2" t="s">
        <v>573</v>
      </c>
      <c r="D3447" s="2" t="str">
        <f t="shared" si="52"/>
        <v>Error?</v>
      </c>
    </row>
    <row r="3448" spans="1:4" x14ac:dyDescent="0.2">
      <c r="A3448" s="5">
        <v>3387</v>
      </c>
      <c r="B3448" s="138">
        <f>'Tax Sched 23'!C16</f>
        <v>28815</v>
      </c>
      <c r="D3448" s="2" t="str">
        <f t="shared" si="52"/>
        <v>Error?</v>
      </c>
    </row>
    <row r="3449" spans="1:4" x14ac:dyDescent="0.2">
      <c r="A3449" s="5">
        <v>3388</v>
      </c>
      <c r="B3449" s="138">
        <f>'Tax Sched 23'!F16</f>
        <v>28944</v>
      </c>
      <c r="C3449" s="2" t="s">
        <v>573</v>
      </c>
      <c r="D3449" s="2" t="str">
        <f t="shared" si="52"/>
        <v>Error?</v>
      </c>
    </row>
    <row r="3450" spans="1:4" x14ac:dyDescent="0.2">
      <c r="A3450" s="5">
        <v>3389</v>
      </c>
      <c r="B3450" s="138">
        <f>'Tax Sched 23'!E16</f>
        <v>57759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5211</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7691</v>
      </c>
      <c r="D3721" s="2" t="str">
        <f t="shared" si="57"/>
        <v>Error?</v>
      </c>
    </row>
    <row r="3722" spans="1:4" x14ac:dyDescent="0.2">
      <c r="A3722" s="5">
        <v>3661</v>
      </c>
      <c r="B3722" s="138">
        <f>'Expenditures 15-22'!D285</f>
        <v>7691</v>
      </c>
      <c r="C3722" s="2" t="s">
        <v>573</v>
      </c>
      <c r="D3722" s="2" t="str">
        <f t="shared" si="57"/>
        <v>Error?</v>
      </c>
    </row>
    <row r="3723" spans="1:4" x14ac:dyDescent="0.2">
      <c r="A3723" s="5">
        <v>3662</v>
      </c>
      <c r="B3723" s="138">
        <f>'Expenditures 15-22'!K283</f>
        <v>7691</v>
      </c>
      <c r="C3723" s="2" t="s">
        <v>573</v>
      </c>
      <c r="D3723" s="2" t="str">
        <f t="shared" si="57"/>
        <v>Error?</v>
      </c>
    </row>
    <row r="3724" spans="1:4" x14ac:dyDescent="0.2">
      <c r="A3724" s="5">
        <v>3663</v>
      </c>
      <c r="B3724" s="138">
        <f>'Expenditures 15-22'!K285</f>
        <v>7691</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6779</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3454</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3325</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3340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6665</v>
      </c>
      <c r="D4111" s="2" t="str">
        <f t="shared" si="63"/>
        <v>Error?</v>
      </c>
    </row>
    <row r="4112" spans="1:4" x14ac:dyDescent="0.2">
      <c r="A4112" s="10">
        <v>4051</v>
      </c>
      <c r="D4112" s="2" t="str">
        <f t="shared" si="63"/>
        <v>OK</v>
      </c>
    </row>
    <row r="4113" spans="1:4" x14ac:dyDescent="0.2">
      <c r="A4113" s="5">
        <v>4052</v>
      </c>
      <c r="B4113" s="138">
        <f>'Acct Summary 7-8'!C9</f>
        <v>1264714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4857458</v>
      </c>
      <c r="C4122" s="2" t="s">
        <v>573</v>
      </c>
      <c r="D4122" s="2" t="str">
        <f t="shared" si="63"/>
        <v>Error?</v>
      </c>
    </row>
    <row r="4123" spans="1:4" x14ac:dyDescent="0.2">
      <c r="A4123" s="5">
        <v>4062</v>
      </c>
      <c r="B4123" s="138">
        <f>'Acct Summary 7-8'!D10</f>
        <v>568736</v>
      </c>
      <c r="C4123" s="2" t="s">
        <v>573</v>
      </c>
      <c r="D4123" s="2" t="str">
        <f t="shared" si="63"/>
        <v>Error?</v>
      </c>
    </row>
    <row r="4124" spans="1:4" x14ac:dyDescent="0.2">
      <c r="A4124" s="5">
        <v>4063</v>
      </c>
      <c r="B4124" s="138">
        <f>'Acct Summary 7-8'!E10</f>
        <v>472006</v>
      </c>
      <c r="C4124" s="2" t="s">
        <v>573</v>
      </c>
      <c r="D4124" s="2" t="str">
        <f t="shared" si="63"/>
        <v>Error?</v>
      </c>
    </row>
    <row r="4125" spans="1:4" x14ac:dyDescent="0.2">
      <c r="A4125" s="5">
        <v>4064</v>
      </c>
      <c r="B4125" s="138">
        <f>'Acct Summary 7-8'!F10</f>
        <v>237611</v>
      </c>
      <c r="C4125" s="2" t="s">
        <v>573</v>
      </c>
      <c r="D4125" s="2" t="str">
        <f t="shared" si="63"/>
        <v>Error?</v>
      </c>
    </row>
    <row r="4126" spans="1:4" x14ac:dyDescent="0.2">
      <c r="A4126" s="5">
        <v>4065</v>
      </c>
      <c r="B4126" s="138">
        <f>'Acct Summary 7-8'!G10</f>
        <v>103553</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3405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1264714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4749364</v>
      </c>
      <c r="C4136" s="2" t="s">
        <v>573</v>
      </c>
      <c r="D4136" s="2" t="str">
        <f t="shared" si="63"/>
        <v>Error?</v>
      </c>
    </row>
    <row r="4137" spans="1:4" x14ac:dyDescent="0.2">
      <c r="A4137" s="5">
        <v>4076</v>
      </c>
      <c r="B4137" s="138">
        <f>'Acct Summary 7-8'!D19</f>
        <v>381702</v>
      </c>
      <c r="C4137" s="2" t="s">
        <v>573</v>
      </c>
      <c r="D4137" s="2" t="str">
        <f t="shared" si="63"/>
        <v>Error?</v>
      </c>
    </row>
    <row r="4138" spans="1:4" x14ac:dyDescent="0.2">
      <c r="A4138" s="5">
        <v>4077</v>
      </c>
      <c r="B4138" s="138">
        <f>'Acct Summary 7-8'!E19</f>
        <v>492945</v>
      </c>
      <c r="C4138" s="2" t="s">
        <v>573</v>
      </c>
      <c r="D4138" s="2" t="str">
        <f t="shared" si="63"/>
        <v>Error?</v>
      </c>
    </row>
    <row r="4139" spans="1:4" x14ac:dyDescent="0.2">
      <c r="A4139" s="5">
        <v>4078</v>
      </c>
      <c r="B4139" s="138">
        <f>'Acct Summary 7-8'!F19</f>
        <v>189531</v>
      </c>
      <c r="C4139" s="2" t="s">
        <v>573</v>
      </c>
      <c r="D4139" s="2" t="str">
        <f t="shared" si="63"/>
        <v>Error?</v>
      </c>
    </row>
    <row r="4140" spans="1:4" x14ac:dyDescent="0.2">
      <c r="A4140" s="5">
        <v>4079</v>
      </c>
      <c r="B4140" s="138">
        <f>'Acct Summary 7-8'!G19</f>
        <v>125877</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6359143</v>
      </c>
      <c r="C4171" s="2" t="s">
        <v>573</v>
      </c>
      <c r="D4171" s="2" t="str">
        <f t="shared" si="64"/>
        <v>Error?</v>
      </c>
    </row>
    <row r="4172" spans="1:4" x14ac:dyDescent="0.2">
      <c r="A4172" s="5">
        <v>4111</v>
      </c>
      <c r="B4172" s="138">
        <f>'Short-Term Long-Term Debt 24'!J49</f>
        <v>6209893</v>
      </c>
      <c r="C4172" s="2" t="s">
        <v>573</v>
      </c>
      <c r="D4172" s="2" t="str">
        <f t="shared" si="64"/>
        <v>Error?</v>
      </c>
    </row>
    <row r="4173" spans="1:4" x14ac:dyDescent="0.2">
      <c r="A4173" s="5">
        <v>4112</v>
      </c>
      <c r="B4173" s="138">
        <f>'Short-Term Long-Term Debt 24'!H49</f>
        <v>110167</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2860</v>
      </c>
      <c r="C4265" s="2" t="s">
        <v>573</v>
      </c>
      <c r="D4265" s="2" t="str">
        <f t="shared" si="65"/>
        <v>Error?</v>
      </c>
      <c r="E4265" s="128"/>
    </row>
    <row r="4266" spans="1:5" x14ac:dyDescent="0.2">
      <c r="A4266" s="12">
        <v>4205</v>
      </c>
      <c r="B4266" s="138">
        <f>('FP Info 3'!F10)*100000</f>
        <v>511</v>
      </c>
      <c r="C4266" s="2" t="s">
        <v>573</v>
      </c>
      <c r="D4266" s="2" t="str">
        <f t="shared" si="65"/>
        <v>Error?</v>
      </c>
      <c r="E4266" s="128"/>
    </row>
    <row r="4267" spans="1:5" x14ac:dyDescent="0.2">
      <c r="A4267" s="12">
        <v>4206</v>
      </c>
      <c r="B4267" s="138">
        <f>('FP Info 3'!H10)*100000</f>
        <v>122.7</v>
      </c>
      <c r="C4267" s="2" t="s">
        <v>573</v>
      </c>
      <c r="D4267" s="2" t="str">
        <f t="shared" si="65"/>
        <v>Error?</v>
      </c>
      <c r="E4267" s="128"/>
    </row>
    <row r="4268" spans="1:5" x14ac:dyDescent="0.2">
      <c r="A4268" s="12">
        <v>4207</v>
      </c>
      <c r="B4268" s="138">
        <f>('FP Info 3'!J10)*100000</f>
        <v>3494</v>
      </c>
      <c r="C4268" s="2" t="s">
        <v>573</v>
      </c>
      <c r="D4268" s="2" t="str">
        <f t="shared" si="65"/>
        <v>Error?</v>
      </c>
    </row>
    <row r="4269" spans="1:5" x14ac:dyDescent="0.2">
      <c r="A4269" s="12">
        <v>4208</v>
      </c>
      <c r="B4269" s="138">
        <f>'FP Info 3'!J16</f>
        <v>4352091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224</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375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15907</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4647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111967114</v>
      </c>
      <c r="D4995" s="2" t="str">
        <f t="shared" si="77"/>
        <v>Error?</v>
      </c>
    </row>
    <row r="4996" spans="1:4" x14ac:dyDescent="0.2">
      <c r="A4996" s="12">
        <v>4935</v>
      </c>
      <c r="B4996" s="138">
        <f>'FP Info 3'!H31</f>
        <v>7725730.8660000004</v>
      </c>
      <c r="D4996" s="2" t="str">
        <f t="shared" si="77"/>
        <v>Error?</v>
      </c>
    </row>
    <row r="4997" spans="1:4" x14ac:dyDescent="0.2">
      <c r="A4997" s="12">
        <v>4936</v>
      </c>
      <c r="B4997" s="138">
        <f>'FP Info 3'!H37</f>
        <v>6359143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2990444</v>
      </c>
      <c r="D5061" s="2" t="str">
        <f t="shared" si="78"/>
        <v>Error?</v>
      </c>
    </row>
    <row r="5062" spans="1:4" x14ac:dyDescent="0.2">
      <c r="A5062" s="10">
        <v>5001</v>
      </c>
      <c r="D5062" s="2" t="str">
        <f t="shared" si="78"/>
        <v>OK</v>
      </c>
    </row>
    <row r="5063" spans="1:4" x14ac:dyDescent="0.2">
      <c r="A5063" s="5">
        <v>5002</v>
      </c>
      <c r="B5063" s="138">
        <f>'Revenues 9-14'!C7</f>
        <v>19544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3009988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9746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9746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52969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52969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1486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16173</v>
      </c>
      <c r="C5096" s="2" t="s">
        <v>573</v>
      </c>
      <c r="D5096" s="2" t="str">
        <f t="shared" si="78"/>
        <v>Error?</v>
      </c>
    </row>
    <row r="5097" spans="1:4" x14ac:dyDescent="0.2">
      <c r="A5097" s="5">
        <v>5036</v>
      </c>
      <c r="B5097" s="138">
        <f>'Revenues 9-14'!C77</f>
        <v>2316</v>
      </c>
      <c r="D5097" s="2" t="str">
        <f t="shared" si="78"/>
        <v>Error?</v>
      </c>
    </row>
    <row r="5098" spans="1:4" x14ac:dyDescent="0.2">
      <c r="A5098" s="5">
        <v>5037</v>
      </c>
      <c r="B5098" s="138">
        <f>'Revenues 9-14'!C78</f>
        <v>12742</v>
      </c>
      <c r="D5098" s="2" t="str">
        <f t="shared" si="78"/>
        <v>Error?</v>
      </c>
    </row>
    <row r="5099" spans="1:4" x14ac:dyDescent="0.2">
      <c r="A5099" s="5">
        <v>5038</v>
      </c>
      <c r="B5099" s="138">
        <f>'Revenues 9-14'!C79</f>
        <v>13895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1997</v>
      </c>
      <c r="D5101" s="2" t="str">
        <f t="shared" si="78"/>
        <v>Error?</v>
      </c>
    </row>
    <row r="5102" spans="1:4" x14ac:dyDescent="0.2">
      <c r="A5102" s="5">
        <v>5041</v>
      </c>
      <c r="B5102" s="138">
        <f>'Revenues 9-14'!C82</f>
        <v>30950</v>
      </c>
      <c r="C5102" s="2" t="s">
        <v>573</v>
      </c>
      <c r="D5102" s="2" t="str">
        <f t="shared" si="78"/>
        <v>Error?</v>
      </c>
    </row>
    <row r="5103" spans="1:4" x14ac:dyDescent="0.2">
      <c r="A5103" s="5">
        <v>5042</v>
      </c>
      <c r="B5103" s="138">
        <f>'Revenues 9-14'!C84</f>
        <v>115212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115212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47354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8664</v>
      </c>
      <c r="D5119" s="2" t="str">
        <f t="shared" ref="D5119:D5182" si="79">IF(ISBLANK(B5119),"OK",IF(A5119-B5119=0,"OK","Error?"))</f>
        <v>Error?</v>
      </c>
    </row>
    <row r="5120" spans="1:4" x14ac:dyDescent="0.2">
      <c r="A5120" s="5">
        <v>5059</v>
      </c>
      <c r="B5120" s="138">
        <f>'Revenues 9-14'!C108</f>
        <v>56018</v>
      </c>
      <c r="C5120" s="2" t="s">
        <v>573</v>
      </c>
      <c r="D5120" s="2" t="str">
        <f t="shared" si="79"/>
        <v>Error?</v>
      </c>
    </row>
    <row r="5121" spans="1:4" x14ac:dyDescent="0.2">
      <c r="A5121" s="5">
        <v>5060</v>
      </c>
      <c r="B5121" s="138">
        <f>'Revenues 9-14'!C109</f>
        <v>3291056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218235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218235</v>
      </c>
      <c r="C5132" s="2" t="s">
        <v>573</v>
      </c>
      <c r="D5132" s="2" t="str">
        <f t="shared" si="79"/>
        <v>Error?</v>
      </c>
    </row>
    <row r="5133" spans="1:4" x14ac:dyDescent="0.2">
      <c r="A5133" s="5">
        <v>5072</v>
      </c>
      <c r="B5133" s="138">
        <f>'Revenues 9-14'!C125</f>
        <v>7351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7351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7575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225810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13976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13976</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15907</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1996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38977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40973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75878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75878</v>
      </c>
      <c r="C5326" s="2" t="s">
        <v>573</v>
      </c>
      <c r="D5326" s="2" t="str">
        <f t="shared" si="82"/>
        <v>Error?</v>
      </c>
    </row>
    <row r="5327" spans="1:5" x14ac:dyDescent="0.2">
      <c r="A5327" s="5">
        <v>5266</v>
      </c>
      <c r="B5327" s="138">
        <f>'Revenues 9-14'!C268</f>
        <v>3592744</v>
      </c>
      <c r="C5327" s="2" t="s">
        <v>573</v>
      </c>
      <c r="D5327" s="2" t="str">
        <f t="shared" si="82"/>
        <v>Error?</v>
      </c>
    </row>
    <row r="5328" spans="1:5" x14ac:dyDescent="0.2">
      <c r="A5328" s="5">
        <v>5267</v>
      </c>
      <c r="B5328" s="138">
        <f>'Revenues 9-14'!D5</f>
        <v>537478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537478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19290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19290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10781</v>
      </c>
      <c r="D5354" s="2" t="str">
        <f t="shared" si="82"/>
        <v>Error?</v>
      </c>
    </row>
    <row r="5355" spans="1:4" x14ac:dyDescent="0.2">
      <c r="A5355" s="5">
        <v>5294</v>
      </c>
      <c r="B5355" s="138">
        <f>'Revenues 9-14'!D108</f>
        <v>11968</v>
      </c>
      <c r="C5355" s="2" t="s">
        <v>573</v>
      </c>
      <c r="D5355" s="2" t="str">
        <f t="shared" si="82"/>
        <v>Error?</v>
      </c>
    </row>
    <row r="5356" spans="1:4" x14ac:dyDescent="0.2">
      <c r="A5356" s="5">
        <v>5295</v>
      </c>
      <c r="B5356" s="138">
        <f>'Revenues 9-14'!D109</f>
        <v>568736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568736</v>
      </c>
      <c r="C5508" s="2" t="s">
        <v>573</v>
      </c>
      <c r="D5508" s="2" t="str">
        <f t="shared" si="85"/>
        <v>Error?</v>
      </c>
    </row>
    <row r="5509" spans="1:4" x14ac:dyDescent="0.2">
      <c r="A5509" s="5">
        <v>5448</v>
      </c>
      <c r="B5509" s="138">
        <f>'Revenues 9-14'!E5</f>
        <v>468145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468145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1000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1000</v>
      </c>
      <c r="C5518" s="2" t="s">
        <v>573</v>
      </c>
      <c r="D5518" s="2" t="str">
        <f t="shared" si="85"/>
        <v>Error?</v>
      </c>
    </row>
    <row r="5519" spans="1:4" x14ac:dyDescent="0.2">
      <c r="A5519" s="5">
        <v>5458</v>
      </c>
      <c r="B5519" s="138">
        <f>'Revenues 9-14'!E65</f>
        <v>2861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2861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472006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472006</v>
      </c>
      <c r="C5552" s="2" t="s">
        <v>573</v>
      </c>
      <c r="D5552" s="2" t="str">
        <f t="shared" si="85"/>
        <v>Error?</v>
      </c>
    </row>
    <row r="5553" spans="1:4" x14ac:dyDescent="0.2">
      <c r="A5553" s="5">
        <v>5492</v>
      </c>
      <c r="B5553" s="138">
        <f>'Revenues 9-14'!F5</f>
        <v>133628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133628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5176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5176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138804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47116</v>
      </c>
      <c r="D5615" s="2" t="str">
        <f t="shared" si="86"/>
        <v>Error?</v>
      </c>
    </row>
    <row r="5616" spans="1:4" x14ac:dyDescent="0.2">
      <c r="A5616" s="10">
        <v>5555</v>
      </c>
      <c r="D5616" s="2" t="str">
        <f t="shared" si="86"/>
        <v>OK</v>
      </c>
    </row>
    <row r="5617" spans="1:5" x14ac:dyDescent="0.2">
      <c r="A5617" s="5">
        <v>5556</v>
      </c>
      <c r="B5617" s="138">
        <f>'Revenues 9-14'!F153</f>
        <v>51691</v>
      </c>
      <c r="D5617" s="2" t="str">
        <f t="shared" si="86"/>
        <v>Error?</v>
      </c>
    </row>
    <row r="5618" spans="1:5" x14ac:dyDescent="0.2">
      <c r="A5618" s="5">
        <v>5557</v>
      </c>
      <c r="B5618" s="138">
        <f>'Revenues 9-14'!F155</f>
        <v>98807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98807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98807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237611</v>
      </c>
      <c r="C5720" s="2" t="s">
        <v>573</v>
      </c>
      <c r="D5720" s="2" t="str">
        <f t="shared" si="88"/>
        <v>Error?</v>
      </c>
    </row>
    <row r="5721" spans="1:4" x14ac:dyDescent="0.2">
      <c r="A5721" s="5">
        <v>5660</v>
      </c>
      <c r="B5721" s="138">
        <f>'Revenues 9-14'!G5</f>
        <v>41677</v>
      </c>
      <c r="D5721" s="2" t="str">
        <f t="shared" si="88"/>
        <v>Error?</v>
      </c>
    </row>
    <row r="5722" spans="1:4" x14ac:dyDescent="0.2">
      <c r="A5722" s="5">
        <v>5661</v>
      </c>
      <c r="B5722" s="138">
        <f>'Revenues 9-14'!G7</f>
        <v>0</v>
      </c>
      <c r="D5722" s="2" t="str">
        <f t="shared" si="88"/>
        <v>Error?</v>
      </c>
    </row>
    <row r="5723" spans="1:4" x14ac:dyDescent="0.2">
      <c r="A5723" s="5">
        <v>5662</v>
      </c>
      <c r="B5723" s="138">
        <f>'Revenues 9-14'!G8</f>
        <v>51545</v>
      </c>
      <c r="D5723" s="2" t="str">
        <f t="shared" si="88"/>
        <v>Error?</v>
      </c>
    </row>
    <row r="5724" spans="1:4" x14ac:dyDescent="0.2">
      <c r="A5724" s="5">
        <v>5663</v>
      </c>
      <c r="B5724" s="138">
        <f>'Revenues 9-14'!G11</f>
        <v>6779</v>
      </c>
      <c r="D5724" s="2" t="str">
        <f t="shared" si="88"/>
        <v>Error?</v>
      </c>
    </row>
    <row r="5725" spans="1:4" x14ac:dyDescent="0.2">
      <c r="A5725" s="5">
        <v>5664</v>
      </c>
      <c r="B5725" s="138">
        <f>'Revenues 9-14'!G12</f>
        <v>100001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2071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2071</v>
      </c>
      <c r="C5730" s="2" t="s">
        <v>573</v>
      </c>
      <c r="D5730" s="2" t="str">
        <f t="shared" si="88"/>
        <v>Error?</v>
      </c>
    </row>
    <row r="5731" spans="1:4" x14ac:dyDescent="0.2">
      <c r="A5731" s="5">
        <v>5670</v>
      </c>
      <c r="B5731" s="138">
        <f>'Revenues 9-14'!G65</f>
        <v>1481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1481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103553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3405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3405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3405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103553</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3405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14687</v>
      </c>
      <c r="D6031" s="2" t="str">
        <f t="shared" si="93"/>
        <v>Error?</v>
      </c>
    </row>
    <row r="6032" spans="1:5" x14ac:dyDescent="0.2">
      <c r="A6032" s="5">
        <v>5971</v>
      </c>
      <c r="B6032" s="138">
        <f>'Acct Summary 7-8'!G15</f>
        <v>7691</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300.89999999999998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36330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36330</v>
      </c>
      <c r="D6215" s="2" t="str">
        <f t="shared" si="96"/>
        <v>Error?</v>
      </c>
      <c r="E6215" s="2" t="s">
        <v>190</v>
      </c>
    </row>
    <row r="6216" spans="1:5" x14ac:dyDescent="0.2">
      <c r="A6216">
        <v>6155</v>
      </c>
      <c r="B6216" s="138">
        <f>'Assets-Liab 5-6'!J41</f>
        <v>36330</v>
      </c>
      <c r="D6216" s="2" t="str">
        <f t="shared" si="96"/>
        <v>Error?</v>
      </c>
      <c r="E6216" s="2" t="s">
        <v>190</v>
      </c>
    </row>
    <row r="6217" spans="1:5" x14ac:dyDescent="0.2">
      <c r="A6217">
        <v>6156</v>
      </c>
      <c r="B6217" s="138">
        <f>'Assets-Liab 5-6'!J4</f>
        <v>36330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45581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45581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45581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41429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41429</v>
      </c>
      <c r="D6229" s="2" t="str">
        <f t="shared" si="96"/>
        <v>Error?</v>
      </c>
      <c r="E6229" s="2" t="s">
        <v>190</v>
      </c>
    </row>
    <row r="6230" spans="1:5" x14ac:dyDescent="0.2">
      <c r="A6230">
        <v>6169</v>
      </c>
      <c r="B6230" s="138">
        <f>'Acct Summary 7-8'!J20</f>
        <v>4152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4152</v>
      </c>
      <c r="D6263" s="2" t="str">
        <f t="shared" si="96"/>
        <v>Error?</v>
      </c>
      <c r="E6263" s="2" t="s">
        <v>190</v>
      </c>
    </row>
    <row r="6264" spans="1:5" x14ac:dyDescent="0.2">
      <c r="A6264">
        <v>6203</v>
      </c>
      <c r="B6264" s="138">
        <f>'Acct Summary 7-8'!J79</f>
        <v>32178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36330</v>
      </c>
      <c r="D6266" s="2" t="str">
        <f t="shared" si="96"/>
        <v>Error?</v>
      </c>
      <c r="E6266" s="2" t="s">
        <v>190</v>
      </c>
    </row>
    <row r="6267" spans="1:5" x14ac:dyDescent="0.2">
      <c r="A6267">
        <v>6206</v>
      </c>
      <c r="B6267" s="138">
        <f>'Acct Summary 7-8'!C82</f>
        <v>113305</v>
      </c>
      <c r="D6267" s="2" t="str">
        <f t="shared" si="96"/>
        <v>Error?</v>
      </c>
      <c r="E6267" s="2" t="s">
        <v>190</v>
      </c>
    </row>
    <row r="6268" spans="1:5" x14ac:dyDescent="0.2">
      <c r="A6268">
        <v>6207</v>
      </c>
      <c r="B6268" s="138">
        <f>'Acct Summary 7-8'!D82</f>
        <v>187034</v>
      </c>
      <c r="D6268" s="2" t="str">
        <f t="shared" si="96"/>
        <v>Error?</v>
      </c>
      <c r="E6268" s="2" t="s">
        <v>190</v>
      </c>
    </row>
    <row r="6269" spans="1:5" x14ac:dyDescent="0.2">
      <c r="A6269">
        <v>6208</v>
      </c>
      <c r="B6269" s="138">
        <f>'Acct Summary 7-8'!E82</f>
        <v>-20939</v>
      </c>
      <c r="D6269" s="2" t="str">
        <f t="shared" si="96"/>
        <v>Error?</v>
      </c>
      <c r="E6269" s="2" t="s">
        <v>190</v>
      </c>
    </row>
    <row r="6270" spans="1:5" x14ac:dyDescent="0.2">
      <c r="A6270">
        <v>6209</v>
      </c>
      <c r="B6270" s="138">
        <f>'Acct Summary 7-8'!F82</f>
        <v>48080</v>
      </c>
      <c r="D6270" s="2" t="str">
        <f t="shared" si="96"/>
        <v>Error?</v>
      </c>
      <c r="E6270" s="2" t="s">
        <v>190</v>
      </c>
    </row>
    <row r="6271" spans="1:5" x14ac:dyDescent="0.2">
      <c r="A6271">
        <v>6210</v>
      </c>
      <c r="B6271" s="138">
        <f>'Acct Summary 7-8'!G82</f>
        <v>-22324</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3405</v>
      </c>
      <c r="D6273" s="2" t="str">
        <f t="shared" si="97"/>
        <v>Error?</v>
      </c>
      <c r="E6273" s="2" t="s">
        <v>190</v>
      </c>
    </row>
    <row r="6274" spans="1:5" x14ac:dyDescent="0.2">
      <c r="A6274">
        <v>6213</v>
      </c>
      <c r="B6274" s="138">
        <f>'Acct Summary 7-8'!J82</f>
        <v>4152</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4.0906901733177466E-2</v>
      </c>
      <c r="D6276" s="2" t="str">
        <f t="shared" si="97"/>
        <v>Error?</v>
      </c>
      <c r="E6276" s="2" t="s">
        <v>190</v>
      </c>
    </row>
    <row r="6277" spans="1:5" x14ac:dyDescent="0.2">
      <c r="A6277">
        <v>6216</v>
      </c>
      <c r="B6277" s="138">
        <f>'Acct Summary 7-8'!D83</f>
        <v>0.16129627585445613</v>
      </c>
      <c r="D6277" s="2" t="str">
        <f t="shared" si="97"/>
        <v>Error?</v>
      </c>
      <c r="E6277" s="2" t="s">
        <v>190</v>
      </c>
    </row>
    <row r="6278" spans="1:5" x14ac:dyDescent="0.2">
      <c r="A6278">
        <v>6217</v>
      </c>
      <c r="B6278" s="138">
        <f>'Acct Summary 7-8'!E83</f>
        <v>-0.14029480737018427</v>
      </c>
      <c r="D6278" s="2" t="str">
        <f t="shared" si="97"/>
        <v>Error?</v>
      </c>
      <c r="E6278" s="2" t="s">
        <v>190</v>
      </c>
    </row>
    <row r="6279" spans="1:5" x14ac:dyDescent="0.2">
      <c r="A6279">
        <v>6218</v>
      </c>
      <c r="B6279" s="138">
        <f>'Acct Summary 7-8'!F83</f>
        <v>0.1807586751381631</v>
      </c>
      <c r="D6279" s="2" t="str">
        <f t="shared" si="97"/>
        <v>Error?</v>
      </c>
      <c r="E6279" s="2" t="s">
        <v>190</v>
      </c>
    </row>
    <row r="6280" spans="1:5" x14ac:dyDescent="0.2">
      <c r="A6280">
        <v>6219</v>
      </c>
      <c r="B6280" s="138">
        <f>'Acct Summary 7-8'!G83</f>
        <v>-0.31420568903151347</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2.1728448633436925E-2</v>
      </c>
      <c r="D6282" s="2" t="str">
        <f t="shared" si="97"/>
        <v>Error?</v>
      </c>
      <c r="E6282" s="2" t="s">
        <v>190</v>
      </c>
    </row>
    <row r="6283" spans="1:5" x14ac:dyDescent="0.2">
      <c r="A6283">
        <v>6222</v>
      </c>
      <c r="B6283" s="138">
        <f>'Acct Summary 7-8'!J83</f>
        <v>0.11428571428571428</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44418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44418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371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371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792</v>
      </c>
      <c r="D6350" s="2" t="str">
        <f t="shared" si="98"/>
        <v>Error?</v>
      </c>
      <c r="E6350" s="2" t="s">
        <v>190</v>
      </c>
    </row>
    <row r="6351" spans="1:5" x14ac:dyDescent="0.2">
      <c r="A6351">
        <v>6290</v>
      </c>
      <c r="B6351" s="138">
        <f>'Revenues 9-14'!J108</f>
        <v>792</v>
      </c>
      <c r="D6351" s="2" t="str">
        <f t="shared" si="98"/>
        <v>Error?</v>
      </c>
      <c r="E6351" s="2" t="s">
        <v>190</v>
      </c>
    </row>
    <row r="6352" spans="1:5" x14ac:dyDescent="0.2">
      <c r="A6352">
        <v>6291</v>
      </c>
      <c r="B6352" s="138">
        <f>'Revenues 9-14'!J109</f>
        <v>45581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13892</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13892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921</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921</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921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101834</v>
      </c>
      <c r="D6983" s="2" t="str">
        <f t="shared" si="108"/>
        <v>Error?</v>
      </c>
    </row>
    <row r="6984" spans="1:4" x14ac:dyDescent="0.2">
      <c r="A6984">
        <v>6923</v>
      </c>
      <c r="B6984" s="138">
        <f>'Expenditures 15-22'!K86</f>
        <v>101834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101834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14813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2726</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2726</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2726</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41429</v>
      </c>
      <c r="D7042" s="2" t="str">
        <f t="shared" si="109"/>
        <v>Error?</v>
      </c>
    </row>
    <row r="7043" spans="1:5" x14ac:dyDescent="0.2">
      <c r="A7043">
        <v>6982</v>
      </c>
      <c r="B7043" s="138">
        <f>'Revenues 9-14'!H9</f>
        <v>0</v>
      </c>
      <c r="D7043" s="2" t="str">
        <f t="shared" si="109"/>
        <v>Error?</v>
      </c>
    </row>
    <row r="7044" spans="1:5" x14ac:dyDescent="0.2">
      <c r="A7044">
        <v>6983</v>
      </c>
      <c r="B7044" s="138">
        <f>'Revenues 9-14'!D106</f>
        <v>1187</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2726</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45581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41429</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41429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41429</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41429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41429</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41429</v>
      </c>
      <c r="D7224" s="2" t="str">
        <f t="shared" si="111"/>
        <v>Error?</v>
      </c>
    </row>
    <row r="7225" spans="1:4" x14ac:dyDescent="0.2">
      <c r="A7225">
        <v>7164</v>
      </c>
      <c r="B7225" s="138">
        <f>'Expenditures 15-22'!K343</f>
        <v>4152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17539</v>
      </c>
      <c r="D7624" s="2" t="str">
        <f t="shared" si="124"/>
        <v>Error?</v>
      </c>
      <c r="E7624" s="2" t="s">
        <v>19</v>
      </c>
    </row>
    <row r="7625" spans="1:5" x14ac:dyDescent="0.2">
      <c r="A7625">
        <f t="shared" si="123"/>
        <v>7564</v>
      </c>
      <c r="B7625" s="138">
        <f>'Cap Outlay Deprec 26'!I17</f>
        <v>1753.9</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350625.9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1046013.3700000001</v>
      </c>
      <c r="D7797" s="2" t="str">
        <f t="shared" si="127"/>
        <v>Error?</v>
      </c>
      <c r="E7797" s="4" t="s">
        <v>1903</v>
      </c>
    </row>
    <row r="7798" spans="1:5" x14ac:dyDescent="0.2">
      <c r="A7798">
        <v>7737</v>
      </c>
      <c r="B7798" s="138">
        <f>'Contracts Paid in CY 29'!F141</f>
        <v>392059.62</v>
      </c>
      <c r="D7798" s="2" t="str">
        <f t="shared" si="127"/>
        <v>Error?</v>
      </c>
      <c r="E7798" s="4" t="s">
        <v>1903</v>
      </c>
    </row>
    <row r="7799" spans="1:5" x14ac:dyDescent="0.2">
      <c r="A7799">
        <v>7738</v>
      </c>
      <c r="B7799" s="138">
        <f>'Contracts Paid in CY 29'!G141</f>
        <v>613436.75</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G7" sqref="G7:L7"/>
    </sheetView>
  </sheetViews>
  <sheetFormatPr defaultColWidth="9.140625" defaultRowHeight="12.75" x14ac:dyDescent="0.2"/>
  <cols>
    <col min="1" max="1" width="7.85546875" style="1180" customWidth="1"/>
    <col min="2" max="2" width="2.42578125" style="1176" customWidth="1"/>
    <col min="3" max="3" width="9.140625" style="1180"/>
    <col min="4" max="4" width="13" style="1180" customWidth="1"/>
    <col min="5" max="5" width="16" style="1180" customWidth="1"/>
    <col min="6" max="6" width="4.140625" style="1180" customWidth="1"/>
    <col min="7" max="7" width="3.5703125" style="1180" customWidth="1"/>
    <col min="8" max="8" width="9.5703125" style="1180" customWidth="1"/>
    <col min="9" max="9" width="10.5703125" style="1180" customWidth="1"/>
    <col min="10" max="10" width="5" style="1180" customWidth="1"/>
    <col min="11" max="11" width="6.5703125" style="1180" customWidth="1"/>
    <col min="12" max="12" width="12.85546875" style="1180" customWidth="1"/>
    <col min="13" max="13" width="2.5703125" style="1180" customWidth="1"/>
    <col min="14" max="14" width="13.140625" style="1180" customWidth="1"/>
    <col min="15" max="15" width="7.140625" style="1180" customWidth="1"/>
    <col min="16" max="16" width="7" style="1180" customWidth="1"/>
    <col min="17" max="17" width="9.570312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1988</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Emmons SD 33</v>
      </c>
      <c r="B7" s="2384"/>
      <c r="C7" s="2384"/>
      <c r="D7" s="2421"/>
      <c r="E7" s="2422">
        <f>COVER!A13</f>
        <v>30049033002</v>
      </c>
      <c r="F7" s="2423"/>
      <c r="G7" s="2390" t="str">
        <f>COVER!T23</f>
        <v>066-005340</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EVANS, MARSHALL &amp; PEASE, P.C.</v>
      </c>
      <c r="H9" s="2397"/>
      <c r="I9" s="2397"/>
      <c r="J9" s="2397"/>
      <c r="K9" s="2397"/>
      <c r="L9" s="2398"/>
    </row>
    <row r="10" spans="1:29" ht="13.5" customHeight="1" x14ac:dyDescent="0.2">
      <c r="A10" s="2380">
        <f>COVER!A38</f>
        <v>0</v>
      </c>
      <c r="B10" s="2381"/>
      <c r="C10" s="2381"/>
      <c r="D10" s="2381"/>
      <c r="E10" s="2381"/>
      <c r="F10" s="2382"/>
      <c r="G10" s="2396" t="str">
        <f>COVER!T17</f>
        <v>1875 HICKS ROAD</v>
      </c>
      <c r="H10" s="2409"/>
      <c r="I10" s="2409"/>
      <c r="J10" s="2409"/>
      <c r="K10" s="2409"/>
      <c r="L10" s="2410"/>
    </row>
    <row r="11" spans="1:29" ht="13.5" customHeight="1" x14ac:dyDescent="0.2">
      <c r="A11" s="1184" t="s">
        <v>1519</v>
      </c>
      <c r="B11" s="1185"/>
      <c r="C11" s="1186"/>
      <c r="D11" s="1191"/>
      <c r="E11" s="1186"/>
      <c r="F11" s="1190"/>
      <c r="G11" s="2396" t="str">
        <f>COVER!T19</f>
        <v>ROLLING MEADOWS</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CHRIS@EMPCPA.COM</v>
      </c>
      <c r="J13" s="2418"/>
      <c r="K13" s="2418"/>
      <c r="L13" s="2419"/>
    </row>
    <row r="14" spans="1:29" ht="13.5" customHeight="1" x14ac:dyDescent="0.2">
      <c r="A14" s="2396" t="str">
        <f>COVER!A19</f>
        <v>24226 W. BEACH GROVE RD.</v>
      </c>
      <c r="B14" s="2409"/>
      <c r="C14" s="2409"/>
      <c r="D14" s="2409"/>
      <c r="E14" s="2409"/>
      <c r="F14" s="2410"/>
      <c r="G14" s="1195" t="s">
        <v>1185</v>
      </c>
      <c r="H14" s="1193"/>
      <c r="I14" s="1193"/>
      <c r="J14" s="1193"/>
      <c r="K14" s="1193"/>
      <c r="L14" s="1194"/>
    </row>
    <row r="15" spans="1:29" ht="13.5" customHeight="1" x14ac:dyDescent="0.2">
      <c r="A15" s="2396" t="str">
        <f>COVER!A21</f>
        <v>ANTIOCH</v>
      </c>
      <c r="B15" s="2409"/>
      <c r="C15" s="2409"/>
      <c r="D15" s="2409"/>
      <c r="E15" s="2409"/>
      <c r="F15" s="2410"/>
      <c r="G15" s="2406" t="str">
        <f>COVER!T15</f>
        <v>CHRISTOPHER M. SCALET, CPA</v>
      </c>
      <c r="H15" s="2407"/>
      <c r="I15" s="2407"/>
      <c r="J15" s="2407"/>
      <c r="K15" s="2407"/>
      <c r="L15" s="2408"/>
    </row>
    <row r="16" spans="1:29" ht="12.2" customHeight="1" x14ac:dyDescent="0.2">
      <c r="A16" s="2386">
        <f>COVER!A25</f>
        <v>60002</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847-221-5700</v>
      </c>
      <c r="H18" s="2384"/>
      <c r="I18" s="2384"/>
      <c r="J18" s="2384"/>
      <c r="K18" s="2383" t="str">
        <f>COVER!X21</f>
        <v>847-221-5701</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3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1.1"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1.1"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9" zoomScale="125" zoomScaleNormal="125" workbookViewId="0">
      <selection activeCell="B11" sqref="B11"/>
    </sheetView>
  </sheetViews>
  <sheetFormatPr defaultColWidth="10.5703125" defaultRowHeight="11.25" x14ac:dyDescent="0.2"/>
  <cols>
    <col min="1" max="1" width="1.5703125" style="1215" customWidth="1"/>
    <col min="2" max="2" width="2.5703125" style="1219" customWidth="1"/>
    <col min="3" max="3" width="3.42578125" style="1229" customWidth="1"/>
    <col min="4" max="4" width="97.5703125" style="1219" customWidth="1"/>
    <col min="5" max="5" width="4.140625" style="1219" customWidth="1"/>
    <col min="6" max="16384" width="10.5703125" style="1219"/>
  </cols>
  <sheetData>
    <row r="1" spans="1:11" s="1212" customFormat="1" ht="12.75" x14ac:dyDescent="0.2">
      <c r="A1" s="2424" t="str">
        <f>'Single Audit Cover'!A7</f>
        <v>Emmons SD 33</v>
      </c>
      <c r="B1" s="2420"/>
      <c r="C1" s="2420"/>
      <c r="D1" s="2420"/>
    </row>
    <row r="2" spans="1:11" s="1212" customFormat="1" ht="12.75" x14ac:dyDescent="0.2">
      <c r="A2" s="2425">
        <f>'Single Audit Cover'!E7</f>
        <v>30049033002</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5703125" defaultRowHeight="12.75" x14ac:dyDescent="0.2"/>
  <cols>
    <col min="1" max="1" width="31.85546875" style="317" customWidth="1"/>
    <col min="2" max="2" width="29.5703125" style="1255" customWidth="1"/>
    <col min="3" max="3" width="1.42578125" style="1255" customWidth="1"/>
    <col min="4" max="4" width="24.42578125" style="1256" customWidth="1"/>
    <col min="5" max="5" width="5" style="317" customWidth="1"/>
    <col min="6" max="16384" width="15.5703125" style="317"/>
  </cols>
  <sheetData>
    <row r="1" spans="1:5" x14ac:dyDescent="0.2">
      <c r="A1" s="2428" t="str">
        <f>'Single Audit Cover'!A7</f>
        <v>Emmons SD 33</v>
      </c>
      <c r="B1" s="2428"/>
      <c r="C1" s="2428"/>
      <c r="D1" s="2428"/>
      <c r="E1" s="2428"/>
    </row>
    <row r="2" spans="1:5" x14ac:dyDescent="0.2">
      <c r="A2" s="2429">
        <f>'Single Audit Cover'!E7</f>
        <v>30049033002</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75878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-375</v>
      </c>
    </row>
    <row r="19" spans="1:4" ht="13.5" thickBot="1" x14ac:dyDescent="0.25">
      <c r="A19" s="1262" t="s">
        <v>1235</v>
      </c>
      <c r="D19" s="1263">
        <f>SUM(D10:D17)</f>
        <v>75503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75503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75503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5703125" style="1354" customWidth="1"/>
    <col min="4" max="4" width="12.5703125" style="1355" customWidth="1"/>
    <col min="5" max="6" width="11.5703125" style="317" customWidth="1"/>
    <col min="7" max="7" width="11.5703125" style="1255" customWidth="1"/>
    <col min="8" max="8" width="13.5703125" style="1255" bestFit="1" customWidth="1"/>
    <col min="9" max="9" width="11.5703125" style="1255" customWidth="1"/>
    <col min="10" max="10" width="13.5703125" style="1255" customWidth="1"/>
    <col min="11" max="12" width="11.5703125" style="1255" customWidth="1"/>
    <col min="13" max="13" width="11.5703125" style="317" customWidth="1"/>
    <col min="14" max="14" width="2.5703125" style="317" customWidth="1"/>
    <col min="15" max="16384" width="33.5703125" style="317"/>
  </cols>
  <sheetData>
    <row r="1" spans="2:14" ht="11.85" customHeight="1" x14ac:dyDescent="0.2">
      <c r="B1" s="2389" t="str">
        <f>'Single Audit Cover'!A7</f>
        <v>Emmons SD 33</v>
      </c>
      <c r="C1" s="2432"/>
      <c r="D1" s="2432"/>
      <c r="E1" s="2432"/>
      <c r="F1" s="2432"/>
      <c r="G1" s="2432"/>
      <c r="H1" s="2432"/>
      <c r="I1" s="2432"/>
      <c r="J1" s="2432"/>
      <c r="K1" s="2432"/>
      <c r="L1" s="2432"/>
      <c r="M1" s="2432"/>
    </row>
    <row r="2" spans="2:14" ht="15" x14ac:dyDescent="0.2">
      <c r="B2" s="2433">
        <f>'Single Audit Cover'!E7</f>
        <v>30049033002</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42578125" style="317" customWidth="1"/>
    <col min="3" max="3" width="14" style="1255" customWidth="1"/>
    <col min="4" max="4" width="16.5703125" style="1255" customWidth="1"/>
    <col min="5" max="5" width="7.5703125" style="317" customWidth="1"/>
    <col min="6" max="6" width="2.5703125" style="317" customWidth="1"/>
    <col min="7" max="7" width="3.42578125" style="317" customWidth="1"/>
    <col min="8" max="16384" width="8" style="317"/>
  </cols>
  <sheetData>
    <row r="1" spans="1:7" ht="13.5" customHeight="1" x14ac:dyDescent="0.2">
      <c r="A1" s="2437" t="str">
        <f>'Single Audit Cover'!A7</f>
        <v>Emmons SD 33</v>
      </c>
      <c r="B1" s="2437"/>
      <c r="C1" s="2437"/>
      <c r="D1" s="2437"/>
      <c r="E1" s="2437"/>
      <c r="F1" s="2437"/>
    </row>
    <row r="2" spans="1:7" ht="13.5" customHeight="1" x14ac:dyDescent="0.2">
      <c r="A2" s="2433">
        <f>'Single Audit Cover'!E7</f>
        <v>30049033002</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1729</v>
      </c>
      <c r="B7" s="2436"/>
      <c r="C7" s="2436"/>
      <c r="D7" s="2436"/>
      <c r="E7" s="2436"/>
      <c r="F7" s="243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6" t="s">
        <v>1731</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c r="C17" s="1282"/>
      <c r="D17" s="2440"/>
      <c r="E17" s="2440"/>
      <c r="F17" s="2440"/>
    </row>
    <row r="18" spans="1:6" ht="20.85" customHeight="1" x14ac:dyDescent="0.2">
      <c r="A18" s="1280"/>
      <c r="B18" s="1281"/>
      <c r="C18" s="1282"/>
      <c r="D18" s="2440"/>
      <c r="E18" s="2440"/>
      <c r="F18" s="2440"/>
    </row>
    <row r="19" spans="1:6" ht="20.85" customHeight="1" x14ac:dyDescent="0.2">
      <c r="A19" s="1280"/>
      <c r="B19" s="1281"/>
      <c r="C19" s="1282"/>
      <c r="D19" s="2440"/>
      <c r="E19" s="2440"/>
      <c r="F19" s="2440"/>
    </row>
    <row r="20" spans="1:6" ht="20.85" customHeight="1" x14ac:dyDescent="0.2">
      <c r="A20" s="1280"/>
      <c r="B20" s="1281"/>
      <c r="C20" s="1282"/>
      <c r="D20" s="2440"/>
      <c r="E20" s="2440"/>
      <c r="F20" s="2440"/>
    </row>
    <row r="21" spans="1:6" ht="20.85" customHeight="1" x14ac:dyDescent="0.2">
      <c r="A21" s="1280"/>
      <c r="B21" s="1281"/>
      <c r="C21" s="1282"/>
      <c r="D21" s="2440"/>
      <c r="E21" s="2440"/>
      <c r="F21" s="2440"/>
    </row>
    <row r="22" spans="1:6" ht="20.85" customHeight="1" x14ac:dyDescent="0.2">
      <c r="A22" s="1280"/>
      <c r="B22" s="1281"/>
      <c r="C22" s="1282"/>
      <c r="D22" s="2440"/>
      <c r="E22" s="2440"/>
      <c r="F22" s="2440"/>
    </row>
    <row r="23" spans="1:6" ht="20.85" customHeight="1" x14ac:dyDescent="0.2">
      <c r="A23" s="1280"/>
      <c r="B23" s="1281"/>
      <c r="C23" s="1282"/>
      <c r="D23" s="2440"/>
      <c r="E23" s="2440"/>
      <c r="F23" s="2440"/>
    </row>
    <row r="24" spans="1:6" ht="20.85" customHeight="1" x14ac:dyDescent="0.2">
      <c r="A24" s="1280"/>
      <c r="B24" s="1281"/>
      <c r="C24" s="1282"/>
      <c r="D24" s="2440"/>
      <c r="E24" s="2440"/>
      <c r="F24" s="2440"/>
    </row>
    <row r="25" spans="1:6" ht="20.85" customHeight="1" x14ac:dyDescent="0.2">
      <c r="A25" s="1280"/>
      <c r="B25" s="1281"/>
      <c r="C25" s="1282"/>
      <c r="D25" s="2440"/>
      <c r="E25" s="2440"/>
      <c r="F25" s="2440"/>
    </row>
    <row r="26" spans="1:6" ht="20.85" customHeight="1" x14ac:dyDescent="0.2">
      <c r="A26" s="1280"/>
      <c r="B26" s="1281"/>
      <c r="C26" s="1282"/>
      <c r="D26" s="2440"/>
      <c r="E26" s="2440"/>
      <c r="F26" s="2440"/>
    </row>
    <row r="27" spans="1:6" ht="20.85" customHeight="1" x14ac:dyDescent="0.2">
      <c r="A27" s="1280"/>
      <c r="B27" s="1281"/>
      <c r="C27" s="1282"/>
      <c r="D27" s="2440"/>
      <c r="E27" s="2440"/>
      <c r="F27" s="2440"/>
    </row>
    <row r="28" spans="1:6" ht="20.85" customHeight="1" x14ac:dyDescent="0.2">
      <c r="A28" s="1280"/>
      <c r="B28" s="1281"/>
      <c r="C28" s="1282"/>
      <c r="D28" s="2440"/>
      <c r="E28" s="2440"/>
      <c r="F28" s="2440"/>
    </row>
    <row r="29" spans="1:6" ht="20.8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7" colorId="8" zoomScale="110" zoomScaleNormal="110" workbookViewId="0">
      <selection activeCell="H16" sqref="H1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570312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33512</v>
      </c>
      <c r="I53" s="237" t="s">
        <v>1483</v>
      </c>
    </row>
    <row r="54" spans="1:10" s="181" customFormat="1" x14ac:dyDescent="0.2">
      <c r="A54" s="219"/>
      <c r="B54" s="220" t="s">
        <v>2064</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t="s">
        <v>2075</v>
      </c>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2076</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42578125" style="317" customWidth="1"/>
    <col min="5" max="5" width="5.42578125" style="1255" customWidth="1"/>
    <col min="6" max="8" width="5.425781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Emmons SD 33</v>
      </c>
      <c r="C1" s="2453"/>
      <c r="D1" s="2453"/>
      <c r="E1" s="2453"/>
      <c r="F1" s="2453"/>
      <c r="G1" s="2453"/>
      <c r="H1" s="2453"/>
      <c r="I1" s="2453"/>
      <c r="J1" s="1406"/>
    </row>
    <row r="2" spans="2:10" s="317" customFormat="1" ht="12.75" customHeight="1" x14ac:dyDescent="0.2">
      <c r="B2" s="2454">
        <f>'Single Audit Cover'!E7</f>
        <v>30049033002</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c r="E29" s="2459"/>
      <c r="F29" s="2459"/>
      <c r="G29" s="2459"/>
      <c r="H29" s="2459"/>
      <c r="I29" s="245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0" t="s">
        <v>1751</v>
      </c>
      <c r="D37" s="2461"/>
      <c r="E37" s="2461"/>
      <c r="F37" s="2462"/>
      <c r="G37" s="2460" t="s">
        <v>1592</v>
      </c>
      <c r="H37" s="2461"/>
      <c r="I37" s="2462"/>
    </row>
    <row r="38" spans="2:9" ht="16.5" customHeight="1" x14ac:dyDescent="0.2">
      <c r="B38" s="1428"/>
      <c r="C38" s="2448"/>
      <c r="D38" s="2449"/>
      <c r="E38" s="2449"/>
      <c r="F38" s="2450"/>
      <c r="G38" s="2463"/>
      <c r="H38" s="2464"/>
      <c r="I38" s="2465"/>
    </row>
    <row r="39" spans="2:9" ht="16.5" customHeight="1" x14ac:dyDescent="0.2">
      <c r="B39" s="1428"/>
      <c r="C39" s="2448"/>
      <c r="D39" s="2449"/>
      <c r="E39" s="2449"/>
      <c r="F39" s="2450"/>
      <c r="G39" s="2451"/>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0</v>
      </c>
      <c r="H43" s="2469"/>
      <c r="I43" s="2469"/>
    </row>
    <row r="44" spans="2:9" ht="12.75" customHeight="1" x14ac:dyDescent="0.2"/>
    <row r="45" spans="2:9" ht="12.75" customHeight="1" x14ac:dyDescent="0.2">
      <c r="B45" s="1419" t="s">
        <v>2063</v>
      </c>
      <c r="D45" s="2470">
        <v>0</v>
      </c>
      <c r="E45" s="247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2"/>
      <c r="F49" s="2472"/>
      <c r="G49" s="247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Emmons SD 33</v>
      </c>
      <c r="C1" s="2452"/>
      <c r="D1" s="2452"/>
      <c r="E1" s="2452"/>
      <c r="F1" s="2452"/>
      <c r="G1" s="2452"/>
      <c r="H1" s="2452"/>
      <c r="I1" s="2452"/>
      <c r="J1" s="2452"/>
      <c r="K1" s="2452"/>
      <c r="L1" s="1371"/>
      <c r="M1" s="1371"/>
    </row>
    <row r="2" spans="1:13" ht="12" customHeight="1" x14ac:dyDescent="0.2">
      <c r="B2" s="2454">
        <f>'Single Audit Cover'!E7</f>
        <v>30049033002</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5703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Emmons SD 33</v>
      </c>
      <c r="C1" s="2479"/>
      <c r="D1" s="2479"/>
      <c r="E1" s="2479"/>
      <c r="F1" s="2479"/>
      <c r="G1" s="2479"/>
      <c r="H1" s="2479"/>
      <c r="I1" s="2479"/>
      <c r="J1" s="2479"/>
      <c r="K1" s="2479"/>
      <c r="L1" s="1449"/>
    </row>
    <row r="2" spans="1:12" ht="12.75" customHeight="1" x14ac:dyDescent="0.2">
      <c r="B2" s="2480">
        <f>'Single Audit Cover'!E7</f>
        <v>30049033002</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6"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6"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5703125" style="317" customWidth="1"/>
    <col min="3" max="3" width="40.5703125" style="317" customWidth="1"/>
    <col min="4" max="4" width="42.42578125" style="317" customWidth="1"/>
    <col min="5" max="5" width="8.140625" style="317" customWidth="1"/>
    <col min="6" max="9" width="9.140625" style="317"/>
    <col min="10" max="10" width="6.5703125" style="317" customWidth="1"/>
    <col min="11" max="16384" width="9.140625" style="317"/>
  </cols>
  <sheetData>
    <row r="1" spans="2:5" s="1279" customFormat="1" ht="12.75" customHeight="1" x14ac:dyDescent="0.2">
      <c r="B1" s="2452" t="str">
        <f>'Single Audit Cover'!A7</f>
        <v>Emmons SD 33</v>
      </c>
      <c r="C1" s="2452"/>
      <c r="D1" s="2452"/>
      <c r="E1" s="1469"/>
    </row>
    <row r="2" spans="2:5" s="1279" customFormat="1" ht="12.75" customHeight="1" x14ac:dyDescent="0.2">
      <c r="B2" s="2454">
        <f>'Single Audit Cover'!E7</f>
        <v>30049033002</v>
      </c>
      <c r="C2" s="2454"/>
      <c r="D2" s="2454"/>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3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5" zoomScaleNormal="115" workbookViewId="0">
      <selection activeCell="H16" sqref="H16"/>
    </sheetView>
  </sheetViews>
  <sheetFormatPr defaultColWidth="9.140625" defaultRowHeight="12" x14ac:dyDescent="0.2"/>
  <cols>
    <col min="1" max="1" width="4.85546875" style="222" customWidth="1"/>
    <col min="2" max="2" width="2.5703125" style="347" customWidth="1"/>
    <col min="3" max="3" width="3.5703125" style="347" customWidth="1"/>
    <col min="4" max="4" width="14.5703125" style="347" customWidth="1"/>
    <col min="5" max="5" width="2.5703125" style="347" customWidth="1"/>
    <col min="6" max="6" width="14.5703125" style="347" customWidth="1"/>
    <col min="7" max="7" width="4" style="347" customWidth="1"/>
    <col min="8" max="8" width="14.5703125" style="347" customWidth="1"/>
    <col min="9" max="9" width="2.5703125" style="347" customWidth="1"/>
    <col min="10" max="10" width="14.5703125" style="347" customWidth="1"/>
    <col min="11" max="11" width="2.5703125" style="347" customWidth="1"/>
    <col min="12" max="12" width="14.5703125" style="347" customWidth="1"/>
    <col min="13" max="13" width="2.5703125" style="347" customWidth="1"/>
    <col min="14" max="14" width="3.5703125" style="222" customWidth="1"/>
    <col min="15" max="15" width="4.5703125" style="347" customWidth="1"/>
    <col min="16" max="17" width="5.570312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1.1"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1.1"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111967114</v>
      </c>
      <c r="K7" s="222"/>
      <c r="L7" s="222"/>
      <c r="M7" s="222"/>
    </row>
    <row r="8" spans="1:14" ht="11.1"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2.86E-2</v>
      </c>
      <c r="E10" s="356" t="s">
        <v>1005</v>
      </c>
      <c r="F10" s="355">
        <v>5.11E-3</v>
      </c>
      <c r="G10" s="356" t="s">
        <v>1005</v>
      </c>
      <c r="H10" s="355">
        <v>1.227E-3</v>
      </c>
      <c r="I10" s="356" t="s">
        <v>1006</v>
      </c>
      <c r="J10" s="1732">
        <f>ROUND(D10+F10+H10,5)</f>
        <v>3.4939999999999999E-2</v>
      </c>
      <c r="K10" s="222"/>
      <c r="L10" s="355"/>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1.1"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4402496</v>
      </c>
      <c r="E16" s="356"/>
      <c r="F16" s="1733">
        <f>SUM('Acct Summary 7-8'!C17,'Acct Summary 7-8'!D17,'Acct Summary 7-8'!F17)</f>
        <v>4055883</v>
      </c>
      <c r="G16" s="356"/>
      <c r="H16" s="1733">
        <f>SUM(D16-F16)</f>
        <v>346613</v>
      </c>
      <c r="I16" s="222"/>
      <c r="J16" s="1733">
        <f>SUM('Acct Summary 7-8'!C81,'Acct Summary 7-8'!D81,'Acct Summary 7-8'!F81,'Acct Summary 7-8'!I81)</f>
        <v>4352091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1.1"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7725730.8660000004</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6359143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H16" sqref="H16"/>
    </sheetView>
  </sheetViews>
  <sheetFormatPr defaultColWidth="9.140625" defaultRowHeight="12" x14ac:dyDescent="0.2"/>
  <cols>
    <col min="1" max="1" width="2" style="385" customWidth="1"/>
    <col min="2" max="2" width="2.5703125" style="447" customWidth="1"/>
    <col min="3" max="3" width="15.42578125" style="385" customWidth="1"/>
    <col min="4" max="4" width="37.85546875" style="385" customWidth="1"/>
    <col min="5" max="5" width="1.5703125" style="385" customWidth="1"/>
    <col min="6" max="6" width="31.140625" style="385" customWidth="1"/>
    <col min="7" max="7" width="1.5703125" style="385" customWidth="1"/>
    <col min="8" max="8" width="15.5703125" style="449" customWidth="1"/>
    <col min="9" max="9" width="2.5703125" style="385" customWidth="1"/>
    <col min="10" max="10" width="5.85546875" style="385" hidden="1" customWidth="1"/>
    <col min="11" max="11" width="10.5703125" style="449" customWidth="1"/>
    <col min="12" max="12" width="2.5703125" style="385" customWidth="1"/>
    <col min="13" max="13" width="10.5703125" style="385" customWidth="1"/>
    <col min="14" max="14" width="2.5703125" style="385" customWidth="1"/>
    <col min="15" max="15" width="10.5703125" style="385" customWidth="1"/>
    <col min="16" max="16" width="0.85546875" style="385" customWidth="1"/>
    <col min="17" max="18" width="2.570312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Emmons SD 33</v>
      </c>
      <c r="E7" s="391"/>
      <c r="G7" s="252"/>
      <c r="H7" s="387"/>
      <c r="I7" s="387"/>
      <c r="J7" s="387"/>
      <c r="K7" s="387"/>
      <c r="L7" s="329"/>
      <c r="M7" s="329"/>
      <c r="N7" s="329"/>
      <c r="O7" s="329"/>
      <c r="P7" s="329"/>
    </row>
    <row r="8" spans="1:18" ht="12.75" x14ac:dyDescent="0.2">
      <c r="A8" s="329"/>
      <c r="B8" s="329"/>
      <c r="C8" s="389" t="s">
        <v>1125</v>
      </c>
      <c r="D8" s="392">
        <f>COVER!A13</f>
        <v>30049033002</v>
      </c>
      <c r="E8" s="393"/>
      <c r="G8" s="329"/>
      <c r="H8" s="329"/>
      <c r="I8" s="329"/>
      <c r="J8" s="329"/>
      <c r="K8" s="329"/>
      <c r="L8" s="329"/>
      <c r="M8" s="329"/>
      <c r="N8" s="329"/>
      <c r="O8" s="329"/>
      <c r="P8" s="329"/>
    </row>
    <row r="9" spans="1:18" ht="12.75" x14ac:dyDescent="0.2">
      <c r="A9" s="329"/>
      <c r="B9" s="329"/>
      <c r="C9" s="389" t="s">
        <v>713</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4352091</v>
      </c>
      <c r="I12" s="404"/>
      <c r="J12" s="404"/>
      <c r="K12" s="405">
        <f>TRUNC((H12/H13*100000),5)/100000</f>
        <v>0.98855081290000002</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4402496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4055883</v>
      </c>
      <c r="I17" s="404"/>
      <c r="J17" s="416"/>
      <c r="K17" s="405">
        <f>TRUNC((H17/H18*100000),5)/100000</f>
        <v>0.92126898010000002</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4402496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4352091</v>
      </c>
      <c r="I24" s="422"/>
      <c r="J24" s="422"/>
      <c r="K24" s="423">
        <f>TRUNC(((H24/H25*100000)/100000),2)</f>
        <v>386.29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11266.34167</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3325311.3186900001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6359143</v>
      </c>
      <c r="I32" s="420"/>
      <c r="J32" s="420"/>
      <c r="K32" s="423">
        <f>TRUNC(100-((((H32/H33*100))*100)/100),2)</f>
        <v>17.68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7725730.8660000004</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Normal="100" workbookViewId="0">
      <pane ySplit="2" topLeftCell="A18" activePane="bottomLeft" state="frozen"/>
      <selection activeCell="H16" sqref="H16"/>
      <selection pane="bottomLeft" activeCell="H16" sqref="H16"/>
    </sheetView>
  </sheetViews>
  <sheetFormatPr defaultColWidth="9.140625" defaultRowHeight="12.75" x14ac:dyDescent="0.2"/>
  <cols>
    <col min="1" max="1" width="47.42578125" style="501" customWidth="1"/>
    <col min="2" max="2" width="4.5703125" style="502" customWidth="1"/>
    <col min="3" max="14" width="13.570312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2769826</v>
      </c>
      <c r="D4" s="466">
        <v>1159568</v>
      </c>
      <c r="E4" s="466">
        <v>149250</v>
      </c>
      <c r="F4" s="466">
        <v>265990</v>
      </c>
      <c r="G4" s="466">
        <v>71049</v>
      </c>
      <c r="H4" s="466"/>
      <c r="I4" s="466">
        <v>156707</v>
      </c>
      <c r="J4" s="467">
        <v>36330</v>
      </c>
      <c r="K4" s="466"/>
      <c r="L4" s="466">
        <v>27304</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2769826</v>
      </c>
      <c r="D13" s="1737">
        <f t="shared" ref="D13:L13" si="0">SUM(D4:D12)</f>
        <v>1159568</v>
      </c>
      <c r="E13" s="1737">
        <f t="shared" si="0"/>
        <v>149250</v>
      </c>
      <c r="F13" s="1737">
        <f t="shared" si="0"/>
        <v>265990</v>
      </c>
      <c r="G13" s="1737">
        <f t="shared" si="0"/>
        <v>71049</v>
      </c>
      <c r="H13" s="1737">
        <f t="shared" si="0"/>
        <v>0</v>
      </c>
      <c r="I13" s="1737">
        <f t="shared" si="0"/>
        <v>156707</v>
      </c>
      <c r="J13" s="1737">
        <f t="shared" si="0"/>
        <v>36330</v>
      </c>
      <c r="K13" s="1737">
        <f t="shared" si="0"/>
        <v>0</v>
      </c>
      <c r="L13" s="1737">
        <f t="shared" si="0"/>
        <v>27304</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20000</v>
      </c>
      <c r="N16" s="484"/>
    </row>
    <row r="17" spans="1:14" s="485" customFormat="1" ht="12.75" customHeight="1" x14ac:dyDescent="0.2">
      <c r="A17" s="482" t="s">
        <v>1403</v>
      </c>
      <c r="B17" s="483">
        <v>230</v>
      </c>
      <c r="C17" s="477"/>
      <c r="D17" s="477"/>
      <c r="E17" s="477"/>
      <c r="F17" s="477"/>
      <c r="G17" s="477"/>
      <c r="H17" s="477"/>
      <c r="I17" s="477"/>
      <c r="J17" s="477"/>
      <c r="K17" s="477"/>
      <c r="L17" s="477"/>
      <c r="M17" s="467">
        <v>11067553</v>
      </c>
      <c r="N17" s="484"/>
    </row>
    <row r="18" spans="1:14" s="485" customFormat="1" ht="12.75" customHeight="1" x14ac:dyDescent="0.2">
      <c r="A18" s="482" t="s">
        <v>1404</v>
      </c>
      <c r="B18" s="483">
        <v>240</v>
      </c>
      <c r="C18" s="477"/>
      <c r="D18" s="477"/>
      <c r="E18" s="477"/>
      <c r="F18" s="477"/>
      <c r="G18" s="477"/>
      <c r="H18" s="477"/>
      <c r="I18" s="477"/>
      <c r="J18" s="477"/>
      <c r="K18" s="477"/>
      <c r="L18" s="477"/>
      <c r="M18" s="467">
        <v>278576</v>
      </c>
      <c r="N18" s="484"/>
    </row>
    <row r="19" spans="1:14" s="485" customFormat="1" ht="12.75" customHeight="1" x14ac:dyDescent="0.2">
      <c r="A19" s="482" t="s">
        <v>1405</v>
      </c>
      <c r="B19" s="483">
        <v>250</v>
      </c>
      <c r="C19" s="477"/>
      <c r="D19" s="477"/>
      <c r="E19" s="477"/>
      <c r="F19" s="477"/>
      <c r="G19" s="477"/>
      <c r="H19" s="477"/>
      <c r="I19" s="477"/>
      <c r="J19" s="477"/>
      <c r="K19" s="477"/>
      <c r="L19" s="477"/>
      <c r="M19" s="467">
        <v>1159487</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149250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6209893</v>
      </c>
    </row>
    <row r="23" spans="1:14" ht="13.5" customHeight="1" thickBot="1" x14ac:dyDescent="0.25">
      <c r="A23" s="1736" t="s">
        <v>643</v>
      </c>
      <c r="B23" s="1741"/>
      <c r="C23" s="468"/>
      <c r="D23" s="468"/>
      <c r="E23" s="468"/>
      <c r="F23" s="468"/>
      <c r="G23" s="468"/>
      <c r="H23" s="468"/>
      <c r="I23" s="468"/>
      <c r="J23" s="468"/>
      <c r="K23" s="468"/>
      <c r="L23" s="468"/>
      <c r="M23" s="1688">
        <f>SUM(M15:M22)</f>
        <v>12525616</v>
      </c>
      <c r="N23" s="1688">
        <f>SUM(N21:N22)</f>
        <v>6359143</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27304</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27304</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6359143</v>
      </c>
    </row>
    <row r="37" spans="1:14" ht="13.5" thickBot="1" x14ac:dyDescent="0.25">
      <c r="A37" s="1736" t="s">
        <v>653</v>
      </c>
      <c r="B37" s="1741"/>
      <c r="C37" s="477"/>
      <c r="D37" s="477"/>
      <c r="E37" s="477"/>
      <c r="F37" s="477"/>
      <c r="G37" s="477"/>
      <c r="H37" s="477"/>
      <c r="I37" s="477"/>
      <c r="J37" s="477"/>
      <c r="K37" s="477"/>
      <c r="L37" s="480"/>
      <c r="M37" s="468"/>
      <c r="N37" s="1688">
        <f>SUM(N36:N36)</f>
        <v>6359143</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2769826</v>
      </c>
      <c r="D39" s="466">
        <v>1159568</v>
      </c>
      <c r="E39" s="466">
        <v>149250</v>
      </c>
      <c r="F39" s="466">
        <v>265990</v>
      </c>
      <c r="G39" s="466">
        <v>71049</v>
      </c>
      <c r="H39" s="466"/>
      <c r="I39" s="466">
        <v>156707</v>
      </c>
      <c r="J39" s="467">
        <v>36330</v>
      </c>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12525616</v>
      </c>
      <c r="N40" s="497"/>
    </row>
    <row r="41" spans="1:14" ht="13.5" customHeight="1" thickBot="1" x14ac:dyDescent="0.25">
      <c r="A41" s="1736" t="s">
        <v>655</v>
      </c>
      <c r="B41" s="1706"/>
      <c r="C41" s="1688">
        <f>(SUM(C34,C37,C38,C39))</f>
        <v>2769826</v>
      </c>
      <c r="D41" s="1688">
        <f t="shared" ref="D41:L41" si="2">SUM(D34,D37,D38:D39)</f>
        <v>1159568</v>
      </c>
      <c r="E41" s="1688">
        <f t="shared" si="2"/>
        <v>149250</v>
      </c>
      <c r="F41" s="1688">
        <f t="shared" si="2"/>
        <v>265990</v>
      </c>
      <c r="G41" s="1688">
        <f t="shared" si="2"/>
        <v>71049</v>
      </c>
      <c r="H41" s="1688">
        <f t="shared" si="2"/>
        <v>0</v>
      </c>
      <c r="I41" s="1688">
        <f t="shared" si="2"/>
        <v>156707</v>
      </c>
      <c r="J41" s="1688">
        <f t="shared" si="2"/>
        <v>36330</v>
      </c>
      <c r="K41" s="1688">
        <f t="shared" si="2"/>
        <v>0</v>
      </c>
      <c r="L41" s="1688">
        <f t="shared" si="2"/>
        <v>27304</v>
      </c>
      <c r="M41" s="1688">
        <f>SUM(M40)</f>
        <v>12525616</v>
      </c>
      <c r="N41" s="1688">
        <f>SUM(N37)</f>
        <v>6359143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C1" colorId="8" zoomScale="110" zoomScaleNormal="110" zoomScaleSheetLayoutView="100" workbookViewId="0">
      <pane ySplit="2" topLeftCell="A57" activePane="bottomLeft" state="frozen"/>
      <selection activeCell="H16" sqref="H16"/>
      <selection pane="bottomLeft" activeCell="H16" sqref="H16"/>
    </sheetView>
  </sheetViews>
  <sheetFormatPr defaultColWidth="9.140625" defaultRowHeight="12.75" x14ac:dyDescent="0.2"/>
  <cols>
    <col min="1" max="1" width="55.85546875" style="501" customWidth="1"/>
    <col min="2" max="2" width="4.5703125" style="502" customWidth="1"/>
    <col min="3" max="11" width="13.570312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3291056</v>
      </c>
      <c r="D4" s="1742">
        <f>'Revenues 9-14'!D109</f>
        <v>568736</v>
      </c>
      <c r="E4" s="1742">
        <f>'Revenues 9-14'!E109</f>
        <v>472006</v>
      </c>
      <c r="F4" s="1742">
        <f>'Revenues 9-14'!F109</f>
        <v>138804</v>
      </c>
      <c r="G4" s="1742">
        <f>'Revenues 9-14'!G109</f>
        <v>103553</v>
      </c>
      <c r="H4" s="1742">
        <f>'Revenues 9-14'!H109</f>
        <v>0</v>
      </c>
      <c r="I4" s="1742">
        <f>'Revenues 9-14'!I109</f>
        <v>3405</v>
      </c>
      <c r="J4" s="1742">
        <f>'Revenues 9-14'!J109</f>
        <v>45581</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225810</v>
      </c>
      <c r="D6" s="1743">
        <f>'Revenues 9-14'!D170</f>
        <v>0</v>
      </c>
      <c r="E6" s="1743">
        <f>'Revenues 9-14'!E170</f>
        <v>0</v>
      </c>
      <c r="F6" s="1743">
        <f>'Revenues 9-14'!F170</f>
        <v>98807</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75878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3592744</v>
      </c>
      <c r="D8" s="1688">
        <f t="shared" ref="D8:K8" si="0">SUM(D4:D7)</f>
        <v>568736</v>
      </c>
      <c r="E8" s="1688">
        <f t="shared" si="0"/>
        <v>472006</v>
      </c>
      <c r="F8" s="1688">
        <f t="shared" si="0"/>
        <v>237611</v>
      </c>
      <c r="G8" s="1688">
        <f t="shared" si="0"/>
        <v>103553</v>
      </c>
      <c r="H8" s="1688">
        <f t="shared" si="0"/>
        <v>0</v>
      </c>
      <c r="I8" s="1688">
        <f t="shared" si="0"/>
        <v>3405</v>
      </c>
      <c r="J8" s="1688">
        <f t="shared" si="0"/>
        <v>45581</v>
      </c>
      <c r="K8" s="1688">
        <f t="shared" si="0"/>
        <v>0</v>
      </c>
      <c r="L8" s="347"/>
    </row>
    <row r="9" spans="1:13" ht="15.75" thickTop="1" x14ac:dyDescent="0.2">
      <c r="A9" s="514" t="s">
        <v>1653</v>
      </c>
      <c r="B9" s="515">
        <v>3998</v>
      </c>
      <c r="C9" s="481">
        <v>1264714</v>
      </c>
      <c r="D9" s="516"/>
      <c r="E9" s="481"/>
      <c r="F9" s="481"/>
      <c r="G9" s="517"/>
      <c r="H9" s="481"/>
      <c r="I9" s="509" t="s">
        <v>1169</v>
      </c>
      <c r="J9" s="478"/>
      <c r="K9" s="481"/>
      <c r="L9" s="347"/>
    </row>
    <row r="10" spans="1:13" s="519" customFormat="1" ht="13.5" thickBot="1" x14ac:dyDescent="0.25">
      <c r="A10" s="1736" t="s">
        <v>1173</v>
      </c>
      <c r="B10" s="1709"/>
      <c r="C10" s="1688">
        <f>SUM(C8:C9)</f>
        <v>4857458</v>
      </c>
      <c r="D10" s="1688">
        <f t="shared" ref="D10:K10" si="1">SUM(D8:D9)</f>
        <v>568736</v>
      </c>
      <c r="E10" s="1688">
        <f t="shared" si="1"/>
        <v>472006</v>
      </c>
      <c r="F10" s="1688">
        <f t="shared" si="1"/>
        <v>237611</v>
      </c>
      <c r="G10" s="1688">
        <f t="shared" si="1"/>
        <v>103553</v>
      </c>
      <c r="H10" s="1688">
        <f t="shared" si="1"/>
        <v>0</v>
      </c>
      <c r="I10" s="1688">
        <f t="shared" si="1"/>
        <v>3405</v>
      </c>
      <c r="J10" s="1688">
        <f t="shared" si="1"/>
        <v>45581</v>
      </c>
      <c r="K10" s="1688">
        <f t="shared" si="1"/>
        <v>0</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2439142</v>
      </c>
      <c r="D12" s="520" t="s">
        <v>1169</v>
      </c>
      <c r="E12" s="468" t="s">
        <v>1169</v>
      </c>
      <c r="F12" s="468" t="s">
        <v>1169</v>
      </c>
      <c r="G12" s="1742">
        <f>'Expenditures 15-22'!K229</f>
        <v>45663</v>
      </c>
      <c r="H12" s="521"/>
      <c r="I12" s="468" t="s">
        <v>1169</v>
      </c>
      <c r="J12" s="468" t="s">
        <v>1169</v>
      </c>
      <c r="K12" s="521" t="s">
        <v>1169</v>
      </c>
      <c r="L12" s="347"/>
    </row>
    <row r="13" spans="1:13" ht="15.75" customHeight="1" x14ac:dyDescent="0.2">
      <c r="A13" s="1576" t="s">
        <v>457</v>
      </c>
      <c r="B13" s="1578">
        <v>2000</v>
      </c>
      <c r="C13" s="1743">
        <f>'Expenditures 15-22'!K74</f>
        <v>901130</v>
      </c>
      <c r="D13" s="1743">
        <f>'Expenditures 15-22'!K129</f>
        <v>381702</v>
      </c>
      <c r="E13" s="469" t="s">
        <v>1169</v>
      </c>
      <c r="F13" s="1743">
        <f>'Expenditures 15-22'!K184</f>
        <v>189531</v>
      </c>
      <c r="G13" s="1743">
        <f>'Expenditures 15-22'!K279</f>
        <v>72523</v>
      </c>
      <c r="H13" s="1743">
        <f>'Expenditures 15-22'!K303</f>
        <v>0</v>
      </c>
      <c r="I13" s="468" t="s">
        <v>1169</v>
      </c>
      <c r="J13" s="1743">
        <f>'Expenditures 15-22'!K330</f>
        <v>41429</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144378</v>
      </c>
      <c r="D15" s="1743">
        <f>'Expenditures 15-22'!K139</f>
        <v>0</v>
      </c>
      <c r="E15" s="1743">
        <f>'Expenditures 15-22'!K160</f>
        <v>0</v>
      </c>
      <c r="F15" s="1743">
        <f>'Expenditures 15-22'!K196</f>
        <v>0</v>
      </c>
      <c r="G15" s="1743">
        <f>'Expenditures 15-22'!K285</f>
        <v>7691</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492945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3484650</v>
      </c>
      <c r="D17" s="1688">
        <f t="shared" si="2"/>
        <v>381702</v>
      </c>
      <c r="E17" s="1688">
        <f t="shared" si="2"/>
        <v>492945</v>
      </c>
      <c r="F17" s="1688">
        <f t="shared" si="2"/>
        <v>189531</v>
      </c>
      <c r="G17" s="1688">
        <f t="shared" si="2"/>
        <v>125877</v>
      </c>
      <c r="H17" s="1688">
        <f t="shared" si="2"/>
        <v>0</v>
      </c>
      <c r="I17" s="468"/>
      <c r="J17" s="1688">
        <f>SUM(J12:J16)</f>
        <v>41429</v>
      </c>
      <c r="K17" s="1688">
        <f>SUM(K12:K16)</f>
        <v>0</v>
      </c>
      <c r="L17" s="347"/>
    </row>
    <row r="18" spans="1:12" ht="15" customHeight="1" thickTop="1" x14ac:dyDescent="0.2">
      <c r="A18" s="1744" t="s">
        <v>1654</v>
      </c>
      <c r="B18" s="1745">
        <v>4180</v>
      </c>
      <c r="C18" s="1742">
        <f t="shared" ref="C18:H18" si="3">C9</f>
        <v>1264714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4749364</v>
      </c>
      <c r="D19" s="1688">
        <f t="shared" si="4"/>
        <v>381702</v>
      </c>
      <c r="E19" s="1688">
        <f t="shared" si="4"/>
        <v>492945</v>
      </c>
      <c r="F19" s="1688">
        <f t="shared" si="4"/>
        <v>189531</v>
      </c>
      <c r="G19" s="1688">
        <f t="shared" si="4"/>
        <v>125877</v>
      </c>
      <c r="H19" s="1688">
        <f t="shared" si="4"/>
        <v>0</v>
      </c>
      <c r="I19" s="468"/>
      <c r="J19" s="1688">
        <f>SUM(J17:J18)</f>
        <v>41429</v>
      </c>
      <c r="K19" s="1688">
        <f>SUM(K17:K18)</f>
        <v>0</v>
      </c>
      <c r="L19" s="347"/>
    </row>
    <row r="20" spans="1:12" ht="16.5" thickTop="1" thickBot="1" x14ac:dyDescent="0.25">
      <c r="A20" s="2125" t="s">
        <v>1655</v>
      </c>
      <c r="B20" s="2126"/>
      <c r="C20" s="1746">
        <f>C8-C17</f>
        <v>108094</v>
      </c>
      <c r="D20" s="1746">
        <f t="shared" ref="D20:K20" si="5">D8-D17</f>
        <v>187034</v>
      </c>
      <c r="E20" s="1746">
        <f t="shared" si="5"/>
        <v>-20939</v>
      </c>
      <c r="F20" s="1746">
        <f t="shared" si="5"/>
        <v>48080</v>
      </c>
      <c r="G20" s="1746">
        <f t="shared" si="5"/>
        <v>-22324</v>
      </c>
      <c r="H20" s="1746">
        <f t="shared" si="5"/>
        <v>0</v>
      </c>
      <c r="I20" s="1746">
        <f t="shared" si="5"/>
        <v>3405</v>
      </c>
      <c r="J20" s="1746">
        <f t="shared" si="5"/>
        <v>4152</v>
      </c>
      <c r="K20" s="1746">
        <f t="shared" si="5"/>
        <v>0</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v>5211</v>
      </c>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5211</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7" t="s">
        <v>1177</v>
      </c>
      <c r="B77" s="2118"/>
      <c r="C77" s="1703">
        <f t="shared" ref="C77:K77" si="8">C44-C76</f>
        <v>5211</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1" t="s">
        <v>597</v>
      </c>
      <c r="B78" s="2122"/>
      <c r="C78" s="1702">
        <f t="shared" ref="C78:K78" si="9">C20+C77</f>
        <v>113305</v>
      </c>
      <c r="D78" s="1702">
        <f t="shared" si="9"/>
        <v>187034</v>
      </c>
      <c r="E78" s="1702">
        <f t="shared" si="9"/>
        <v>-20939</v>
      </c>
      <c r="F78" s="1702">
        <f t="shared" si="9"/>
        <v>48080</v>
      </c>
      <c r="G78" s="1702">
        <f t="shared" si="9"/>
        <v>-22324</v>
      </c>
      <c r="H78" s="1702">
        <f t="shared" si="9"/>
        <v>0</v>
      </c>
      <c r="I78" s="1702">
        <f t="shared" si="9"/>
        <v>3405</v>
      </c>
      <c r="J78" s="1702">
        <f t="shared" si="9"/>
        <v>4152</v>
      </c>
      <c r="K78" s="1702">
        <f t="shared" si="9"/>
        <v>0</v>
      </c>
      <c r="L78" s="533"/>
    </row>
    <row r="79" spans="1:12" ht="13.5" thickTop="1" x14ac:dyDescent="0.2">
      <c r="A79" s="1494" t="s">
        <v>1948</v>
      </c>
      <c r="B79" s="534"/>
      <c r="C79" s="478">
        <v>2656521</v>
      </c>
      <c r="D79" s="535">
        <v>972534</v>
      </c>
      <c r="E79" s="535">
        <v>170189</v>
      </c>
      <c r="F79" s="535">
        <v>217910</v>
      </c>
      <c r="G79" s="535">
        <v>93373</v>
      </c>
      <c r="H79" s="535"/>
      <c r="I79" s="535">
        <v>153302</v>
      </c>
      <c r="J79" s="535">
        <v>32178</v>
      </c>
      <c r="K79" s="535"/>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1949</v>
      </c>
      <c r="B81" s="2120"/>
      <c r="C81" s="1688">
        <f>(SUM(C78:C80))</f>
        <v>2769826</v>
      </c>
      <c r="D81" s="1688">
        <f>SUM(D78:D80)</f>
        <v>1159568</v>
      </c>
      <c r="E81" s="1688">
        <f t="shared" ref="E81:K81" si="10">SUM(E78:E80)</f>
        <v>149250</v>
      </c>
      <c r="F81" s="1688">
        <f t="shared" si="10"/>
        <v>265990</v>
      </c>
      <c r="G81" s="1688">
        <f t="shared" si="10"/>
        <v>71049</v>
      </c>
      <c r="H81" s="1688">
        <f t="shared" si="10"/>
        <v>0</v>
      </c>
      <c r="I81" s="1688">
        <f t="shared" si="10"/>
        <v>156707</v>
      </c>
      <c r="J81" s="1688">
        <f t="shared" si="10"/>
        <v>36330</v>
      </c>
      <c r="K81" s="1688">
        <f t="shared" si="10"/>
        <v>0</v>
      </c>
      <c r="L81" s="347"/>
    </row>
    <row r="82" spans="1:12" ht="0.75" customHeight="1" thickTop="1" thickBot="1" x14ac:dyDescent="0.25">
      <c r="A82" s="536" t="s">
        <v>343</v>
      </c>
      <c r="B82" s="537"/>
      <c r="C82" s="538">
        <f>(C81-C79)</f>
        <v>113305</v>
      </c>
      <c r="D82" s="538">
        <f t="shared" ref="D82:K82" si="11">(D81-D79)</f>
        <v>187034</v>
      </c>
      <c r="E82" s="538">
        <f t="shared" si="11"/>
        <v>-20939</v>
      </c>
      <c r="F82" s="538">
        <f t="shared" si="11"/>
        <v>48080</v>
      </c>
      <c r="G82" s="538">
        <f t="shared" si="11"/>
        <v>-22324</v>
      </c>
      <c r="H82" s="538">
        <f t="shared" si="11"/>
        <v>0</v>
      </c>
      <c r="I82" s="538">
        <f t="shared" si="11"/>
        <v>3405</v>
      </c>
      <c r="J82" s="538">
        <f t="shared" si="11"/>
        <v>4152</v>
      </c>
      <c r="K82" s="538">
        <f t="shared" si="11"/>
        <v>0</v>
      </c>
    </row>
    <row r="83" spans="1:12" ht="14.25" hidden="1" thickTop="1" thickBot="1" x14ac:dyDescent="0.25">
      <c r="A83" s="539" t="s">
        <v>344</v>
      </c>
      <c r="B83" s="464"/>
      <c r="C83" s="540">
        <f>C82/C81</f>
        <v>4.0906901733177466E-2</v>
      </c>
      <c r="D83" s="540">
        <f t="shared" ref="D83:K83" si="12">D82/D81</f>
        <v>0.16129627585445613</v>
      </c>
      <c r="E83" s="540">
        <f t="shared" si="12"/>
        <v>-0.14029480737018427</v>
      </c>
      <c r="F83" s="540">
        <f t="shared" si="12"/>
        <v>0.1807586751381631</v>
      </c>
      <c r="G83" s="540">
        <f t="shared" si="12"/>
        <v>-0.31420568903151347</v>
      </c>
      <c r="H83" s="540" t="e">
        <f t="shared" si="12"/>
        <v>#DIV/0!</v>
      </c>
      <c r="I83" s="540">
        <f t="shared" si="12"/>
        <v>2.1728448633436925E-2</v>
      </c>
      <c r="J83" s="540">
        <f t="shared" si="12"/>
        <v>0.11428571428571428</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B1" colorId="8" zoomScale="145" zoomScaleNormal="145" zoomScaleSheetLayoutView="75" workbookViewId="0">
      <pane ySplit="2" topLeftCell="A116" activePane="bottomLeft" state="frozen"/>
      <selection activeCell="H16" sqref="H16"/>
      <selection pane="bottomLeft" activeCell="C117" sqref="C117"/>
    </sheetView>
  </sheetViews>
  <sheetFormatPr defaultColWidth="9.140625" defaultRowHeight="12.75" x14ac:dyDescent="0.2"/>
  <cols>
    <col min="1" max="1" width="54.140625" style="594" customWidth="1"/>
    <col min="2" max="2" width="4.5703125" style="595" customWidth="1"/>
    <col min="3" max="11" width="13.570312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2990444</v>
      </c>
      <c r="D5" s="481">
        <v>537478</v>
      </c>
      <c r="E5" s="466">
        <v>468145</v>
      </c>
      <c r="F5" s="548">
        <v>133628</v>
      </c>
      <c r="G5" s="466">
        <v>41677</v>
      </c>
      <c r="H5" s="466"/>
      <c r="I5" s="466"/>
      <c r="J5" s="467">
        <v>44418</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19544</v>
      </c>
      <c r="D7" s="466"/>
      <c r="E7" s="468"/>
      <c r="F7" s="467"/>
      <c r="G7" s="467"/>
      <c r="H7" s="467"/>
      <c r="I7" s="468"/>
      <c r="J7" s="468"/>
      <c r="K7" s="468"/>
    </row>
    <row r="8" spans="1:12" x14ac:dyDescent="0.2">
      <c r="A8" s="463" t="s">
        <v>413</v>
      </c>
      <c r="B8" s="470">
        <v>1150</v>
      </c>
      <c r="C8" s="475"/>
      <c r="D8" s="475"/>
      <c r="E8" s="477"/>
      <c r="F8" s="477"/>
      <c r="G8" s="481">
        <v>51545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v>6779</v>
      </c>
      <c r="H11" s="466"/>
      <c r="I11" s="466"/>
      <c r="J11" s="467"/>
      <c r="K11" s="466"/>
      <c r="L11" s="552"/>
    </row>
    <row r="12" spans="1:12" ht="12.75" customHeight="1" thickBot="1" x14ac:dyDescent="0.25">
      <c r="A12" s="1705" t="s">
        <v>29</v>
      </c>
      <c r="B12" s="1706"/>
      <c r="C12" s="1707">
        <f t="shared" ref="C12:K12" si="0">SUM(C5:C11)</f>
        <v>3009988</v>
      </c>
      <c r="D12" s="1707">
        <f t="shared" si="0"/>
        <v>537478</v>
      </c>
      <c r="E12" s="1707">
        <f t="shared" si="0"/>
        <v>468145</v>
      </c>
      <c r="F12" s="1707">
        <f t="shared" si="0"/>
        <v>133628</v>
      </c>
      <c r="G12" s="1707">
        <f t="shared" si="0"/>
        <v>100001</v>
      </c>
      <c r="H12" s="1707">
        <f t="shared" si="0"/>
        <v>0</v>
      </c>
      <c r="I12" s="1707">
        <f t="shared" si="0"/>
        <v>0</v>
      </c>
      <c r="J12" s="1707">
        <f t="shared" si="0"/>
        <v>44418</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9746</v>
      </c>
      <c r="D16" s="466"/>
      <c r="E16" s="466">
        <v>1000</v>
      </c>
      <c r="F16" s="466"/>
      <c r="G16" s="466">
        <v>2071</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9746</v>
      </c>
      <c r="D18" s="1710">
        <f t="shared" ref="D18:K18" si="1">SUM(D14:D17)</f>
        <v>0</v>
      </c>
      <c r="E18" s="1710">
        <f t="shared" si="1"/>
        <v>1000</v>
      </c>
      <c r="F18" s="1710">
        <f t="shared" si="1"/>
        <v>0</v>
      </c>
      <c r="G18" s="1710">
        <f t="shared" si="1"/>
        <v>2071</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52969</v>
      </c>
      <c r="D65" s="466">
        <v>19290</v>
      </c>
      <c r="E65" s="466">
        <v>2861</v>
      </c>
      <c r="F65" s="467">
        <v>5176</v>
      </c>
      <c r="G65" s="466">
        <v>1481</v>
      </c>
      <c r="H65" s="466"/>
      <c r="I65" s="466">
        <v>3405</v>
      </c>
      <c r="J65" s="467">
        <v>371</v>
      </c>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52969</v>
      </c>
      <c r="D67" s="1688">
        <f t="shared" ref="D67:K67" si="2">SUM(D65:D66)</f>
        <v>19290</v>
      </c>
      <c r="E67" s="1688">
        <f t="shared" si="2"/>
        <v>2861</v>
      </c>
      <c r="F67" s="1688">
        <f t="shared" si="2"/>
        <v>5176</v>
      </c>
      <c r="G67" s="1688">
        <f t="shared" si="2"/>
        <v>1481</v>
      </c>
      <c r="H67" s="1688">
        <f t="shared" si="2"/>
        <v>0</v>
      </c>
      <c r="I67" s="1688">
        <f t="shared" si="2"/>
        <v>3405</v>
      </c>
      <c r="J67" s="1688">
        <f t="shared" si="2"/>
        <v>371</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14687</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1486</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16173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2316</v>
      </c>
      <c r="D77" s="466"/>
      <c r="E77" s="468"/>
      <c r="F77" s="468"/>
      <c r="G77" s="468"/>
      <c r="H77" s="468"/>
      <c r="I77" s="468"/>
      <c r="J77" s="468"/>
      <c r="K77" s="468"/>
    </row>
    <row r="78" spans="1:11" ht="12.75" customHeight="1" x14ac:dyDescent="0.2">
      <c r="A78" s="463" t="s">
        <v>76</v>
      </c>
      <c r="B78" s="470">
        <v>1719</v>
      </c>
      <c r="C78" s="551">
        <v>12742</v>
      </c>
      <c r="D78" s="466"/>
      <c r="E78" s="468"/>
      <c r="F78" s="468"/>
      <c r="G78" s="468"/>
      <c r="H78" s="468"/>
      <c r="I78" s="468"/>
      <c r="J78" s="468"/>
      <c r="K78" s="468"/>
    </row>
    <row r="79" spans="1:11" ht="12.75" customHeight="1" x14ac:dyDescent="0.2">
      <c r="A79" s="463" t="s">
        <v>550</v>
      </c>
      <c r="B79" s="470">
        <v>1720</v>
      </c>
      <c r="C79" s="551">
        <v>13895</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1997</v>
      </c>
      <c r="D81" s="466"/>
      <c r="E81" s="468"/>
      <c r="F81" s="468"/>
      <c r="G81" s="468"/>
      <c r="H81" s="468"/>
      <c r="I81" s="468"/>
      <c r="J81" s="468"/>
      <c r="K81" s="468"/>
    </row>
    <row r="82" spans="1:11" ht="12.75" customHeight="1" thickBot="1" x14ac:dyDescent="0.25">
      <c r="A82" s="1708" t="s">
        <v>241</v>
      </c>
      <c r="B82" s="1709"/>
      <c r="C82" s="1707">
        <f>SUM(C77:C81)</f>
        <v>30950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115212</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115212</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47354</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v>1187</v>
      </c>
      <c r="E106" s="467"/>
      <c r="F106" s="467"/>
      <c r="G106" s="467"/>
      <c r="H106" s="467"/>
      <c r="I106" s="521"/>
      <c r="J106" s="467"/>
      <c r="K106" s="467"/>
    </row>
    <row r="107" spans="1:12" ht="12.75" customHeight="1" x14ac:dyDescent="0.2">
      <c r="A107" s="463" t="s">
        <v>78</v>
      </c>
      <c r="B107" s="470">
        <v>1999</v>
      </c>
      <c r="C107" s="551">
        <v>8664</v>
      </c>
      <c r="D107" s="466">
        <v>10781</v>
      </c>
      <c r="E107" s="466"/>
      <c r="F107" s="466"/>
      <c r="G107" s="466"/>
      <c r="H107" s="466"/>
      <c r="I107" s="466"/>
      <c r="J107" s="467">
        <v>792</v>
      </c>
      <c r="K107" s="466"/>
    </row>
    <row r="108" spans="1:12" ht="12.75" customHeight="1" thickBot="1" x14ac:dyDescent="0.25">
      <c r="A108" s="1708" t="s">
        <v>487</v>
      </c>
      <c r="B108" s="1712"/>
      <c r="C108" s="1707">
        <f>SUM(C95:C107)</f>
        <v>56018</v>
      </c>
      <c r="D108" s="1707">
        <f t="shared" ref="D108:K108" si="3">SUM(D95:D107)</f>
        <v>11968</v>
      </c>
      <c r="E108" s="1707">
        <f t="shared" si="3"/>
        <v>0</v>
      </c>
      <c r="F108" s="1707">
        <f t="shared" si="3"/>
        <v>0</v>
      </c>
      <c r="G108" s="1707">
        <f t="shared" si="3"/>
        <v>0</v>
      </c>
      <c r="H108" s="1707">
        <f t="shared" si="3"/>
        <v>0</v>
      </c>
      <c r="I108" s="1707">
        <f t="shared" si="3"/>
        <v>0</v>
      </c>
      <c r="J108" s="1707">
        <f t="shared" si="3"/>
        <v>792</v>
      </c>
      <c r="K108" s="1688">
        <f t="shared" si="3"/>
        <v>0</v>
      </c>
    </row>
    <row r="109" spans="1:12" ht="14.25" thickTop="1" thickBot="1" x14ac:dyDescent="0.25">
      <c r="A109" s="1713" t="s">
        <v>248</v>
      </c>
      <c r="B109" s="1714" t="s">
        <v>570</v>
      </c>
      <c r="C109" s="1715">
        <f t="shared" ref="C109:K109" si="4">SUM(C12,C18,C40,C63,C67,C75,C82,C93,C108,)</f>
        <v>3291056</v>
      </c>
      <c r="D109" s="1715">
        <f t="shared" si="4"/>
        <v>568736</v>
      </c>
      <c r="E109" s="1715">
        <f t="shared" si="4"/>
        <v>472006</v>
      </c>
      <c r="F109" s="1715">
        <f t="shared" si="4"/>
        <v>138804</v>
      </c>
      <c r="G109" s="1715">
        <f t="shared" si="4"/>
        <v>103553</v>
      </c>
      <c r="H109" s="1715">
        <f t="shared" si="4"/>
        <v>0</v>
      </c>
      <c r="I109" s="1715">
        <f t="shared" si="4"/>
        <v>3405</v>
      </c>
      <c r="J109" s="1715">
        <f t="shared" si="4"/>
        <v>45581</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218235</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218235</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7351</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7351</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v>224</v>
      </c>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47116</v>
      </c>
      <c r="G152" s="467"/>
      <c r="H152" s="468"/>
      <c r="I152" s="468"/>
      <c r="J152" s="468"/>
      <c r="K152" s="468"/>
    </row>
    <row r="153" spans="1:11" ht="12.75" customHeight="1" x14ac:dyDescent="0.2">
      <c r="A153" s="463" t="s">
        <v>1057</v>
      </c>
      <c r="B153" s="562">
        <v>3510</v>
      </c>
      <c r="C153" s="551"/>
      <c r="D153" s="466"/>
      <c r="E153" s="561"/>
      <c r="F153" s="466">
        <v>51691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98807</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7575</v>
      </c>
      <c r="D169" s="1722">
        <f t="shared" si="6"/>
        <v>0</v>
      </c>
      <c r="E169" s="1722">
        <f t="shared" si="6"/>
        <v>0</v>
      </c>
      <c r="F169" s="1722">
        <f t="shared" si="6"/>
        <v>98807</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225810</v>
      </c>
      <c r="D170" s="1715">
        <f t="shared" si="7"/>
        <v>0</v>
      </c>
      <c r="E170" s="1715">
        <f t="shared" si="7"/>
        <v>0</v>
      </c>
      <c r="F170" s="1715">
        <f t="shared" si="7"/>
        <v>98807</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13976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13976</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15907</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15907</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1996</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38977</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40973</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4647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375</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75878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75878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3592744</v>
      </c>
      <c r="D268" s="1715">
        <f t="shared" si="12"/>
        <v>568736</v>
      </c>
      <c r="E268" s="1715">
        <f t="shared" si="12"/>
        <v>472006</v>
      </c>
      <c r="F268" s="1715">
        <f t="shared" si="12"/>
        <v>237611</v>
      </c>
      <c r="G268" s="1715">
        <f t="shared" si="12"/>
        <v>103553</v>
      </c>
      <c r="H268" s="1715">
        <f t="shared" si="12"/>
        <v>0</v>
      </c>
      <c r="I268" s="1715">
        <f t="shared" si="12"/>
        <v>3405</v>
      </c>
      <c r="J268" s="1715">
        <f t="shared" si="12"/>
        <v>45581</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14" activePane="bottomLeft" state="frozen"/>
      <selection activeCell="H16" sqref="H16"/>
      <selection pane="bottomLeft" activeCell="H16" sqref="H16"/>
    </sheetView>
  </sheetViews>
  <sheetFormatPr defaultColWidth="9.140625" defaultRowHeight="12.75" x14ac:dyDescent="0.2"/>
  <cols>
    <col min="1" max="1" width="48.5703125" style="709" customWidth="1"/>
    <col min="2" max="2" width="5" style="710" customWidth="1"/>
    <col min="3" max="8" width="13.42578125" style="609" customWidth="1"/>
    <col min="9" max="10" width="13.42578125" style="343" customWidth="1"/>
    <col min="11" max="11" width="13.425781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1455344</v>
      </c>
      <c r="D5" s="466">
        <v>305565</v>
      </c>
      <c r="E5" s="466">
        <v>113333</v>
      </c>
      <c r="F5" s="466">
        <v>112512</v>
      </c>
      <c r="G5" s="466">
        <v>42679</v>
      </c>
      <c r="H5" s="466"/>
      <c r="I5" s="467">
        <v>13892</v>
      </c>
      <c r="J5" s="467"/>
      <c r="K5" s="1671">
        <f>SUM(C5:J5)</f>
        <v>2043325</v>
      </c>
      <c r="L5" s="466">
        <v>2075150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303011</v>
      </c>
      <c r="D8" s="466">
        <v>18977</v>
      </c>
      <c r="E8" s="466"/>
      <c r="F8" s="466">
        <v>5760</v>
      </c>
      <c r="G8" s="466"/>
      <c r="H8" s="466"/>
      <c r="I8" s="467"/>
      <c r="J8" s="467"/>
      <c r="K8" s="1671">
        <f t="shared" si="0"/>
        <v>327748</v>
      </c>
      <c r="L8" s="466">
        <v>348520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31480</v>
      </c>
      <c r="D14" s="466">
        <v>740</v>
      </c>
      <c r="E14" s="466">
        <v>4266</v>
      </c>
      <c r="F14" s="466">
        <v>14730</v>
      </c>
      <c r="G14" s="466"/>
      <c r="H14" s="466">
        <v>4500</v>
      </c>
      <c r="I14" s="467"/>
      <c r="J14" s="467"/>
      <c r="K14" s="1671">
        <f t="shared" si="0"/>
        <v>55716</v>
      </c>
      <c r="L14" s="466">
        <v>67500</v>
      </c>
    </row>
    <row r="15" spans="1:14" x14ac:dyDescent="0.2">
      <c r="A15" s="1504" t="s">
        <v>964</v>
      </c>
      <c r="B15" s="614">
        <v>1600</v>
      </c>
      <c r="C15" s="466">
        <v>2214</v>
      </c>
      <c r="D15" s="466">
        <v>74</v>
      </c>
      <c r="E15" s="466"/>
      <c r="F15" s="466"/>
      <c r="G15" s="466"/>
      <c r="H15" s="466"/>
      <c r="I15" s="467"/>
      <c r="J15" s="467"/>
      <c r="K15" s="1671">
        <f t="shared" si="0"/>
        <v>2288</v>
      </c>
      <c r="L15" s="466">
        <v>4110</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v>8445</v>
      </c>
      <c r="D18" s="466">
        <v>156</v>
      </c>
      <c r="E18" s="466"/>
      <c r="F18" s="466"/>
      <c r="G18" s="466"/>
      <c r="H18" s="466"/>
      <c r="I18" s="467"/>
      <c r="J18" s="467"/>
      <c r="K18" s="1671">
        <f t="shared" si="0"/>
        <v>8601</v>
      </c>
      <c r="L18" s="466">
        <v>8735</v>
      </c>
    </row>
    <row r="19" spans="1:12" x14ac:dyDescent="0.2">
      <c r="A19" s="1504" t="s">
        <v>134</v>
      </c>
      <c r="B19" s="614">
        <v>1900</v>
      </c>
      <c r="C19" s="466"/>
      <c r="D19" s="466"/>
      <c r="E19" s="466">
        <v>1103</v>
      </c>
      <c r="F19" s="466">
        <v>361</v>
      </c>
      <c r="G19" s="466"/>
      <c r="H19" s="466"/>
      <c r="I19" s="467"/>
      <c r="J19" s="467"/>
      <c r="K19" s="1671">
        <f t="shared" si="0"/>
        <v>1464</v>
      </c>
      <c r="L19" s="466">
        <v>1525</v>
      </c>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1800494</v>
      </c>
      <c r="D33" s="1670">
        <f t="shared" ref="D33:L33" si="1">SUM(D5:D32)</f>
        <v>325512</v>
      </c>
      <c r="E33" s="1670">
        <f t="shared" si="1"/>
        <v>118702</v>
      </c>
      <c r="F33" s="1670">
        <f t="shared" si="1"/>
        <v>133363</v>
      </c>
      <c r="G33" s="1670">
        <f t="shared" si="1"/>
        <v>42679</v>
      </c>
      <c r="H33" s="1670">
        <f t="shared" si="1"/>
        <v>4500</v>
      </c>
      <c r="I33" s="1670">
        <f t="shared" si="1"/>
        <v>13892</v>
      </c>
      <c r="J33" s="1670">
        <f t="shared" si="1"/>
        <v>0</v>
      </c>
      <c r="K33" s="1670">
        <f t="shared" si="1"/>
        <v>2439142</v>
      </c>
      <c r="L33" s="1670">
        <f t="shared" si="1"/>
        <v>2505540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34456</v>
      </c>
      <c r="D36" s="481">
        <v>144</v>
      </c>
      <c r="E36" s="481"/>
      <c r="F36" s="481"/>
      <c r="G36" s="481"/>
      <c r="H36" s="481"/>
      <c r="I36" s="467"/>
      <c r="J36" s="467"/>
      <c r="K36" s="1671">
        <f t="shared" ref="K36:K41" si="2">SUM(C36:J36)</f>
        <v>34600</v>
      </c>
      <c r="L36" s="466">
        <v>36560</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35717</v>
      </c>
      <c r="D38" s="466">
        <v>10508</v>
      </c>
      <c r="E38" s="466">
        <v>1204</v>
      </c>
      <c r="F38" s="466">
        <v>842</v>
      </c>
      <c r="G38" s="466"/>
      <c r="H38" s="466"/>
      <c r="I38" s="467"/>
      <c r="J38" s="467"/>
      <c r="K38" s="1671">
        <f t="shared" si="2"/>
        <v>48271</v>
      </c>
      <c r="L38" s="466">
        <v>50815</v>
      </c>
    </row>
    <row r="39" spans="1:14" x14ac:dyDescent="0.2">
      <c r="A39" s="1504" t="s">
        <v>199</v>
      </c>
      <c r="B39" s="614">
        <v>2140</v>
      </c>
      <c r="C39" s="466"/>
      <c r="D39" s="466"/>
      <c r="E39" s="466">
        <v>40517</v>
      </c>
      <c r="F39" s="466"/>
      <c r="G39" s="466"/>
      <c r="H39" s="466"/>
      <c r="I39" s="467"/>
      <c r="J39" s="467"/>
      <c r="K39" s="1671">
        <f t="shared" si="2"/>
        <v>40517</v>
      </c>
      <c r="L39" s="466">
        <v>40000</v>
      </c>
    </row>
    <row r="40" spans="1:14" x14ac:dyDescent="0.2">
      <c r="A40" s="1504" t="s">
        <v>200</v>
      </c>
      <c r="B40" s="614">
        <v>2150</v>
      </c>
      <c r="C40" s="466"/>
      <c r="D40" s="466"/>
      <c r="E40" s="466">
        <v>39584</v>
      </c>
      <c r="F40" s="466">
        <v>182</v>
      </c>
      <c r="G40" s="466"/>
      <c r="H40" s="466"/>
      <c r="I40" s="467"/>
      <c r="J40" s="467"/>
      <c r="K40" s="1671">
        <f t="shared" si="2"/>
        <v>39766</v>
      </c>
      <c r="L40" s="466">
        <v>45560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70173</v>
      </c>
      <c r="D42" s="1670">
        <f t="shared" ref="D42:L42" si="3">SUM(D36:D41)</f>
        <v>10652</v>
      </c>
      <c r="E42" s="1670">
        <f t="shared" si="3"/>
        <v>81305</v>
      </c>
      <c r="F42" s="1670">
        <f t="shared" si="3"/>
        <v>1024</v>
      </c>
      <c r="G42" s="1670">
        <f t="shared" si="3"/>
        <v>0</v>
      </c>
      <c r="H42" s="1670">
        <f t="shared" si="3"/>
        <v>0</v>
      </c>
      <c r="I42" s="1670">
        <f t="shared" si="3"/>
        <v>0</v>
      </c>
      <c r="J42" s="1670">
        <f t="shared" si="3"/>
        <v>0</v>
      </c>
      <c r="K42" s="1670">
        <f t="shared" si="3"/>
        <v>163154</v>
      </c>
      <c r="L42" s="1670">
        <f t="shared" si="3"/>
        <v>172935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13631</v>
      </c>
      <c r="F44" s="481"/>
      <c r="G44" s="481"/>
      <c r="H44" s="481"/>
      <c r="I44" s="467"/>
      <c r="J44" s="467"/>
      <c r="K44" s="1672">
        <f>SUM(C44:J44)</f>
        <v>13631</v>
      </c>
      <c r="L44" s="481">
        <v>15000</v>
      </c>
    </row>
    <row r="45" spans="1:14" x14ac:dyDescent="0.2">
      <c r="A45" s="1504" t="s">
        <v>815</v>
      </c>
      <c r="B45" s="614">
        <v>2220</v>
      </c>
      <c r="C45" s="466">
        <v>17447</v>
      </c>
      <c r="D45" s="466"/>
      <c r="E45" s="466"/>
      <c r="F45" s="466">
        <v>6697</v>
      </c>
      <c r="G45" s="466"/>
      <c r="H45" s="466"/>
      <c r="I45" s="467"/>
      <c r="J45" s="467"/>
      <c r="K45" s="1672">
        <f>SUM(C45:J45)</f>
        <v>24144</v>
      </c>
      <c r="L45" s="466">
        <v>27100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17447</v>
      </c>
      <c r="D47" s="1670">
        <f t="shared" ref="D47:K47" si="4">SUM(D44:D46)</f>
        <v>0</v>
      </c>
      <c r="E47" s="1670">
        <f t="shared" si="4"/>
        <v>13631</v>
      </c>
      <c r="F47" s="1670">
        <f t="shared" si="4"/>
        <v>6697</v>
      </c>
      <c r="G47" s="1670">
        <f t="shared" si="4"/>
        <v>0</v>
      </c>
      <c r="H47" s="1670">
        <f t="shared" si="4"/>
        <v>0</v>
      </c>
      <c r="I47" s="1670">
        <f t="shared" si="4"/>
        <v>0</v>
      </c>
      <c r="J47" s="1670">
        <f t="shared" si="4"/>
        <v>0</v>
      </c>
      <c r="K47" s="1670">
        <f t="shared" si="4"/>
        <v>37775</v>
      </c>
      <c r="L47" s="1670">
        <f>SUM(L44:L46)</f>
        <v>42100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46333</v>
      </c>
      <c r="F49" s="481">
        <v>2892</v>
      </c>
      <c r="G49" s="481"/>
      <c r="H49" s="481"/>
      <c r="I49" s="467"/>
      <c r="J49" s="467"/>
      <c r="K49" s="1672">
        <f>SUM(C49:J49)</f>
        <v>49225</v>
      </c>
      <c r="L49" s="481">
        <v>60240</v>
      </c>
    </row>
    <row r="50" spans="1:14" x14ac:dyDescent="0.2">
      <c r="A50" s="1504" t="s">
        <v>818</v>
      </c>
      <c r="B50" s="614">
        <v>2320</v>
      </c>
      <c r="C50" s="466">
        <v>51052</v>
      </c>
      <c r="D50" s="466">
        <v>9423</v>
      </c>
      <c r="E50" s="466">
        <v>2086</v>
      </c>
      <c r="F50" s="466">
        <v>4975</v>
      </c>
      <c r="G50" s="466"/>
      <c r="H50" s="466"/>
      <c r="I50" s="467">
        <v>921</v>
      </c>
      <c r="J50" s="467"/>
      <c r="K50" s="1672">
        <f>SUM(C50:J50)</f>
        <v>68457</v>
      </c>
      <c r="L50" s="466">
        <v>68440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51052</v>
      </c>
      <c r="D53" s="1670">
        <f t="shared" ref="D53:L53" si="5">SUM(D49:D52)</f>
        <v>9423</v>
      </c>
      <c r="E53" s="1670">
        <f t="shared" si="5"/>
        <v>48419</v>
      </c>
      <c r="F53" s="1670">
        <f t="shared" si="5"/>
        <v>7867</v>
      </c>
      <c r="G53" s="1670">
        <f t="shared" si="5"/>
        <v>0</v>
      </c>
      <c r="H53" s="1670">
        <f t="shared" si="5"/>
        <v>0</v>
      </c>
      <c r="I53" s="1670">
        <f t="shared" si="5"/>
        <v>921</v>
      </c>
      <c r="J53" s="1670">
        <f t="shared" si="5"/>
        <v>0</v>
      </c>
      <c r="K53" s="1670">
        <f t="shared" si="5"/>
        <v>117682</v>
      </c>
      <c r="L53" s="1670">
        <f t="shared" si="5"/>
        <v>128680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350911</v>
      </c>
      <c r="D55" s="481">
        <v>53689</v>
      </c>
      <c r="E55" s="481">
        <v>2482</v>
      </c>
      <c r="F55" s="481">
        <v>2345</v>
      </c>
      <c r="G55" s="481"/>
      <c r="H55" s="481"/>
      <c r="I55" s="467"/>
      <c r="J55" s="467"/>
      <c r="K55" s="1672">
        <f>SUM(C55:J55)</f>
        <v>409427</v>
      </c>
      <c r="L55" s="481">
        <v>402050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350911</v>
      </c>
      <c r="D57" s="1674">
        <f t="shared" ref="D57:K57" si="6">SUM(D55:D56)</f>
        <v>53689</v>
      </c>
      <c r="E57" s="1674">
        <f t="shared" si="6"/>
        <v>2482</v>
      </c>
      <c r="F57" s="1674">
        <f t="shared" si="6"/>
        <v>2345</v>
      </c>
      <c r="G57" s="1674">
        <f t="shared" si="6"/>
        <v>0</v>
      </c>
      <c r="H57" s="1674">
        <f t="shared" si="6"/>
        <v>0</v>
      </c>
      <c r="I57" s="1674">
        <f t="shared" si="6"/>
        <v>0</v>
      </c>
      <c r="J57" s="1674">
        <f t="shared" si="6"/>
        <v>0</v>
      </c>
      <c r="K57" s="1674">
        <f t="shared" si="6"/>
        <v>409427</v>
      </c>
      <c r="L57" s="1670">
        <f>SUM(L55:L56)</f>
        <v>402050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126805</v>
      </c>
      <c r="D59" s="481">
        <v>16311</v>
      </c>
      <c r="E59" s="481"/>
      <c r="F59" s="481"/>
      <c r="G59" s="481"/>
      <c r="H59" s="481"/>
      <c r="I59" s="467"/>
      <c r="J59" s="467"/>
      <c r="K59" s="1672">
        <f t="shared" ref="K59:K64" si="7">SUM(C59:J59)</f>
        <v>143116</v>
      </c>
      <c r="L59" s="481">
        <v>143300</v>
      </c>
      <c r="M59" s="609"/>
      <c r="N59" s="609"/>
    </row>
    <row r="60" spans="1:14" s="343" customFormat="1" x14ac:dyDescent="0.2">
      <c r="A60" s="1504" t="s">
        <v>463</v>
      </c>
      <c r="B60" s="614">
        <v>2520</v>
      </c>
      <c r="C60" s="466"/>
      <c r="D60" s="466"/>
      <c r="E60" s="466">
        <v>1352</v>
      </c>
      <c r="F60" s="466"/>
      <c r="G60" s="466"/>
      <c r="H60" s="466"/>
      <c r="I60" s="467"/>
      <c r="J60" s="467"/>
      <c r="K60" s="1672">
        <f t="shared" si="7"/>
        <v>1352</v>
      </c>
      <c r="L60" s="466">
        <v>1500</v>
      </c>
      <c r="M60" s="609"/>
      <c r="N60" s="609"/>
    </row>
    <row r="61" spans="1:14" s="343" customFormat="1" x14ac:dyDescent="0.2">
      <c r="A61" s="1504" t="s">
        <v>197</v>
      </c>
      <c r="B61" s="614">
        <v>2540</v>
      </c>
      <c r="C61" s="466"/>
      <c r="D61" s="466"/>
      <c r="E61" s="466"/>
      <c r="F61" s="466"/>
      <c r="G61" s="466"/>
      <c r="H61" s="466"/>
      <c r="I61" s="467"/>
      <c r="J61" s="467"/>
      <c r="K61" s="1672">
        <f t="shared" si="7"/>
        <v>0</v>
      </c>
      <c r="L61" s="466">
        <v>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v>310</v>
      </c>
      <c r="F63" s="466">
        <v>28314</v>
      </c>
      <c r="G63" s="466"/>
      <c r="H63" s="466"/>
      <c r="I63" s="467"/>
      <c r="J63" s="467"/>
      <c r="K63" s="1672">
        <f t="shared" si="7"/>
        <v>28624</v>
      </c>
      <c r="L63" s="466">
        <v>25400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126805</v>
      </c>
      <c r="D65" s="1670">
        <f t="shared" ref="D65:L65" si="8">SUM(D59:D64)</f>
        <v>16311</v>
      </c>
      <c r="E65" s="1670">
        <f t="shared" si="8"/>
        <v>1662</v>
      </c>
      <c r="F65" s="1670">
        <f t="shared" si="8"/>
        <v>28314</v>
      </c>
      <c r="G65" s="1670">
        <f t="shared" si="8"/>
        <v>0</v>
      </c>
      <c r="H65" s="1670">
        <f t="shared" si="8"/>
        <v>0</v>
      </c>
      <c r="I65" s="1670">
        <f t="shared" si="8"/>
        <v>0</v>
      </c>
      <c r="J65" s="1670">
        <f t="shared" si="8"/>
        <v>0</v>
      </c>
      <c r="K65" s="1670">
        <f t="shared" si="8"/>
        <v>173092</v>
      </c>
      <c r="L65" s="1670">
        <f t="shared" si="8"/>
        <v>170200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616388</v>
      </c>
      <c r="D74" s="1677">
        <f t="shared" ref="D74:K74" si="10">SUM(D42,D47,D53,D57,D65,D72,D73)</f>
        <v>90075</v>
      </c>
      <c r="E74" s="1677">
        <f t="shared" si="10"/>
        <v>147499</v>
      </c>
      <c r="F74" s="1677">
        <f t="shared" si="10"/>
        <v>46247</v>
      </c>
      <c r="G74" s="1677">
        <f t="shared" si="10"/>
        <v>0</v>
      </c>
      <c r="H74" s="1677">
        <f t="shared" si="10"/>
        <v>0</v>
      </c>
      <c r="I74" s="1677">
        <f t="shared" si="10"/>
        <v>921</v>
      </c>
      <c r="J74" s="1677">
        <f t="shared" si="10"/>
        <v>0</v>
      </c>
      <c r="K74" s="1677">
        <f t="shared" si="10"/>
        <v>901130</v>
      </c>
      <c r="L74" s="1677">
        <f>SUM(L42,L47,L53,L57,L65,L72,L73)</f>
        <v>915965</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42544</v>
      </c>
      <c r="F79" s="616"/>
      <c r="G79" s="616"/>
      <c r="H79" s="466"/>
      <c r="I79" s="477"/>
      <c r="J79" s="477"/>
      <c r="K79" s="1671">
        <f t="shared" si="11"/>
        <v>42544</v>
      </c>
      <c r="L79" s="466">
        <v>56000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42544</v>
      </c>
      <c r="F84" s="616"/>
      <c r="G84" s="616"/>
      <c r="H84" s="1670">
        <f>SUM(H78:H83)</f>
        <v>0</v>
      </c>
      <c r="I84" s="477"/>
      <c r="J84" s="477"/>
      <c r="K84" s="1670">
        <f>SUM(K78:K83)</f>
        <v>42544</v>
      </c>
      <c r="L84" s="1670">
        <f>SUM(L78:L83)</f>
        <v>56000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101834</v>
      </c>
      <c r="I86" s="477"/>
      <c r="J86" s="477"/>
      <c r="K86" s="1677">
        <f t="shared" ref="K86:K98" si="12">H86</f>
        <v>101834</v>
      </c>
      <c r="L86" s="530">
        <v>145000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101834</v>
      </c>
      <c r="I92" s="477"/>
      <c r="J92" s="477"/>
      <c r="K92" s="1677">
        <f t="shared" si="12"/>
        <v>101834</v>
      </c>
      <c r="L92" s="1670">
        <f>SUM(L85:L91)</f>
        <v>145000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42544</v>
      </c>
      <c r="F102" s="616"/>
      <c r="G102" s="616"/>
      <c r="H102" s="1677">
        <f>SUM(H84,H92,H100,H101)</f>
        <v>101834</v>
      </c>
      <c r="I102" s="477"/>
      <c r="J102" s="477"/>
      <c r="K102" s="1677">
        <f>SUM(K84,K92,K100,K101)</f>
        <v>144378</v>
      </c>
      <c r="L102" s="1677">
        <f>SUM(L84,L92,L100,L101)</f>
        <v>201000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2416882</v>
      </c>
      <c r="D114" s="1670">
        <f t="shared" ref="D114:K114" si="13">SUM(D33,D74,D75,D102,D112,D113)</f>
        <v>415587</v>
      </c>
      <c r="E114" s="1670">
        <f t="shared" si="13"/>
        <v>308745</v>
      </c>
      <c r="F114" s="1670">
        <f t="shared" si="13"/>
        <v>179610</v>
      </c>
      <c r="G114" s="1670">
        <f t="shared" si="13"/>
        <v>42679</v>
      </c>
      <c r="H114" s="1670">
        <f>SUM(H33,H74,H75,H102,H112,H113)</f>
        <v>106334</v>
      </c>
      <c r="I114" s="1670">
        <f t="shared" si="13"/>
        <v>14813</v>
      </c>
      <c r="J114" s="1670">
        <f t="shared" si="13"/>
        <v>0</v>
      </c>
      <c r="K114" s="1670">
        <f t="shared" si="13"/>
        <v>3484650</v>
      </c>
      <c r="L114" s="1670">
        <f>SUM(L33,L74,L75,L102,L112,L113)</f>
        <v>3622505</v>
      </c>
    </row>
    <row r="115" spans="1:14" ht="13.5" thickTop="1" x14ac:dyDescent="0.2">
      <c r="A115" s="2155" t="s">
        <v>996</v>
      </c>
      <c r="B115" s="2156"/>
      <c r="C115" s="618"/>
      <c r="D115" s="618"/>
      <c r="E115" s="618"/>
      <c r="F115" s="618"/>
      <c r="G115" s="618"/>
      <c r="H115" s="618"/>
      <c r="I115" s="618"/>
      <c r="J115" s="618"/>
      <c r="K115" s="1684">
        <f>'Revenues 9-14'!C268-'Expenditures 15-22'!K114</f>
        <v>108094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102880</v>
      </c>
      <c r="D124" s="466">
        <v>19839</v>
      </c>
      <c r="E124" s="466">
        <v>157278</v>
      </c>
      <c r="F124" s="466">
        <v>94529</v>
      </c>
      <c r="G124" s="466">
        <v>4450</v>
      </c>
      <c r="H124" s="466"/>
      <c r="I124" s="467">
        <v>2726</v>
      </c>
      <c r="J124" s="467"/>
      <c r="K124" s="1670">
        <f>SUM(C124:J124)</f>
        <v>381702</v>
      </c>
      <c r="L124" s="466">
        <v>448200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102880</v>
      </c>
      <c r="D127" s="1670">
        <f t="shared" ref="D127:L127" si="14">SUM(D122:D126)</f>
        <v>19839</v>
      </c>
      <c r="E127" s="1670">
        <f t="shared" si="14"/>
        <v>157278</v>
      </c>
      <c r="F127" s="1670">
        <f t="shared" si="14"/>
        <v>94529</v>
      </c>
      <c r="G127" s="1670">
        <f t="shared" si="14"/>
        <v>4450</v>
      </c>
      <c r="H127" s="1670">
        <f t="shared" si="14"/>
        <v>0</v>
      </c>
      <c r="I127" s="1670">
        <f t="shared" si="14"/>
        <v>2726</v>
      </c>
      <c r="J127" s="1670">
        <f t="shared" si="14"/>
        <v>0</v>
      </c>
      <c r="K127" s="1670">
        <f t="shared" si="14"/>
        <v>381702</v>
      </c>
      <c r="L127" s="1670">
        <f t="shared" si="14"/>
        <v>448200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102880</v>
      </c>
      <c r="D129" s="1677">
        <f t="shared" ref="D129:L129" si="15">SUM(D120,D127,D128)</f>
        <v>19839</v>
      </c>
      <c r="E129" s="1677">
        <f t="shared" si="15"/>
        <v>157278</v>
      </c>
      <c r="F129" s="1677">
        <f t="shared" si="15"/>
        <v>94529</v>
      </c>
      <c r="G129" s="1677">
        <f t="shared" si="15"/>
        <v>4450</v>
      </c>
      <c r="H129" s="1677">
        <f t="shared" si="15"/>
        <v>0</v>
      </c>
      <c r="I129" s="1677">
        <f t="shared" si="15"/>
        <v>2726</v>
      </c>
      <c r="J129" s="1677">
        <f t="shared" si="15"/>
        <v>0</v>
      </c>
      <c r="K129" s="1677">
        <f t="shared" si="15"/>
        <v>381702</v>
      </c>
      <c r="L129" s="1677">
        <f t="shared" si="15"/>
        <v>448200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162750</v>
      </c>
    </row>
    <row r="151" spans="1:14" ht="12.75" customHeight="1" thickTop="1" thickBot="1" x14ac:dyDescent="0.25">
      <c r="A151" s="2172" t="s">
        <v>620</v>
      </c>
      <c r="B151" s="2152"/>
      <c r="C151" s="1670">
        <f>SUM(C129,C130,C139,C149,C150)</f>
        <v>102880</v>
      </c>
      <c r="D151" s="1670">
        <f t="shared" ref="D151:K151" si="16">SUM(D129,D130,D139,D149,D150)</f>
        <v>19839</v>
      </c>
      <c r="E151" s="1670">
        <f t="shared" si="16"/>
        <v>157278</v>
      </c>
      <c r="F151" s="1670">
        <f t="shared" si="16"/>
        <v>94529</v>
      </c>
      <c r="G151" s="1670">
        <f t="shared" si="16"/>
        <v>4450</v>
      </c>
      <c r="H151" s="1670">
        <f t="shared" si="16"/>
        <v>0</v>
      </c>
      <c r="I151" s="1670">
        <f t="shared" si="16"/>
        <v>2726</v>
      </c>
      <c r="J151" s="1670">
        <f t="shared" si="16"/>
        <v>0</v>
      </c>
      <c r="K151" s="1670">
        <f t="shared" si="16"/>
        <v>381702</v>
      </c>
      <c r="L151" s="1670">
        <f>SUM(L129,L130,L139,L149,L150)</f>
        <v>610950</v>
      </c>
    </row>
    <row r="152" spans="1:14" ht="12.75" customHeight="1" thickTop="1" x14ac:dyDescent="0.2">
      <c r="A152" s="2175" t="s">
        <v>1178</v>
      </c>
      <c r="B152" s="2176"/>
      <c r="C152" s="618"/>
      <c r="D152" s="618"/>
      <c r="E152" s="618"/>
      <c r="F152" s="618"/>
      <c r="G152" s="618"/>
      <c r="H152" s="618"/>
      <c r="I152" s="618"/>
      <c r="J152" s="616"/>
      <c r="K152" s="1684">
        <f>'Revenues 9-14'!D268-'Expenditures 15-22'!K151</f>
        <v>187034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380903</v>
      </c>
      <c r="I169" s="616"/>
      <c r="J169" s="616"/>
      <c r="K169" s="1671">
        <f>SUM(C169:H169)</f>
        <v>380903</v>
      </c>
      <c r="L169" s="656">
        <v>380905</v>
      </c>
    </row>
    <row r="170" spans="1:14" ht="33.75" customHeight="1" x14ac:dyDescent="0.2">
      <c r="A170" s="669" t="s">
        <v>1670</v>
      </c>
      <c r="B170" s="671" t="s">
        <v>31</v>
      </c>
      <c r="C170" s="616"/>
      <c r="D170" s="616"/>
      <c r="E170" s="616"/>
      <c r="F170" s="616"/>
      <c r="G170" s="616"/>
      <c r="H170" s="569">
        <v>110167</v>
      </c>
      <c r="I170" s="616"/>
      <c r="J170" s="616"/>
      <c r="K170" s="1671">
        <f>SUM(C170:J170)</f>
        <v>110167</v>
      </c>
      <c r="L170" s="569">
        <v>110170</v>
      </c>
    </row>
    <row r="171" spans="1:14" ht="15.75" customHeight="1" x14ac:dyDescent="0.2">
      <c r="A171" s="621" t="s">
        <v>766</v>
      </c>
      <c r="B171" s="672" t="s">
        <v>84</v>
      </c>
      <c r="C171" s="616"/>
      <c r="D171" s="616"/>
      <c r="E171" s="466"/>
      <c r="F171" s="616"/>
      <c r="G171" s="616"/>
      <c r="H171" s="569">
        <v>1875</v>
      </c>
      <c r="I171" s="477"/>
      <c r="J171" s="616"/>
      <c r="K171" s="1671">
        <f>SUM(C171:J171)</f>
        <v>1875</v>
      </c>
      <c r="L171" s="569">
        <v>1875</v>
      </c>
    </row>
    <row r="172" spans="1:14" ht="12.75" customHeight="1" thickBot="1" x14ac:dyDescent="0.25">
      <c r="A172" s="1668" t="s">
        <v>638</v>
      </c>
      <c r="B172" s="1669" t="s">
        <v>492</v>
      </c>
      <c r="C172" s="616"/>
      <c r="D172" s="616"/>
      <c r="E172" s="1677">
        <f>SUM(E168,E169,E170,E171)</f>
        <v>0</v>
      </c>
      <c r="F172" s="616"/>
      <c r="G172" s="616"/>
      <c r="H172" s="1677">
        <f>SUM(H168,H169,H170,H171)</f>
        <v>492945</v>
      </c>
      <c r="I172" s="638"/>
      <c r="J172" s="616"/>
      <c r="K172" s="1677">
        <f>SUM(K168,K169,K170,K171)</f>
        <v>492945</v>
      </c>
      <c r="L172" s="1677">
        <f>SUM(L168,L169,L170,L171)</f>
        <v>492950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492945</v>
      </c>
      <c r="I174" s="638"/>
      <c r="J174" s="616"/>
      <c r="K174" s="1677">
        <f>SUM(K160,K172,K173)</f>
        <v>492945</v>
      </c>
      <c r="L174" s="1677">
        <f>SUM(L160,L172,L173)</f>
        <v>492950</v>
      </c>
    </row>
    <row r="175" spans="1:14" ht="13.5" thickTop="1" x14ac:dyDescent="0.2">
      <c r="A175" s="2155" t="s">
        <v>996</v>
      </c>
      <c r="B175" s="2156"/>
      <c r="C175" s="616"/>
      <c r="D175" s="616"/>
      <c r="E175" s="616"/>
      <c r="F175" s="616"/>
      <c r="G175" s="616"/>
      <c r="H175" s="618"/>
      <c r="I175" s="616"/>
      <c r="J175" s="616"/>
      <c r="K175" s="1684">
        <f>'Revenues 9-14'!E268-'Expenditures 15-22'!K174</f>
        <v>-20939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180509</v>
      </c>
      <c r="F182" s="466">
        <v>9022</v>
      </c>
      <c r="G182" s="466"/>
      <c r="H182" s="466"/>
      <c r="I182" s="467"/>
      <c r="J182" s="467"/>
      <c r="K182" s="1671">
        <f>SUM(C182:J182)</f>
        <v>189531</v>
      </c>
      <c r="L182" s="466">
        <v>242500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180509</v>
      </c>
      <c r="F184" s="1677">
        <f t="shared" si="17"/>
        <v>9022</v>
      </c>
      <c r="G184" s="1677">
        <f t="shared" si="17"/>
        <v>0</v>
      </c>
      <c r="H184" s="1677">
        <f t="shared" si="17"/>
        <v>0</v>
      </c>
      <c r="I184" s="1677">
        <f t="shared" si="17"/>
        <v>0</v>
      </c>
      <c r="J184" s="1677">
        <f t="shared" si="17"/>
        <v>0</v>
      </c>
      <c r="K184" s="1677">
        <f>SUM(K180,K182,K183)</f>
        <v>189531</v>
      </c>
      <c r="L184" s="1677">
        <f>SUM(L180, L182:L183)</f>
        <v>242500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180509</v>
      </c>
      <c r="F210" s="1670">
        <f>SUM(F184,F185)</f>
        <v>9022</v>
      </c>
      <c r="G210" s="1670">
        <f>SUM(G184,G185)</f>
        <v>0</v>
      </c>
      <c r="H210" s="1670">
        <f>SUM(H184,H185,H196,H208,H209)</f>
        <v>0</v>
      </c>
      <c r="I210" s="1670">
        <f>SUM(I184,I185)</f>
        <v>0</v>
      </c>
      <c r="J210" s="1670">
        <f>SUM(J184,J185)</f>
        <v>0</v>
      </c>
      <c r="K210" s="1671">
        <f>SUM(K184,K185,K196,K208,K209)</f>
        <v>189531</v>
      </c>
      <c r="L210" s="1670">
        <f>SUM(L184,L185,L196,L208,L209)</f>
        <v>242500</v>
      </c>
    </row>
    <row r="211" spans="1:14" ht="13.5" thickTop="1" x14ac:dyDescent="0.2">
      <c r="A211" s="2155" t="s">
        <v>996</v>
      </c>
      <c r="B211" s="2156"/>
      <c r="C211" s="618"/>
      <c r="D211" s="618"/>
      <c r="E211" s="618"/>
      <c r="F211" s="618"/>
      <c r="G211" s="618"/>
      <c r="H211" s="618"/>
      <c r="I211" s="616"/>
      <c r="J211" s="616"/>
      <c r="K211" s="1684">
        <f>'Revenues 9-14'!F268-'Expenditures 15-22'!K210</f>
        <v>48080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21424</v>
      </c>
      <c r="E215" s="616"/>
      <c r="F215" s="616"/>
      <c r="G215" s="616"/>
      <c r="H215" s="616"/>
      <c r="I215" s="616"/>
      <c r="J215" s="616"/>
      <c r="K215" s="1671">
        <f>D215</f>
        <v>21424</v>
      </c>
      <c r="L215" s="466">
        <v>24000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22934</v>
      </c>
      <c r="E217" s="616"/>
      <c r="F217" s="616"/>
      <c r="G217" s="616"/>
      <c r="H217" s="616"/>
      <c r="I217" s="616"/>
      <c r="J217" s="616"/>
      <c r="K217" s="1671">
        <f t="shared" si="19"/>
        <v>22934</v>
      </c>
      <c r="L217" s="466">
        <v>23825</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1157</v>
      </c>
      <c r="E223" s="616"/>
      <c r="F223" s="616"/>
      <c r="G223" s="616"/>
      <c r="H223" s="616"/>
      <c r="I223" s="616"/>
      <c r="J223" s="616"/>
      <c r="K223" s="1671">
        <f t="shared" si="19"/>
        <v>1157</v>
      </c>
      <c r="L223" s="466">
        <v>1700</v>
      </c>
    </row>
    <row r="224" spans="1:14" x14ac:dyDescent="0.2">
      <c r="A224" s="1504" t="s">
        <v>964</v>
      </c>
      <c r="B224" s="614">
        <v>1600</v>
      </c>
      <c r="C224" s="616"/>
      <c r="D224" s="466">
        <v>63</v>
      </c>
      <c r="E224" s="616"/>
      <c r="F224" s="616"/>
      <c r="G224" s="616"/>
      <c r="H224" s="616"/>
      <c r="I224" s="616"/>
      <c r="J224" s="616"/>
      <c r="K224" s="1671">
        <f t="shared" si="19"/>
        <v>63</v>
      </c>
      <c r="L224" s="466">
        <v>50</v>
      </c>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v>85</v>
      </c>
      <c r="E227" s="616"/>
      <c r="F227" s="616"/>
      <c r="G227" s="616"/>
      <c r="H227" s="616"/>
      <c r="I227" s="616"/>
      <c r="J227" s="616"/>
      <c r="K227" s="1671">
        <f t="shared" si="19"/>
        <v>85</v>
      </c>
      <c r="L227" s="466">
        <v>120</v>
      </c>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45663</v>
      </c>
      <c r="E229" s="616"/>
      <c r="F229" s="616"/>
      <c r="G229" s="616"/>
      <c r="H229" s="616"/>
      <c r="I229" s="616"/>
      <c r="J229" s="616"/>
      <c r="K229" s="1670">
        <f>SUM(K215:K228)</f>
        <v>45663</v>
      </c>
      <c r="L229" s="1670">
        <f>SUM(L215:L228)</f>
        <v>49695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499</v>
      </c>
      <c r="E232" s="616"/>
      <c r="F232" s="616"/>
      <c r="G232" s="616"/>
      <c r="H232" s="616"/>
      <c r="I232" s="616"/>
      <c r="J232" s="616"/>
      <c r="K232" s="1671">
        <f t="shared" ref="K232:K237" si="20">D232</f>
        <v>499</v>
      </c>
      <c r="L232" s="466">
        <v>530</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6229</v>
      </c>
      <c r="E234" s="616"/>
      <c r="F234" s="616"/>
      <c r="G234" s="616"/>
      <c r="H234" s="616"/>
      <c r="I234" s="616"/>
      <c r="J234" s="616"/>
      <c r="K234" s="1671">
        <f t="shared" si="20"/>
        <v>6229</v>
      </c>
      <c r="L234" s="466">
        <v>6920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6728</v>
      </c>
      <c r="E238" s="616"/>
      <c r="F238" s="616"/>
      <c r="G238" s="616"/>
      <c r="H238" s="616"/>
      <c r="I238" s="616"/>
      <c r="J238" s="616"/>
      <c r="K238" s="1670">
        <f>SUM(K232:K237)</f>
        <v>6728</v>
      </c>
      <c r="L238" s="1670">
        <f>SUM(L232:L237)</f>
        <v>7450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2822</v>
      </c>
      <c r="E241" s="616"/>
      <c r="F241" s="616"/>
      <c r="G241" s="616"/>
      <c r="H241" s="616"/>
      <c r="I241" s="616"/>
      <c r="J241" s="616"/>
      <c r="K241" s="1672">
        <f>D241</f>
        <v>2822</v>
      </c>
      <c r="L241" s="466">
        <v>3320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2822</v>
      </c>
      <c r="E243" s="616"/>
      <c r="F243" s="616"/>
      <c r="G243" s="616"/>
      <c r="H243" s="616"/>
      <c r="I243" s="616"/>
      <c r="J243" s="616"/>
      <c r="K243" s="1670">
        <f>SUM(K240:K242)</f>
        <v>2822</v>
      </c>
      <c r="L243" s="1670">
        <f>SUM(L240:L242)</f>
        <v>3320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637</v>
      </c>
      <c r="E246" s="616"/>
      <c r="F246" s="616"/>
      <c r="G246" s="616"/>
      <c r="H246" s="616"/>
      <c r="I246" s="616"/>
      <c r="J246" s="616"/>
      <c r="K246" s="1672">
        <f t="shared" ref="K246:K256" si="21">D246</f>
        <v>637</v>
      </c>
      <c r="L246" s="466">
        <v>660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637</v>
      </c>
      <c r="E257" s="616"/>
      <c r="F257" s="616"/>
      <c r="G257" s="616"/>
      <c r="H257" s="616"/>
      <c r="I257" s="616"/>
      <c r="J257" s="616"/>
      <c r="K257" s="1670">
        <f>SUM(K245:K256)</f>
        <v>637</v>
      </c>
      <c r="L257" s="1670">
        <f>SUM(L245:L256)</f>
        <v>660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21340</v>
      </c>
      <c r="E259" s="616"/>
      <c r="F259" s="616"/>
      <c r="G259" s="616"/>
      <c r="H259" s="616"/>
      <c r="I259" s="616"/>
      <c r="J259" s="616"/>
      <c r="K259" s="1672">
        <f>D259</f>
        <v>21340</v>
      </c>
      <c r="L259" s="481">
        <v>21515</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21340</v>
      </c>
      <c r="E261" s="616"/>
      <c r="F261" s="616"/>
      <c r="G261" s="616"/>
      <c r="H261" s="616"/>
      <c r="I261" s="616"/>
      <c r="J261" s="616"/>
      <c r="K261" s="1670">
        <f>SUM(K259:K260)</f>
        <v>21340</v>
      </c>
      <c r="L261" s="1670">
        <f>SUM(L259:L260)</f>
        <v>21515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23104</v>
      </c>
      <c r="E263" s="616"/>
      <c r="F263" s="616"/>
      <c r="G263" s="616"/>
      <c r="H263" s="616"/>
      <c r="I263" s="616"/>
      <c r="J263" s="616"/>
      <c r="K263" s="1672">
        <f>D263</f>
        <v>23104</v>
      </c>
      <c r="L263" s="481">
        <v>23660</v>
      </c>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17892</v>
      </c>
      <c r="E266" s="616"/>
      <c r="F266" s="616"/>
      <c r="G266" s="616"/>
      <c r="H266" s="616"/>
      <c r="I266" s="616"/>
      <c r="J266" s="616"/>
      <c r="K266" s="1672">
        <f t="shared" si="22"/>
        <v>17892</v>
      </c>
      <c r="L266" s="466">
        <v>22510</v>
      </c>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40996</v>
      </c>
      <c r="E270" s="616"/>
      <c r="F270" s="616"/>
      <c r="G270" s="616"/>
      <c r="H270" s="616"/>
      <c r="I270" s="616"/>
      <c r="J270" s="616"/>
      <c r="K270" s="1670">
        <f>SUM(K263:K269)</f>
        <v>40996</v>
      </c>
      <c r="L270" s="1670">
        <f>SUM(L263:L269)</f>
        <v>46170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72523</v>
      </c>
      <c r="E279" s="616"/>
      <c r="F279" s="616"/>
      <c r="G279" s="616"/>
      <c r="H279" s="616"/>
      <c r="I279" s="616"/>
      <c r="J279" s="616"/>
      <c r="K279" s="1677">
        <f>SUM(K238,K243,K257,K261,K270,K277,K278)</f>
        <v>72523</v>
      </c>
      <c r="L279" s="1677">
        <f>SUM(L238,L243,L257,L261,L270,L277,L278)</f>
        <v>79115</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v>7691</v>
      </c>
      <c r="E283" s="616"/>
      <c r="F283" s="616"/>
      <c r="G283" s="616"/>
      <c r="H283" s="616"/>
      <c r="I283" s="616"/>
      <c r="J283" s="616"/>
      <c r="K283" s="1671">
        <f>D283</f>
        <v>7691</v>
      </c>
      <c r="L283" s="466">
        <v>7695</v>
      </c>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7691</v>
      </c>
      <c r="E285" s="616"/>
      <c r="F285" s="616"/>
      <c r="G285" s="616"/>
      <c r="H285" s="616"/>
      <c r="I285" s="616"/>
      <c r="J285" s="616"/>
      <c r="K285" s="1670">
        <f>SUM(K282:K284)</f>
        <v>7691</v>
      </c>
      <c r="L285" s="1670">
        <f>SUM(L282:L284)</f>
        <v>7695</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125877</v>
      </c>
      <c r="E295" s="616"/>
      <c r="F295" s="616"/>
      <c r="G295" s="616"/>
      <c r="H295" s="1670">
        <f>H293</f>
        <v>0</v>
      </c>
      <c r="I295" s="616"/>
      <c r="J295" s="616"/>
      <c r="K295" s="1670">
        <f>SUM(K229,K279,K280,K285,K293,K294)</f>
        <v>125877</v>
      </c>
      <c r="L295" s="1670">
        <f>SUM(L229,L279,L280,L285,L293,L294)</f>
        <v>136505</v>
      </c>
    </row>
    <row r="296" spans="1:14" ht="13.5" thickTop="1" x14ac:dyDescent="0.2">
      <c r="A296" s="2155" t="s">
        <v>996</v>
      </c>
      <c r="B296" s="2156"/>
      <c r="C296" s="616"/>
      <c r="D296" s="618"/>
      <c r="E296" s="616"/>
      <c r="F296" s="616"/>
      <c r="G296" s="616"/>
      <c r="H296" s="687"/>
      <c r="I296" s="616"/>
      <c r="J296" s="616"/>
      <c r="K296" s="1684">
        <f>'Revenues 9-14'!G268-'Expenditures 15-22'!K295</f>
        <v>-22324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v>41429</v>
      </c>
      <c r="G322" s="467"/>
      <c r="H322" s="467"/>
      <c r="I322" s="467"/>
      <c r="J322" s="467"/>
      <c r="K322" s="1671">
        <f t="shared" si="24"/>
        <v>41429</v>
      </c>
      <c r="L322" s="467">
        <v>49000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41429</v>
      </c>
      <c r="G330" s="1670">
        <f t="shared" si="25"/>
        <v>0</v>
      </c>
      <c r="H330" s="1670">
        <f t="shared" si="25"/>
        <v>0</v>
      </c>
      <c r="I330" s="1670">
        <f t="shared" si="25"/>
        <v>0</v>
      </c>
      <c r="J330" s="1670">
        <f t="shared" si="25"/>
        <v>0</v>
      </c>
      <c r="K330" s="1670">
        <f>SUM(K319:K329)</f>
        <v>41429</v>
      </c>
      <c r="L330" s="1670">
        <f>SUM(L319:L329)</f>
        <v>49000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41429</v>
      </c>
      <c r="G342" s="1670">
        <f>SUM(G330)</f>
        <v>0</v>
      </c>
      <c r="H342" s="1670">
        <f>SUM(H330,H334,H340)</f>
        <v>0</v>
      </c>
      <c r="I342" s="1670">
        <f>SUM(I330)</f>
        <v>0</v>
      </c>
      <c r="J342" s="1670">
        <f>SUM(J330)</f>
        <v>0</v>
      </c>
      <c r="K342" s="1670">
        <f>SUM(K330,K334,K340)</f>
        <v>41429</v>
      </c>
      <c r="L342" s="1677">
        <f>SUM(L330,L340,L341)</f>
        <v>49000</v>
      </c>
    </row>
    <row r="343" spans="1:14" ht="12.75" customHeight="1" thickTop="1" x14ac:dyDescent="0.2">
      <c r="A343" s="2168" t="s">
        <v>996</v>
      </c>
      <c r="B343" s="2169"/>
      <c r="C343" s="616"/>
      <c r="D343" s="616"/>
      <c r="E343" s="616"/>
      <c r="F343" s="616"/>
      <c r="G343" s="616"/>
      <c r="H343" s="616"/>
      <c r="I343" s="616"/>
      <c r="J343" s="616"/>
      <c r="K343" s="1684">
        <f>'Revenues 9-14'!J268-'Expenditures 15-22'!K342</f>
        <v>4152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5" t="s">
        <v>996</v>
      </c>
      <c r="B368" s="2156"/>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http://schemas.microsoft.com/office/2006/documentManagement/types"/>
    <ds:schemaRef ds:uri="http://purl.org/dc/dcmitype/"/>
    <ds:schemaRef ds:uri="http://schemas.microsoft.com/sharepoint/v3"/>
    <ds:schemaRef ds:uri="http://purl.org/dc/terms/"/>
    <ds:schemaRef ds:uri="6ce3111e-7420-4802-b50a-75d4e9a0b980"/>
    <ds:schemaRef ds:uri="http://schemas.openxmlformats.org/package/2006/metadata/core-properties"/>
    <ds:schemaRef ds:uri="http://schemas.microsoft.com/office/infopath/2007/PartnerControls"/>
    <ds:schemaRef ds:uri="http://purl.org/dc/elements/1.1/"/>
    <ds:schemaRef ds:uri="4d435f69-8686-490b-bd6d-b153bf22ab5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2B63ED9E-A0F3-4F9F-B177-8E22F1C8F7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(v3).xlsm</dc:title>
  <dc:creator>HEMBERGER DEBRA</dc:creator>
  <cp:lastModifiedBy>BAXTER CHRISTOPHER</cp:lastModifiedBy>
  <cp:lastPrinted>2019-09-30T19:08:40Z</cp:lastPrinted>
  <dcterms:created xsi:type="dcterms:W3CDTF">2003-10-29T19:06:34Z</dcterms:created>
  <dcterms:modified xsi:type="dcterms:W3CDTF">2019-12-03T22:01:47Z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Other deliverables</vt:lpwstr>
  </property>
  <property fmtid="{D5CDD505-2E9C-101B-9397-08002B2CF9AE}" pid="5" name="tabIndex">
    <vt:lpwstr>140</vt:lpwstr>
  </property>
  <property fmtid="{D5CDD505-2E9C-101B-9397-08002B2CF9AE}" pid="6" name="workpaperIndex">
    <vt:lpwstr/>
  </property>
</Properties>
</file>