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A66D18B-F035-47AD-9710-2DACC9657B46}"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7" i="184" l="1"/>
  <c r="L13" i="184"/>
  <c r="B4" i="184"/>
  <c r="E20" i="179"/>
  <c r="L25" i="183" l="1"/>
  <c r="L23" i="183"/>
  <c r="L21" i="183"/>
  <c r="L19" i="183"/>
  <c r="L13" i="183"/>
  <c r="L12" i="183"/>
  <c r="L11" i="183"/>
  <c r="B4" i="183"/>
  <c r="F75" i="29" l="1"/>
  <c r="E75" i="29"/>
  <c r="F63" i="29"/>
  <c r="E10" i="108" l="1"/>
  <c r="M19"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0" i="179"/>
  <c r="L18" i="179"/>
  <c r="L17" i="179"/>
  <c r="L16" i="179"/>
  <c r="L13" i="179"/>
  <c r="D14" i="171" l="1"/>
  <c r="D12" i="171"/>
  <c r="A10" i="169"/>
  <c r="A16" i="169"/>
  <c r="A15" i="169"/>
  <c r="A14" i="169"/>
  <c r="K18" i="169"/>
  <c r="G18" i="169"/>
  <c r="G15" i="169"/>
  <c r="I13" i="169"/>
  <c r="G11" i="169"/>
  <c r="G10" i="169"/>
  <c r="G9" i="169"/>
  <c r="G7" i="169"/>
  <c r="E7" i="169"/>
  <c r="B2" i="184"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B5286" i="106" s="1"/>
  <c r="D5286" i="106" s="1"/>
  <c r="C221" i="5"/>
  <c r="B5304" i="106" s="1"/>
  <c r="D5304" i="106" s="1"/>
  <c r="C252"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0" i="106"/>
  <c r="D7090"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64" i="127"/>
  <c r="B65" i="127"/>
  <c r="E26" i="108"/>
  <c r="G26" i="108"/>
  <c r="E27" i="108"/>
  <c r="F27" i="108"/>
  <c r="G27" i="108"/>
  <c r="G28" i="108"/>
  <c r="D31" i="108"/>
  <c r="E31" i="108"/>
  <c r="G31" i="108"/>
  <c r="E33" i="108"/>
  <c r="G33"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B2633" i="106"/>
  <c r="D2633" i="106" s="1"/>
  <c r="D7" i="118"/>
  <c r="D8" i="118"/>
  <c r="D9" i="118"/>
  <c r="H14" i="118"/>
  <c r="H19" i="118"/>
  <c r="H24" i="118"/>
  <c r="H33" i="118"/>
  <c r="L5" i="11"/>
  <c r="B2056" i="106" s="1"/>
  <c r="D2056" i="106" s="1"/>
  <c r="B6995" i="106" l="1"/>
  <c r="D6995" i="106" s="1"/>
  <c r="B7047" i="106"/>
  <c r="D7047" i="106" s="1"/>
  <c r="D22" i="37"/>
  <c r="L15" i="11"/>
  <c r="B3459" i="106" s="1"/>
  <c r="D3459" i="106" s="1"/>
  <c r="G15" i="145"/>
  <c r="J22" i="37"/>
  <c r="F19" i="7"/>
  <c r="B1807" i="106" s="1"/>
  <c r="D1807" i="106" s="1"/>
  <c r="F70" i="34"/>
  <c r="F44" i="34"/>
  <c r="F46" i="34"/>
  <c r="D36" i="108"/>
  <c r="B2836" i="106"/>
  <c r="D2836" i="106" s="1"/>
  <c r="E35" i="108"/>
  <c r="F69" i="34"/>
  <c r="K184" i="29"/>
  <c r="F13" i="4" s="1"/>
  <c r="B2596" i="106" s="1"/>
  <c r="D2596" i="106" s="1"/>
  <c r="D37" i="108"/>
  <c r="F37" i="108"/>
  <c r="G14" i="4"/>
  <c r="B2609" i="106" s="1"/>
  <c r="D2609" i="106" s="1"/>
  <c r="F36" i="34"/>
  <c r="I210" i="29"/>
  <c r="B7071" i="106" s="1"/>
  <c r="D7071" i="106" s="1"/>
  <c r="F49" i="34"/>
  <c r="G39" i="108"/>
  <c r="B4087" i="106"/>
  <c r="D4087" i="106" s="1"/>
  <c r="F28" i="108"/>
  <c r="F71" i="34"/>
  <c r="F62" i="34"/>
  <c r="G38" i="108"/>
  <c r="E28" i="108"/>
  <c r="D14" i="4"/>
  <c r="B2570" i="106" s="1"/>
  <c r="D2570" i="106" s="1"/>
  <c r="F68" i="34"/>
  <c r="F56" i="34"/>
  <c r="F50" i="34"/>
  <c r="F42" i="34"/>
  <c r="F37" i="34"/>
  <c r="F34" i="34"/>
  <c r="E38" i="108"/>
  <c r="G29" i="108"/>
  <c r="F36" i="108"/>
  <c r="F72" i="34"/>
  <c r="G35" i="108"/>
  <c r="E29" i="108"/>
  <c r="C342" i="29"/>
  <c r="B7216" i="106" s="1"/>
  <c r="D7216" i="106" s="1"/>
  <c r="F77" i="4"/>
  <c r="B3255" i="106" s="1"/>
  <c r="D3255" i="106" s="1"/>
  <c r="E30" i="108"/>
  <c r="F26" i="108"/>
  <c r="D26" i="108"/>
  <c r="G210" i="29"/>
  <c r="H76" i="4"/>
  <c r="B3298" i="106" s="1"/>
  <c r="D3298" i="106" s="1"/>
  <c r="G30" i="108"/>
  <c r="L367" i="29"/>
  <c r="H342" i="29"/>
  <c r="B7221" i="106" s="1"/>
  <c r="D7221" i="106" s="1"/>
  <c r="H112" i="29"/>
  <c r="B7018" i="106" s="1"/>
  <c r="D7018" i="106" s="1"/>
  <c r="H365" i="29"/>
  <c r="B7242" i="106" s="1"/>
  <c r="D7242" i="106" s="1"/>
  <c r="J210" i="29"/>
  <c r="B7072" i="106" s="1"/>
  <c r="D7072" i="106" s="1"/>
  <c r="J352" i="29"/>
  <c r="J367" i="29" s="1"/>
  <c r="B7245" i="106" s="1"/>
  <c r="D7245" i="106" s="1"/>
  <c r="B6289" i="106"/>
  <c r="D6289" i="106" s="1"/>
  <c r="J41" i="3"/>
  <c r="D51" i="36" s="1"/>
  <c r="H28" i="118"/>
  <c r="N22" i="3"/>
  <c r="B283" i="106" s="1"/>
  <c r="D283" i="106" s="1"/>
  <c r="D24" i="37"/>
  <c r="B4270" i="106" s="1"/>
  <c r="D4270" i="106" s="1"/>
  <c r="L22" i="37"/>
  <c r="D68" i="36"/>
  <c r="D54" i="36"/>
  <c r="D11" i="37"/>
  <c r="H29" i="118"/>
  <c r="D17" i="7"/>
  <c r="B4104" i="106" s="1"/>
  <c r="D4104" i="106" s="1"/>
  <c r="J77" i="4"/>
  <c r="B6262" i="106" s="1"/>
  <c r="D6262" i="106" s="1"/>
  <c r="K41" i="3"/>
  <c r="C129" i="29"/>
  <c r="C151" i="29" s="1"/>
  <c r="B1226" i="106" s="1"/>
  <c r="D1226" i="106" s="1"/>
  <c r="D6103" i="106"/>
  <c r="B3647" i="106"/>
  <c r="D3647" i="106" s="1"/>
  <c r="C352" i="29"/>
  <c r="C367" i="29" s="1"/>
  <c r="B3622" i="106" s="1"/>
  <c r="D3622" i="106" s="1"/>
  <c r="K76" i="4"/>
  <c r="B3586" i="106" s="1"/>
  <c r="D3586" i="106" s="1"/>
  <c r="L13" i="11"/>
  <c r="B2060" i="106" s="1"/>
  <c r="D2060" i="106" s="1"/>
  <c r="B1308" i="106"/>
  <c r="D1308" i="106" s="1"/>
  <c r="E174" i="29"/>
  <c r="B1309" i="106" s="1"/>
  <c r="D1309" i="106" s="1"/>
  <c r="B1126" i="106"/>
  <c r="D1126" i="106" s="1"/>
  <c r="D9" i="7"/>
  <c r="B1767" i="106" s="1"/>
  <c r="D1767" i="106" s="1"/>
  <c r="L342" i="29"/>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2" i="106" l="1"/>
  <c r="D7255" i="106"/>
  <c r="D7251" i="106"/>
  <c r="D7256" i="106"/>
  <c r="B7235" i="106"/>
  <c r="D7235" i="106" s="1"/>
  <c r="B6216" i="106"/>
  <c r="D6216" i="106" s="1"/>
  <c r="L16" i="11"/>
  <c r="B2061" i="106" s="1"/>
  <c r="D2061" i="106" s="1"/>
  <c r="B1225" i="106"/>
  <c r="D1225" i="106" s="1"/>
  <c r="B1381" i="106"/>
  <c r="D1381" i="106" s="1"/>
  <c r="F66" i="34"/>
  <c r="D41" i="108"/>
  <c r="E43" i="108" s="1"/>
  <c r="F41" i="108"/>
  <c r="G43" i="108" s="1"/>
  <c r="H77" i="4"/>
  <c r="B3299" i="106" s="1"/>
  <c r="D3299" i="106" s="1"/>
  <c r="B1317" i="106"/>
  <c r="D1317" i="106" s="1"/>
  <c r="L114" i="29"/>
  <c r="B3621" i="106"/>
  <c r="D3621" i="106" s="1"/>
  <c r="J16" i="4"/>
  <c r="B6226" i="106" s="1"/>
  <c r="D6226" i="106" s="1"/>
  <c r="K77" i="4"/>
  <c r="B3587" i="106" s="1"/>
  <c r="D3587" i="106" s="1"/>
  <c r="B1365" i="106"/>
  <c r="D1365" i="106" s="1"/>
  <c r="F65" i="34"/>
  <c r="H151" i="29"/>
  <c r="B1273" i="106" s="1"/>
  <c r="D1273" i="106" s="1"/>
  <c r="C114" i="29"/>
  <c r="B757" i="106" s="1"/>
  <c r="D757" i="106" s="1"/>
  <c r="B5527" i="106"/>
  <c r="D5527" i="106" s="1"/>
  <c r="I7" i="4"/>
  <c r="B4444" i="106" s="1"/>
  <c r="D4444" i="106" s="1"/>
  <c r="K365" i="29"/>
  <c r="K16" i="4" s="1"/>
  <c r="F174" i="34"/>
  <c r="K28" i="118"/>
  <c r="O27" i="118" s="1"/>
  <c r="O29" i="118" s="1"/>
  <c r="D44" i="36"/>
  <c r="N23" i="3"/>
  <c r="B284" i="106" s="1"/>
  <c r="D284" i="106" s="1"/>
  <c r="D7254" i="106"/>
  <c r="D7250" i="106"/>
  <c r="G170" i="5"/>
  <c r="B3568" i="106"/>
  <c r="D3568" i="106" s="1"/>
  <c r="D52" i="36"/>
  <c r="B1996" i="106"/>
  <c r="D1996" i="106" s="1"/>
  <c r="I26" i="12"/>
  <c r="B7741" i="106" s="1"/>
  <c r="D7741" i="106" s="1"/>
  <c r="D7253" i="106"/>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B7224" i="106"/>
  <c r="D7224" i="106" s="1"/>
  <c r="K367" i="29"/>
  <c r="B3678" i="106" s="1"/>
  <c r="D3678" i="106" s="1"/>
  <c r="F24" i="37"/>
  <c r="B5778" i="106"/>
  <c r="D5778"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K368" i="29"/>
  <c r="B3681" i="106" s="1"/>
  <c r="D3681" i="106" s="1"/>
  <c r="D8" i="146"/>
  <c r="B6227" i="106"/>
  <c r="D6227" i="106" s="1"/>
  <c r="J20" i="4"/>
  <c r="B6230" i="106" s="1"/>
  <c r="D6230" i="106" s="1"/>
  <c r="B6223" i="106"/>
  <c r="D6223" i="106" s="1"/>
  <c r="J10" i="4"/>
  <c r="B6225" i="106" s="1"/>
  <c r="D62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2595" i="106" l="1"/>
  <c r="D2595" i="106"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<sst xmlns="http://schemas.openxmlformats.org/spreadsheetml/2006/main" count="5282" uniqueCount="2167">
  <si>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</si>
  <si>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</si>
  <si>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</si>
  <si>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</si>
  <si>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</si>
  <si>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</si>
  <si>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</si>
  <si>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</si>
  <si>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</si>
  <si>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</si>
  <si>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</si>
  <si>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</si>
  <si>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</si>
  <si>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</si>
  <si>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</si>
  <si>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</si>
  <si>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</si>
  <si>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</si>
  <si>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</si>
  <si>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</si>
  <si>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</si>
  <si>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</si>
  <si>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</si>
  <si>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</si>
  <si>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</si>
  <si>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</si>
  <si>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</si>
  <si>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</si>
  <si>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</si>
  <si>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</si>
  <si>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</si>
  <si>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</si>
  <si>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</si>
  <si>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</si>
  <si>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</si>
  <si>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</si>
  <si>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</si>
  <si>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</si>
  <si>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</si>
  <si>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</si>
  <si>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</si>
  <si>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</si>
  <si>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</si>
  <si>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</si>
  <si>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</si>
  <si>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</si>
  <si>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</si>
  <si>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</si>
  <si>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</si>
  <si>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</si>
  <si>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</si>
  <si>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</si>
  <si>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</si>
  <si>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</si>
  <si>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</si>
  <si>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</si>
  <si>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</si>
  <si>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</si>
  <si>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</si>
  <si>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</si>
  <si>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</si>
  <si>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</si>
  <si>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</si>
  <si>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</si>
  <si>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</si>
  <si>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</si>
  <si>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</si>
  <si>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</si>
  <si>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</si>
  <si>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</si>
  <si>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</si>
  <si>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</si>
  <si>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</si>
  <si>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</si>
  <si>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</si>
  <si>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</si>
  <si>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</si>
  <si>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</si>
  <si>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</si>
  <si>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</si>
  <si>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</si>
  <si>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</si>
  <si>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</si>
  <si>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</si>
  <si>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</si>
  <si>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</si>
  <si>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</si>
  <si>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</si>
  <si>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</si>
  <si>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</si>
  <si>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</si>
  <si>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</si>
  <si>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</si>
  <si>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</si>
  <si>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</si>
  <si>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</si>
  <si>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</si>
  <si>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</si>
  <si>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</si>
  <si>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</si>
  <si>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</si>
  <si>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</si>
  <si>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</si>
  <si>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</si>
  <si>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</si>
  <si>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</si>
  <si>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</si>
  <si>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</si>
  <si>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</si>
  <si>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</si>
  <si>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</si>
  <si>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</si>
  <si>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</si>
  <si>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</si>
  <si>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</si>
  <si>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</si>
  <si>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</si>
  <si>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</si>
  <si>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</si>
  <si>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</si>
  <si>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</si>
  <si>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</si>
  <si>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</si>
  <si>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</si>
  <si>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</si>
  <si>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</si>
  <si>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</si>
  <si>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</si>
  <si>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</si>
  <si>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</si>
  <si>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</si>
  <si>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</si>
  <si>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</si>
  <si>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</si>
  <si>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</si>
  <si>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</si>
  <si>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</si>
  <si>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</si>
  <si>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</si>
  <si>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</si>
  <si>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</si>
  <si>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</si>
  <si>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</si>
  <si>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</si>
  <si>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</si>
  <si>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</si>
  <si>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</si>
  <si>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</si>
  <si>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</si>
  <si>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</si>
  <si>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</si>
  <si>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</si>
  <si>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</si>
  <si>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</si>
  <si>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</si>
  <si>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</si>
  <si>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</si>
  <si>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</si>
  <si>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</si>
  <si>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</si>
  <si>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</si>
  <si>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</si>
  <si>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</si>
  <si>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</si>
  <si>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</si>
  <si>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</si>
  <si>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</si>
  <si>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</si>
  <si>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</si>
  <si>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</si>
  <si>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</si>
  <si>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</si>
  <si>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</si>
  <si>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</si>
  <si>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</si>
  <si>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</si>
  <si>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</si>
  <si>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</si>
  <si>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</si>
  <si>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</si>
  <si>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</si>
  <si>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</si>
  <si>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</si>
  <si>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</si>
  <si>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</si>
  <si>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</si>
  <si>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</si>
  <si>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</si>
  <si>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</si>
  <si>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</si>
  <si>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</si>
  <si>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</si>
  <si>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</si>
  <si>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</si>
  <si>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</si>
  <si>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</si>
  <si>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</si>
  <si>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</si>
  <si>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</si>
  <si>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</si>
  <si>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</si>
  <si>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</si>
  <si>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</si>
  <si>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</si>
  <si>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</si>
  <si>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</si>
  <si>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</si>
  <si>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</si>
  <si>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</si>
  <si>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</si>
  <si>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</si>
  <si>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</si>
  <si>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</si>
  <si>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</si>
  <si>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</si>
  <si>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</si>
  <si>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</si>
  <si>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</si>
  <si>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</si>
  <si>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</si>
  <si>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</si>
  <si>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</si>
  <si>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</si>
  <si>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</si>
  <si>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</si>
  <si>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</si>
  <si>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</si>
  <si>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</si>
  <si>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</si>
  <si>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</si>
  <si>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</si>
  <si>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</si>
  <si>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</si>
  <si>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</si>
  <si>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</si>
  <si>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</si>
  <si>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</si>
  <si>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</si>
  <si>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</si>
  <si>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</si>
  <si>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</si>
  <si>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</si>
  <si>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</si>
  <si>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</si>
  <si>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</si>
  <si>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</si>
  <si>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</si>
  <si>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</si>
  <si>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</si>
  <si>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</si>
  <si>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</si>
  <si>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</si>
  <si>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</si>
  <si>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</si>
  <si>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</si>
  <si>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</si>
  <si>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</si>
  <si>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</si>
  <si>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</si>
  <si>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</si>
  <si>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</si>
  <si>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</si>
  <si>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</si>
  <si>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</si>
  <si>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</si>
  <si>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</si>
  <si>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</si>
  <si>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</si>
  <si>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</si>
  <si>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</si>
  <si>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</si>
  <si>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</si>
  <si>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</si>
  <si>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</si>
  <si>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</si>
  <si>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</si>
  <si>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</si>
  <si>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</si>
  <si>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</si>
  <si>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</si>
  <si>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</si>
  <si>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</si>
  <si>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</si>
  <si>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</si>
  <si>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</si>
  <si>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</si>
  <si>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</si>
  <si>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</si>
  <si>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</si>
  <si>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</si>
  <si>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</si>
  <si>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</si>
  <si>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</si>
  <si>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</si>
  <si>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</si>
  <si>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</si>
  <si>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</si>
  <si>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</si>
  <si>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</si>
  <si>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</si>
  <si>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</si>
  <si>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</si>
  <si>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</si>
  <si>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</si>
  <si>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</si>
  <si>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</si>
  <si>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</si>
  <si>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</si>
  <si>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</si>
  <si>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</si>
  <si>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</si>
  <si>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</si>
  <si>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</si>
  <si>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</si>
  <si>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</si>
  <si>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</si>
  <si>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</si>
  <si>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</si>
  <si>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</si>
  <si>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</si>
  <si>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</si>
  <si>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</si>
  <si>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</si>
  <si>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</si>
  <si>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</si>
  <si>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</si>
  <si>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</si>
  <si>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</si>
  <si>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</si>
  <si>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</si>
  <si>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</si>
  <si>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</si>
  <si>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</si>
  <si>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</si>
  <si>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</si>
  <si>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</si>
  <si>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</si>
  <si>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</si>
  <si>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</si>
  <si>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</si>
  <si>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</si>
  <si>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</si>
  <si>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</si>
  <si>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</si>
  <si>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</si>
  <si>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</si>
  <si>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</si>
  <si>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</si>
  <si>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</si>
  <si>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</si>
  <si>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</si>
  <si>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</si>
  <si>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</si>
  <si>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</si>
  <si>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</si>
  <si>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</si>
  <si>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</si>
  <si>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</si>
  <si>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</si>
  <si>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</si>
  <si>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</si>
  <si>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</si>
  <si>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</si>
  <si>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</si>
  <si>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</si>
  <si>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</si>
  <si>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</si>
  <si>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</si>
  <si>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</si>
  <si>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</si>
  <si>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</si>
  <si>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</si>
  <si>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</si>
  <si>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</si>
  <si>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</si>
  <si>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</si>
  <si>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</si>
  <si>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</si>
  <si>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</si>
  <si>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</si>
  <si>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</si>
  <si>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</si>
  <si>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</si>
  <si>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</si>
  <si>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</si>
  <si>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</si>
  <si>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</si>
  <si>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</si>
  <si>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</si>
  <si>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</si>
  <si>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</si>
  <si>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</si>
  <si>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</si>
  <si>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</si>
  <si>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</si>
  <si>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</si>
  <si>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</si>
  <si>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</si>
  <si>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</si>
  <si>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</si>
  <si>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</si>
  <si>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</si>
  <si>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</si>
  <si>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</si>
  <si>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</si>
  <si>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</si>
  <si>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</si>
  <si>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</si>
  <si>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</si>
  <si>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</si>
  <si>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</si>
  <si>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</si>
  <si>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</si>
  <si>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</si>
  <si>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</si>
  <si>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</si>
  <si>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</si>
  <si>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</si>
  <si>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</si>
  <si>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</si>
  <si>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</si>
  <si>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</si>
  <si>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</si>
  <si>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</si>
  <si>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</si>
  <si>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</si>
  <si>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</si>
  <si>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</si>
  <si>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</si>
  <si>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</si>
  <si>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</si>
  <si>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</si>
  <si>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</si>
  <si>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</si>
  <si>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</si>
  <si>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</si>
  <si>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</si>
  <si>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</si>
  <si>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</si>
  <si>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</si>
  <si>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</si>
  <si>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</si>
  <si>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</si>
  <si>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</si>
  <si>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</si>
  <si>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</si>
  <si>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</si>
  <si>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</si>
  <si>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</si>
  <si>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</si>
  <si>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</si>
  <si>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</si>
  <si>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</si>
  <si>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</si>
  <si>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</si>
  <si>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</si>
  <si>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</si>
  <si>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</si>
  <si>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</si>
  <si>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</si>
  <si>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</si>
  <si>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</si>
  <si>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</si>
  <si>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</si>
  <si>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</si>
  <si>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</si>
  <si>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</si>
  <si>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</si>
  <si>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</si>
  <si>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</si>
  <si>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</si>
  <si>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</si>
  <si>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</si>
  <si>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</si>
  <si>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</si>
  <si>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</si>
  <si>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</si>
  <si>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</si>
  <si>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</si>
  <si>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</si>
  <si>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</si>
  <si>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</si>
  <si>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</si>
  <si>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</si>
  <si>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</si>
  <si>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</si>
  <si>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</si>
  <si>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</si>
  <si>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</si>
  <si>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</si>
  <si>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</si>
  <si>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</si>
  <si>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</si>
  <si>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</si>
  <si>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</si>
  <si>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</si>
  <si>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</si>
  <si>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</si>
  <si>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</si>
  <si>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</si>
  <si>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</si>
  <si>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</si>
  <si>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</si>
  <si>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</si>
  <si>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</si>
  <si>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</si>
  <si>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</si>
  <si>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</si>
  <si>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</si>
  <si>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</si>
  <si>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</si>
  <si>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</si>
  <si>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</si>
  <si>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</si>
  <si>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</si>
  <si>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</si>
  <si>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</si>
  <si>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</si>
  <si>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</si>
  <si>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</si>
  <si>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</si>
  <si>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</si>
  <si>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</si>
  <si>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</si>
  <si>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</si>
  <si>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</si>
  <si>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</si>
  <si>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</si>
  <si>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</si>
  <si>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</si>
  <si>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</si>
  <si>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</si>
  <si>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</si>
  <si>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</si>
  <si>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</si>
  <si>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</si>
  <si>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</si>
  <si>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</si>
  <si>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</si>
  <si>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</si>
  <si>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</si>
  <si>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</si>
  <si>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</si>
  <si>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</si>
  <si>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</si>
  <si>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</si>
  <si>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</si>
  <si>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</si>
  <si>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</si>
  <si>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</si>
  <si>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</si>
  <si>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</si>
  <si>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</si>
  <si>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</si>
  <si>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</si>
  <si>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</si>
  <si>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</si>
  <si>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</si>
  <si>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</si>
  <si>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</si>
  <si>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</si>
  <si>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</si>
  <si>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</si>
  <si>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</si>
  <si>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</si>
  <si>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</si>
  <si>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</si>
  <si>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</si>
  <si>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</si>
  <si>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</si>
  <si>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</si>
  <si>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</si>
  <si>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</si>
  <si>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</si>
  <si>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</si>
  <si>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</si>
  <si>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</si>
  <si>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</si>
  <si>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</si>
  <si>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</si>
  <si>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</si>
  <si>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</si>
  <si>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</si>
  <si>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</si>
  <si>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</si>
  <si>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</si>
  <si>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</si>
  <si>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</si>
  <si>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</si>
  <si>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</si>
  <si>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</si>
  <si>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</si>
  <si>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</si>
  <si>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</si>
  <si>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</si>
  <si>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</si>
  <si>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</si>
  <si>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</si>
  <si>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</si>
  <si>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</si>
  <si>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</si>
  <si>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</si>
  <si>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</si>
  <si>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</si>
  <si>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</si>
  <si>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</si>
  <si>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</si>
  <si>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</si>
  <si>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</si>
  <si>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</si>
  <si>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</si>
  <si>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</si>
  <si>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</si>
  <si>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</si>
  <si>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</si>
  <si>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</si>
  <si>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</si>
  <si>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</si>
  <si>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</si>
  <si>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</si>
  <si>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</si>
  <si>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</si>
  <si>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</si>
  <si>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</si>
  <si>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</si>
  <si>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</si>
  <si>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</si>
  <si>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</si>
  <si>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</si>
  <si>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</si>
  <si>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</si>
  <si>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</si>
  <si>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</si>
  <si>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</si>
  <si>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</si>
  <si>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</si>
  <si>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</si>
  <si>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</si>
  <si>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</si>
  <si>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</si>
  <si>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</si>
  <si>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</si>
  <si>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</si>
  <si>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</si>
  <si>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</si>
  <si>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</si>
  <si>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</si>
  <si>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</si>
  <si>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</si>
  <si>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</si>
  <si>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</si>
  <si>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</si>
  <si>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</si>
  <si>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</si>
  <si>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</si>
  <si>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</si>
  <si>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</si>
  <si>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</si>
  <si>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</si>
  <si>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</si>
  <si>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</si>
  <si>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</si>
  <si>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</si>
  <si>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</si>
  <si>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</si>
  <si>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</si>
  <si>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</si>
  <si>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</si>
  <si>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</si>
  <si>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</si>
  <si>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</si>
  <si>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</si>
  <si>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</si>
  <si>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</si>
  <si>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</si>
  <si>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</si>
  <si>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</si>
  <si>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</si>
  <si>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</si>
  <si>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</si>
  <si>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</si>
  <si>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</si>
  <si>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</si>
  <si>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</si>
  <si>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</si>
  <si>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</si>
  <si>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</si>
  <si>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</si>
  <si>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</si>
  <si>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</si>
  <si>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</si>
  <si>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</si>
  <si>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</si>
  <si>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</si>
  <si>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</si>
  <si>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</si>
  <si>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</si>
  <si>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</si>
  <si>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</si>
  <si>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</si>
  <si>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</si>
  <si>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</si>
  <si>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</si>
  <si>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</si>
  <si>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</si>
  <si>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</si>
  <si>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</si>
  <si>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</si>
  <si>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</si>
  <si>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</si>
  <si>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</si>
  <si>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</si>
  <si>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</si>
  <si>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</si>
  <si>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</si>
  <si>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</si>
  <si>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</si>
  <si>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</si>
  <si>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</si>
  <si>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</si>
  <si>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</si>
  <si>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</si>
  <si>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</si>
  <si>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</si>
  <si>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</si>
  <si>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</si>
  <si>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</si>
  <si>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</si>
  <si>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</si>
  <si>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</si>
  <si>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</si>
  <si>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</si>
  <si>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</si>
  <si>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</si>
  <si>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</si>
  <si>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</si>
  <si>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</si>
  <si>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</si>
  <si>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</si>
  <si>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</si>
  <si>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</si>
  <si>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</si>
  <si>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</si>
  <si>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</si>
  <si>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</si>
  <si>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</si>
  <si>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</si>
  <si>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</si>
  <si>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</si>
  <si>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</si>
  <si>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</si>
  <si>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</si>
  <si>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</si>
  <si>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</si>
  <si>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</si>
  <si>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</si>
  <si>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</si>
  <si>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</si>
  <si>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</si>
  <si>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</si>
  <si>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</si>
  <si>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</si>
  <si>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</si>
  <si>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</si>
  <si>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</si>
  <si>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</si>
  <si>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</si>
  <si>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</si>
  <si>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</si>
  <si>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</si>
  <si>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</si>
  <si>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</si>
  <si>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</si>
  <si>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</si>
  <si>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</si>
  <si>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</si>
  <si>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</si>
  <si>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</si>
  <si>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</si>
  <si>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</si>
  <si>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</si>
  <si>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</si>
  <si>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</si>
  <si>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</si>
  <si>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</si>
  <si>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</si>
  <si>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</si>
  <si>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</si>
  <si>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</si>
  <si>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</si>
  <si>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</si>
  <si>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</si>
  <si>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</si>
  <si>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</si>
  <si>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</si>
  <si>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</si>
  <si>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</si>
  <si>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</si>
  <si>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</si>
  <si>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</si>
  <si>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</si>
  <si>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</si>
  <si>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</si>
  <si>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</si>
  <si>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</si>
  <si>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</si>
  <si>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</si>
  <si>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</si>
  <si>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</si>
  <si>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</si>
  <si>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</si>
  <si>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</si>
  <si>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</si>
  <si>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</si>
  <si>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</si>
  <si>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</si>
  <si>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</si>
  <si>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</si>
  <si>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</si>
  <si>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</si>
  <si>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</si>
  <si>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</si>
  <si>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</si>
  <si>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</si>
  <si>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</si>
  <si>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</si>
  <si>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</si>
  <si>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</si>
  <si>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</si>
  <si>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</si>
  <si>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</si>
  <si>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</si>
  <si>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</si>
  <si>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</si>
  <si>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</si>
  <si>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</si>
  <si>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</si>
  <si>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</si>
  <si>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</si>
  <si>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</si>
  <si>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</si>
  <si>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</si>
  <si>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</si>
  <si>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</si>
  <si>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</si>
  <si>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</si>
  <si>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</si>
  <si>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</si>
  <si>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</si>
  <si>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</si>
  <si>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</si>
  <si>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</si>
  <si>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</si>
  <si>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</si>
  <si>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</si>
  <si>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</si>
  <si>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</si>
  <si>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</si>
  <si>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</si>
  <si>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</si>
  <si>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</si>
  <si>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</si>
  <si>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</si>
  <si>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</si>
  <si>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</si>
  <si>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</si>
  <si>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</si>
  <si>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</si>
  <si>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</si>
  <si>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</si>
  <si>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</si>
  <si>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</si>
  <si>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</si>
  <si>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</si>
  <si>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</si>
  <si>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</si>
  <si>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</si>
  <si>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</si>
  <si>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</si>
  <si>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</si>
  <si>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</si>
  <si>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</si>
  <si>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</si>
  <si>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</si>
  <si>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</si>
  <si>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</si>
  <si>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</si>
  <si>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</si>
  <si>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</si>
  <si>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</si>
  <si>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</si>
  <si>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</si>
  <si>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</si>
  <si>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</si>
  <si>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</si>
  <si>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</si>
  <si>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</si>
  <si>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</si>
  <si>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</si>
  <si>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</si>
  <si>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</si>
  <si>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</si>
  <si>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</si>
  <si>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</si>
  <si>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</si>
  <si>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</si>
  <si>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</si>
  <si>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</si>
  <si>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</si>
  <si>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</si>
  <si>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</si>
  <si>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</si>
  <si>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</si>
  <si>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</si>
  <si>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</si>
  <si>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</si>
  <si>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</si>
  <si>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</si>
  <si>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</si>
  <si>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</si>
  <si>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</si>
  <si>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</si>
  <si>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</si>
  <si>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</si>
  <si>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</si>
  <si>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</si>
  <si>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</si>
  <si>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</si>
  <si>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</si>
  <si>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</si>
  <si>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</si>
  <si>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</si>
  <si>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</si>
  <si>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</si>
  <si>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</si>
  <si>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</si>
  <si>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</si>
  <si>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</si>
  <si>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</si>
  <si>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</si>
  <si>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</si>
  <si>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</si>
  <si>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</si>
  <si>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</si>
  <si>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</si>
  <si>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</si>
  <si>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</si>
  <si>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</si>
  <si>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</si>
  <si>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</si>
  <si>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</si>
  <si>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</si>
  <si>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</si>
  <si>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</si>
  <si>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</si>
  <si>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</si>
  <si>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</si>
  <si>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</si>
  <si>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</si>
  <si>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</si>
  <si>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</si>
  <si>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</si>
  <si>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</si>
  <si>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</si>
  <si>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</si>
  <si>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</si>
  <si>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</si>
  <si>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</si>
  <si>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</si>
  <si>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</si>
  <si>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</si>
  <si>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</si>
  <si>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</si>
  <si>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</si>
  <si>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</si>
  <si>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</si>
  <si>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</si>
  <si>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</si>
  <si>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</si>
  <si>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</si>
  <si>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</si>
  <si>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</si>
  <si>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</si>
  <si>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</si>
  <si>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</si>
  <si>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</si>
  <si>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</si>
  <si>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</si>
  <si>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</si>
  <si>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</si>
  <si>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</si>
  <si>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</si>
  <si>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</si>
  <si>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</si>
  <si>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</si>
  <si>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</si>
  <si>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</si>
  <si>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</si>
  <si>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</si>
  <si>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</si>
  <si>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</si>
  <si>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</si>
  <si>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</si>
  <si>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</si>
  <si>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</si>
  <si>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</si>
  <si>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</si>
  <si>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</si>
  <si>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</si>
  <si>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</si>
  <si>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</si>
  <si>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</si>
  <si>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</si>
  <si>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</si>
  <si>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</si>
  <si>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</si>
  <si>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</si>
  <si>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</si>
  <si>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</si>
  <si>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</si>
  <si>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</si>
  <si>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</si>
  <si>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</si>
  <si>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</si>
  <si>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</si>
  <si>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</si>
  <si>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</si>
  <si>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</si>
  <si>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</si>
  <si>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</si>
  <si>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</si>
  <si>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</si>
  <si>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</si>
  <si>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</si>
  <si>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</si>
  <si>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</si>
  <si>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</si>
  <si>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</si>
  <si>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</si>
  <si>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</si>
  <si>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</si>
  <si>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</si>
  <si>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</si>
  <si>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</si>
  <si>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</si>
  <si>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</si>
  <si>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</si>
  <si>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</si>
  <si>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</si>
  <si>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</si>
  <si>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</si>
  <si>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</si>
  <si>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</si>
  <si>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</si>
  <si>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</si>
  <si>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</si>
  <si>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</si>
  <si>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</si>
  <si>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</si>
  <si>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</si>
  <si>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</si>
  <si>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</si>
  <si>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</si>
  <si>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</si>
  <si>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</si>
  <si>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</si>
  <si>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</si>
  <si>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</si>
  <si>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</si>
  <si>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</si>
  <si>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</si>
  <si>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</si>
  <si>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</si>
  <si>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</si>
  <si>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</si>
  <si>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</si>
  <si>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</si>
  <si>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</si>
  <si>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</si>
  <si>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</si>
  <si>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</si>
  <si>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</si>
  <si>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</si>
  <si>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</si>
  <si>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</si>
  <si>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</si>
  <si>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</si>
  <si>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</si>
  <si>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</si>
  <si>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</si>
  <si>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</si>
  <si>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</si>
  <si>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</si>
  <si>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</si>
  <si>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</si>
  <si>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</si>
  <si>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</si>
  <si>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</si>
  <si>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</si>
  <si>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</si>
  <si>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</si>
  <si>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</si>
  <si>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</si>
  <si>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</si>
  <si>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</si>
  <si>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</si>
  <si>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</si>
  <si>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</si>
  <si>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</si>
  <si>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</si>
  <si>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</si>
  <si>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</si>
  <si>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</si>
  <si>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</si>
  <si>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</si>
  <si>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</si>
  <si>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</si>
  <si>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</si>
  <si>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</si>
  <si>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</si>
  <si>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</si>
  <si>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</si>
  <si>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</si>
  <si>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</si>
  <si>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</si>
  <si>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</si>
  <si>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</si>
  <si>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</si>
  <si>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</si>
  <si>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</si>
  <si>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</si>
  <si>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</si>
  <si>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</si>
  <si>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</si>
  <si>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</si>
  <si>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</si>
  <si>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</si>
  <si>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</si>
  <si>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</si>
  <si>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</si>
  <si>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</si>
  <si>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</si>
  <si>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</si>
  <si>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</si>
  <si>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</si>
  <si>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</si>
  <si>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</si>
  <si>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</si>
  <si>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</si>
  <si>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</si>
  <si>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</si>
  <si>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</si>
  <si>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</si>
  <si>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</si>
  <si>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</si>
  <si>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</si>
  <si>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</si>
  <si>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</si>
  <si>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</si>
  <si>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</si>
  <si>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</si>
  <si>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</si>
  <si>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</si>
  <si>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</si>
  <si>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</si>
  <si>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</si>
  <si>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</si>
  <si>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</si>
  <si>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</si>
  <si>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</si>
  <si>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</si>
  <si>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</si>
  <si>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</si>
  <si>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</si>
  <si>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</si>
  <si>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</si>
  <si>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</si>
  <si>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</si>
  <si>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</si>
  <si>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</si>
  <si>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</si>
  <si>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</si>
  <si>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</si>
  <si>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</si>
  <si>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</si>
  <si>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</si>
  <si>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</si>
  <si>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</si>
  <si>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</si>
  <si>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</si>
  <si>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</si>
  <si>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</si>
  <si>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</si>
  <si>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</si>
  <si>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</si>
  <si>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</si>
  <si>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</si>
  <si>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</si>
  <si>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</si>
  <si>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</si>
  <si>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</si>
  <si>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</si>
  <si>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</si>
  <si>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</si>
  <si>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</si>
  <si>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</si>
  <si>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</si>
  <si>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</si>
  <si>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</si>
  <si>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</si>
  <si>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</si>
  <si>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</si>
  <si>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</si>
  <si>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</si>
  <si>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</si>
  <si>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</si>
  <si>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</si>
  <si>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</si>
  <si>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</si>
  <si>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</si>
  <si>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</si>
  <si>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</si>
  <si>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</si>
  <si>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</si>
  <si>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</si>
  <si>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</si>
  <si>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</si>
  <si>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</si>
  <si>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</si>
  <si>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</si>
  <si>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</si>
  <si>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</si>
  <si>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</si>
  <si>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</si>
  <si>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</si>
  <si>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</si>
  <si>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</si>
  <si>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</si>
  <si>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</si>
  <si>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</si>
  <si>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</si>
  <si>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</si>
  <si>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</si>
  <si>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</si>
  <si>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</si>
  <si>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</si>
  <si>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</si>
  <si>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</si>
  <si>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</si>
  <si>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</si>
  <si>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</si>
  <si>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</si>
  <si>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</si>
  <si>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</si>
  <si>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</si>
  <si>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</si>
  <si>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</si>
  <si>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</si>
  <si>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</si>
  <si>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</si>
  <si>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</si>
  <si>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</si>
  <si>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</si>
  <si>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</si>
  <si>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</si>
  <si>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</si>
  <si>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</si>
  <si>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</si>
  <si>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</si>
  <si>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</si>
  <si>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</si>
  <si>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</si>
  <si>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</si>
  <si>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</si>
  <si>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</si>
  <si>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</si>
  <si>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</si>
  <si>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</si>
  <si>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</si>
  <si>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</si>
  <si>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</si>
  <si>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</si>
  <si>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</si>
  <si>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</si>
  <si>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</si>
  <si>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</si>
  <si>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</si>
  <si>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</si>
  <si>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</si>
  <si>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</si>
  <si>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</si>
  <si>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</si>
  <si>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</si>
  <si>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</si>
  <si>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</si>
  <si>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</si>
  <si>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</si>
  <si>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</si>
  <si>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</si>
  <si>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</si>
  <si>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</si>
  <si>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</si>
  <si>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</si>
  <si>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</si>
  <si>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</si>
  <si>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</si>
  <si>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</si>
  <si>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</si>
  <si>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</si>
  <si>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</si>
  <si>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</si>
  <si>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</si>
  <si>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</si>
  <si>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</si>
  <si>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</si>
  <si>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</si>
  <si>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</si>
  <si>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</si>
  <si>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</si>
  <si>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</si>
  <si>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</si>
  <si>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</si>
  <si>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</si>
  <si>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</si>
  <si>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</si>
  <si>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</si>
  <si>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</si>
  <si>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</si>
  <si>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</si>
  <si>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</si>
  <si>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</si>
  <si>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</si>
  <si>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</si>
  <si>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</si>
  <si>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</si>
  <si>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</si>
  <si>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</si>
  <si>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</si>
  <si>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</si>
  <si>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</si>
  <si>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</si>
  <si>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</si>
  <si>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</si>
  <si>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</si>
  <si>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</si>
  <si>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</si>
  <si>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</si>
  <si>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</si>
  <si>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</si>
  <si>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</si>
  <si>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</si>
  <si>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</si>
  <si>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</si>
  <si>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</si>
  <si>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</si>
  <si>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</si>
  <si>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</si>
  <si>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</si>
  <si>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</si>
  <si>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</si>
  <si>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</si>
  <si>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</si>
  <si>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</si>
  <si>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</si>
  <si>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</si>
  <si>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</si>
  <si>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</si>
  <si>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</si>
  <si>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</si>
  <si>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</si>
  <si>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</si>
  <si>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</si>
  <si>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</si>
  <si>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</si>
  <si>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</si>
  <si>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</si>
  <si>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</si>
  <si>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</si>
  <si>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</si>
  <si>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</si>
  <si>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</si>
  <si>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</si>
  <si>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</si>
  <si>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</si>
  <si>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</si>
  <si>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</si>
  <si>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</si>
  <si>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</si>
  <si>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</si>
  <si>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</si>
  <si>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</si>
  <si>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</si>
  <si>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</si>
  <si>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</si>
  <si>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</si>
  <si>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</si>
  <si>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</si>
  <si>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</si>
  <si>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</si>
  <si>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</si>
  <si>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</si>
  <si>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</si>
  <si>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</si>
  <si>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</si>
  <si>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</si>
  <si>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</si>
  <si>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</si>
  <si>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</si>
  <si>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</si>
  <si>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</si>
  <si>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</si>
  <si>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</si>
  <si>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</si>
  <si>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</si>
  <si>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</si>
  <si>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</si>
  <si>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</si>
  <si>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</si>
  <si>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</si>
  <si>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</si>
  <si>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</si>
  <si>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</si>
  <si>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</si>
  <si>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</si>
  <si>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</si>
  <si>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</si>
  <si>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</si>
  <si>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</si>
  <si>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</si>
  <si>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</si>
  <si>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</si>
  <si>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</si>
  <si>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</si>
  <si>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</si>
  <si>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</si>
  <si>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</si>
  <si>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</si>
  <si>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</si>
  <si>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</si>
  <si>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</si>
  <si>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</si>
  <si>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</si>
  <si>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</si>
  <si>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</si>
  <si>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</si>
  <si>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</si>
  <si>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</si>
  <si>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</si>
  <si>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</si>
  <si>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</si>
  <si>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</si>
  <si>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</si>
  <si>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</si>
  <si>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</si>
  <si>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</si>
  <si>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</si>
  <si>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</si>
  <si>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</si>
  <si>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</si>
  <si>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</si>
  <si>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</si>
  <si>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</si>
  <si>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</si>
  <si>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</si>
  <si>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</si>
  <si>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</si>
  <si>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</si>
  <si>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</si>
  <si>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</si>
  <si>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</si>
  <si>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</si>
  <si>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</si>
  <si>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</si>
  <si>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</si>
  <si>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</si>
  <si>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</si>
  <si>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</si>
  <si>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</si>
  <si>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</si>
  <si>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</si>
  <si>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</si>
  <si>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</si>
  <si>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</si>
  <si>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</si>
  <si>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</si>
  <si>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</si>
  <si>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</si>
  <si>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</si>
  <si>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</si>
  <si>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</si>
  <si>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</si>
  <si>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</si>
  <si>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</si>
  <si>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</si>
  <si>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</si>
  <si>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</si>
  <si>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</si>
  <si>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</si>
  <si>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</si>
  <si>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</si>
  <si>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</si>
  <si>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</si>
  <si>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</si>
  <si>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</si>
  <si>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</si>
  <si>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</si>
  <si>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</si>
  <si>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</si>
  <si>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</si>
  <si>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</si>
  <si>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</si>
  <si>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</si>
  <si>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</si>
  <si>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</si>
  <si>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</si>
  <si>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</si>
  <si>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</si>
  <si>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</si>
  <si>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</si>
  <si>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</si>
  <si>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</si>
  <si>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</si>
  <si>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</si>
  <si>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</si>
  <si>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</si>
  <si>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</si>
  <si>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</si>
  <si>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</si>
  <si>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</si>
  <si>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</si>
  <si>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</si>
  <si>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</si>
  <si>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</si>
  <si>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</si>
  <si>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</si>
  <si>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</si>
  <si>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</si>
  <si>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</si>
  <si>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</si>
  <si>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</si>
  <si>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</si>
  <si>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</si>
  <si>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</si>
  <si>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</si>
  <si>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</si>
  <si>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</si>
  <si>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</si>
  <si>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</si>
  <si>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</si>
  <si>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</si>
  <si>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</si>
  <si>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</si>
  <si>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</si>
  <si>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</si>
  <si>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</si>
  <si>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</si>
  <si>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</si>
  <si>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</si>
  <si>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</si>
  <si>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</si>
  <si>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</si>
  <si>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</si>
  <si>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</si>
  <si>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</si>
  <si>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</si>
  <si>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</si>
  <si>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</si>
  <si>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</si>
  <si>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</si>
  <si>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</si>
  <si>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</si>
  <si>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</si>
  <si>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</si>
  <si>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</si>
  <si>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</si>
  <si>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</si>
  <si>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</si>
  <si>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</si>
  <si>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</si>
  <si>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</si>
  <si>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</si>
  <si>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</si>
  <si>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</si>
  <si>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</si>
  <si>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</si>
  <si>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</si>
  <si>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</si>
  <si>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</si>
  <si>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</si>
  <si>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</si>
  <si>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</si>
  <si>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</si>
  <si>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</si>
  <si>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</si>
  <si>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</si>
  <si>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</si>
  <si>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</si>
  <si>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</si>
  <si>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</si>
  <si>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</si>
  <si>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</si>
  <si>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</si>
  <si>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</si>
  <si>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</si>
  <si>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</si>
  <si>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</si>
  <si>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</si>
  <si>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</si>
  <si>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</si>
  <si>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</si>
  <si>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</si>
  <si>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</si>
  <si>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</si>
  <si>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</si>
  <si>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</si>
  <si>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</si>
  <si>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</si>
  <si>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</si>
  <si>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</si>
  <si>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</si>
  <si>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</si>
  <si>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</si>
  <si>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</si>
  <si>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</si>
  <si>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</si>
  <si>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</si>
  <si>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</si>
  <si>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</si>
  <si>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</si>
  <si>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</si>
  <si>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</si>
  <si>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</si>
  <si>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</si>
  <si>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</si>
  <si>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</si>
  <si>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</si>
  <si>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</si>
  <si>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</si>
  <si>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</si>
  <si>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</si>
  <si>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</si>
  <si>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</si>
  <si>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</si>
  <si>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</si>
  <si>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</si>
  <si>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</si>
  <si>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</si>
  <si>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</si>
  <si>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</si>
  <si>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</si>
  <si>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</si>
  <si>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</si>
  <si>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</si>
  <si>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</si>
  <si>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</si>
  <si>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</si>
  <si>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</si>
  <si>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</si>
  <si>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</si>
  <si>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</si>
  <si>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</si>
  <si>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</si>
  <si>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</si>
  <si>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</si>
  <si>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</si>
  <si>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</si>
  <si>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</si>
  <si>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</si>
  <si>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</si>
  <si>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</si>
  <si>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</si>
  <si>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</si>
  <si>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</si>
  <si>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</si>
  <si>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</si>
  <si>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</si>
  <si>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</si>
  <si>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</si>
  <si>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</si>
  <si>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</si>
  <si>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</si>
  <si>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</si>
  <si>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</si>
  <si>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</si>
  <si>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</si>
  <si>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</si>
  <si>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</si>
  <si>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</si>
  <si>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</si>
  <si>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</si>
  <si>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</si>
  <si>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</si>
  <si>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</si>
  <si>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</si>
  <si>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</si>
  <si>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</si>
  <si>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</si>
  <si>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</si>
  <si>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</si>
  <si>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</si>
  <si>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</si>
  <si>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</si>
  <si>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</si>
  <si>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</si>
  <si>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</si>
  <si>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</si>
  <si>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</si>
  <si>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</si>
  <si>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</si>
  <si>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</si>
  <si>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</si>
  <si>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</si>
  <si>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</si>
  <si>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</si>
  <si>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</si>
  <si>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</si>
  <si>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</si>
  <si>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</si>
  <si>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</si>
  <si>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</si>
  <si>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</si>
  <si>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</si>
  <si>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</si>
  <si>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</si>
  <si>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</si>
  <si>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</si>
  <si>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</si>
  <si>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</si>
  <si>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</si>
  <si>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</si>
  <si>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</si>
  <si>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</si>
  <si>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</si>
  <si>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</si>
  <si>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</si>
  <si>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</si>
  <si>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</si>
  <si>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</si>
  <si>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</si>
  <si>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</si>
  <si>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</si>
  <si>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</si>
  <si>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</si>
  <si>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</si>
  <si>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</si>
  <si>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</si>
  <si>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</si>
  <si>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</si>
  <si>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</si>
  <si>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</si>
  <si>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</si>
  <si>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</si>
  <si>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</si>
  <si>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</si>
  <si>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</si>
  <si>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</si>
  <si>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</si>
  <si>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</si>
  <si>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</si>
  <si>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</si>
  <si>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</si>
  <si>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</si>
  <si>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</si>
  <si>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</si>
  <si>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</si>
  <si>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</si>
  <si>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</si>
  <si>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</si>
  <si>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</si>
  <si>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</si>
  <si>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</si>
  <si>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</si>
  <si>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</si>
  <si>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</si>
  <si>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</si>
  <si>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</si>
  <si>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</si>
  <si>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</si>
  <si>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</si>
  <si>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</si>
  <si>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</si>
  <si>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</si>
  <si>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</si>
  <si>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</si>
  <si>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</si>
  <si>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</si>
  <si>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</si>
  <si>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</si>
  <si>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</si>
  <si>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</si>
  <si>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</si>
  <si>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</si>
  <si>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</si>
  <si>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</si>
  <si>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</si>
  <si>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</si>
  <si>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</si>
  <si>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</si>
  <si>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</si>
  <si>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</si>
  <si>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</si>
  <si>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</si>
  <si>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</si>
  <si>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</si>
  <si>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</si>
  <si>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</si>
  <si>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</si>
  <si>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</si>
  <si>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</si>
  <si>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</si>
  <si>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</si>
  <si>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</si>
  <si>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</si>
  <si>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</si>
  <si>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</si>
  <si>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</si>
  <si>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</si>
  <si>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</si>
  <si>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</si>
  <si>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</si>
  <si>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</si>
  <si>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</si>
  <si>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</si>
  <si>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</si>
  <si>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</si>
  <si>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</si>
  <si>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</si>
  <si>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</si>
  <si>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</si>
  <si>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</si>
  <si>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</si>
  <si>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</si>
  <si>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</si>
  <si>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</si>
  <si>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</si>
  <si>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</si>
  <si>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</si>
  <si>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</si>
  <si>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</si>
  <si>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</si>
  <si>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</si>
  <si>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</si>
  <si>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</si>
  <si>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</si>
  <si>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</si>
  <si>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</si>
  <si>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</si>
  <si>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</si>
  <si>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</si>
  <si>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</si>
  <si>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</si>
  <si>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</si>
  <si>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</si>
  <si>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</si>
  <si>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</si>
  <si>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</si>
  <si>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</si>
  <si>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</si>
  <si>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</si>
  <si>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</si>
  <si>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</si>
  <si>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</si>
  <si>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</si>
  <si>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</si>
  <si>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</si>
  <si>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</si>
  <si>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</si>
  <si>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</si>
  <si>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</si>
  <si>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</si>
  <si>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</si>
  <si>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</si>
  <si>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</si>
  <si>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</si>
  <si>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</si>
  <si>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</si>
  <si>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</si>
  <si>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</si>
  <si>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</si>
  <si>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</si>
  <si>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</si>
  <si>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</si>
  <si>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</si>
  <si>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</si>
  <si>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</si>
  <si>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</si>
  <si>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</si>
  <si>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</si>
  <si>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</si>
  <si>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</si>
  <si>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</si>
  <si>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</si>
  <si>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</si>
  <si>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</si>
  <si>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</si>
  <si>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</si>
  <si>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</si>
  <si>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</si>
  <si>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</si>
  <si>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</si>
  <si>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</si>
  <si>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</si>
  <si>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</si>
  <si>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</si>
  <si>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</si>
  <si>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</si>
  <si>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</si>
  <si>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</si>
  <si>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</si>
  <si>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</si>
  <si>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</si>
  <si>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</si>
  <si>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</si>
  <si>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</si>
  <si>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</si>
  <si>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</si>
  <si>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</si>
  <si>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</si>
  <si>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</si>
  <si>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</si>
  <si>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</si>
  <si>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</si>
  <si>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</si>
  <si>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</si>
  <si>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</si>
  <si>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</si>
  <si>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</si>
  <si>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</si>
  <si>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</si>
  <si>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</si>
  <si>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</si>
  <si>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</si>
  <si>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</si>
  <si>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</si>
  <si>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</si>
  <si>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</si>
  <si>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</si>
  <si>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</si>
  <si>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</si>
  <si>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</si>
  <si>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</si>
  <si>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</si>
  <si>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</si>
  <si>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</si>
  <si>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</si>
  <si>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</si>
  <si>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</si>
  <si>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</si>
  <si>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</si>
  <si>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</si>
  <si>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</si>
  <si>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</si>
  <si>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</si>
  <si>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</si>
  <si>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</si>
  <si>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</si>
  <si>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</si>
  <si>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</si>
  <si>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</si>
  <si>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</si>
  <si>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</si>
  <si>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</si>
  <si>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</si>
  <si>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</si>
  <si>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</si>
  <si>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</si>
  <si>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</si>
  <si>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</si>
  <si>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</si>
  <si>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</si>
  <si>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</si>
  <si>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</si>
  <si>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</si>
  <si>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</si>
  <si>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</si>
  <si>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</si>
  <si>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</si>
  <si>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</si>
  <si>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</si>
  <si>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</si>
  <si>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</si>
  <si>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</si>
  <si>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</si>
  <si>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</si>
  <si>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</si>
  <si>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</si>
  <si>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</si>
  <si>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</si>
  <si>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</si>
  <si>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</si>
  <si>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</si>
  <si>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</si>
  <si>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</si>
  <si>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</si>
  <si>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</si>
  <si>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</si>
  <si>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</si>
  <si>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</si>
  <si>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</si>
  <si>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</si>
  <si>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</si>
  <si>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</si>
  <si>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</si>
  <si>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</si>
  <si>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</si>
  <si>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</si>
  <si>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</si>
  <si>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</si>
  <si>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</si>
  <si>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</si>
  <si>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</si>
  <si>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</si>
  <si>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</si>
  <si>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</si>
  <si>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</si>
  <si>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</si>
  <si>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</si>
  <si>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</si>
  <si>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</si>
  <si>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</si>
  <si>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</si>
  <si>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</si>
  <si>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</si>
  <si>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</si>
  <si>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</si>
  <si>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</si>
  <si>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</si>
  <si>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</si>
  <si>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</si>
  <si>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</si>
  <si>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</si>
  <si>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</si>
  <si>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</si>
  <si>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</si>
  <si>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</si>
  <si>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</si>
  <si>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</si>
  <si>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</si>
  <si>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</si>
  <si>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</si>
  <si>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</si>
  <si>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</si>
  <si>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</si>
  <si>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</si>
  <si>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</si>
  <si>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</si>
  <si>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</si>
  <si>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</si>
  <si>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</si>
  <si>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</si>
  <si>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</si>
  <si>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</si>
  <si>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</si>
  <si>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</si>
  <si>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</si>
  <si>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</si>
  <si>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</si>
  <si>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</si>
  <si>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</si>
  <si>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</si>
  <si>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</si>
  <si>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</si>
  <si>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Lake</t>
  </si>
  <si>
    <t>11315 W. Wadsworth Road</t>
  </si>
  <si>
    <t>Beach Park</t>
  </si>
  <si>
    <t>Evans, Marshall and Pease, P.C.</t>
  </si>
  <si>
    <t>Jeffery M. Rollefson, CPA</t>
  </si>
  <si>
    <t>1875 Hicks Road</t>
  </si>
  <si>
    <t>Rolling Meadows</t>
  </si>
  <si>
    <t>Illinois</t>
  </si>
  <si>
    <t>847-221-5700</t>
  </si>
  <si>
    <t>847-221-5701</t>
  </si>
  <si>
    <t>060-003973</t>
  </si>
  <si>
    <t>jeff@empcpa.com</t>
  </si>
  <si>
    <t>GO Capital Appreciation Bonds 2004</t>
  </si>
  <si>
    <t>Capital Leases</t>
  </si>
  <si>
    <t>Various</t>
  </si>
  <si>
    <t>Short-Term Long-Term Debt 24; Cell J31, Negative amount due to equity in fund exceeding the amount of outstanding debt.</t>
  </si>
  <si>
    <t>US DEPARTMENT OF EDUCATION</t>
  </si>
  <si>
    <t>PASSED THROUGH THE ILLINOIS STATE BOARD OF EDUCATION</t>
  </si>
  <si>
    <t>18-4300-00</t>
  </si>
  <si>
    <t>19-4300-00</t>
  </si>
  <si>
    <t>prog end 8/31</t>
  </si>
  <si>
    <t>Title I School Improvement and Accountability</t>
  </si>
  <si>
    <t>19-4331-00</t>
  </si>
  <si>
    <t>Title II Teacher Quality</t>
  </si>
  <si>
    <t>18-4932-00</t>
  </si>
  <si>
    <t>19-4932-00</t>
  </si>
  <si>
    <t>Title III Limited English</t>
  </si>
  <si>
    <t>18-4905-00</t>
  </si>
  <si>
    <t>19-4905-00</t>
  </si>
  <si>
    <t>Title III LIPLEP</t>
  </si>
  <si>
    <t>18-4909-00</t>
  </si>
  <si>
    <t>19-4909-00</t>
  </si>
  <si>
    <t>IDEA Room and Board</t>
  </si>
  <si>
    <t>18-4625-00</t>
  </si>
  <si>
    <t>n/a</t>
  </si>
  <si>
    <t>Title I Low Income</t>
  </si>
  <si>
    <t>Title IVA Student Support and Enrichment</t>
  </si>
  <si>
    <t>18-4400-00</t>
  </si>
  <si>
    <t>19-4400-00</t>
  </si>
  <si>
    <t>prog end 9/30</t>
  </si>
  <si>
    <t>PASSED THROUGH THE SPECIAL EDUCATION DISTRICT OF LAKE COUNTY</t>
  </si>
  <si>
    <t>IDEA - Preschool</t>
  </si>
  <si>
    <t>18-4600-00</t>
  </si>
  <si>
    <t>19-4600-00</t>
  </si>
  <si>
    <t>IDEA - Flowthrough</t>
  </si>
  <si>
    <t>18-4620-00</t>
  </si>
  <si>
    <t>19-4620-00</t>
  </si>
  <si>
    <t xml:space="preserve">     TOTAL US DEPARTMENT OF EDUCATION</t>
  </si>
  <si>
    <t>US DEPARTMENT OF AGRICULTURE</t>
  </si>
  <si>
    <t>National School Lunch</t>
  </si>
  <si>
    <t>National School Lunch (M)</t>
  </si>
  <si>
    <t>18-4210-00</t>
  </si>
  <si>
    <t>19-4210-00</t>
  </si>
  <si>
    <t>Special Milk</t>
  </si>
  <si>
    <t>Special Milk (M)</t>
  </si>
  <si>
    <t>18-4215-00</t>
  </si>
  <si>
    <t>19-4215-00</t>
  </si>
  <si>
    <t>School Breakfast</t>
  </si>
  <si>
    <t>School Breakfast (M)</t>
  </si>
  <si>
    <t>18-4220-00</t>
  </si>
  <si>
    <t>19-4220-00</t>
  </si>
  <si>
    <t xml:space="preserve">     </t>
  </si>
  <si>
    <t>Commodities - non cash (M)</t>
  </si>
  <si>
    <t>fy19</t>
  </si>
  <si>
    <t xml:space="preserve">     TOTAL US DEPARTMENT OF AGRICULTURE</t>
  </si>
  <si>
    <t>US DEPARTMENT OF HEALTH AND HUMAN SERVICES</t>
  </si>
  <si>
    <t>PASSED THROUGH THE ILLINOIS DEPARTMENT OF HEALTHCARE AND FAMILY SERVICES</t>
  </si>
  <si>
    <t>Medicaid Matching  Adm Outreach</t>
  </si>
  <si>
    <t>19-4991-00</t>
  </si>
  <si>
    <t xml:space="preserve">     TOTAL US DEPARTMENT OF HUMAN SERVICES</t>
  </si>
  <si>
    <t xml:space="preserve">          TOTAL FEDERAL AWARDS</t>
  </si>
  <si>
    <t>None</t>
  </si>
  <si>
    <t>The accompanying Schedule of Expenditures of Federal Awards includes the federal grant activity of Beach Park CCSD No. 3 and is presented on the modifed cash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</si>
  <si>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Beach Park CCSD No. 3 provided federal awards to subrecipients as follows:</t>
  </si>
  <si>
    <t>The following amounts were expended in the form of non-cash assistance by Beach Park CCSD No. 3 and is included in the Schedule of Expenditures of Federal Awards:</t>
  </si>
  <si>
    <t>no</t>
  </si>
  <si>
    <t>x</t>
  </si>
  <si>
    <t>Unmodified</t>
  </si>
  <si>
    <t>Commodities</t>
  </si>
  <si>
    <t>none</t>
  </si>
  <si>
    <t>40-2550-300</t>
  </si>
  <si>
    <t>20-2540-300</t>
  </si>
  <si>
    <t>40-2550-400</t>
  </si>
  <si>
    <t>10-2560-300</t>
  </si>
  <si>
    <t>10-2510-300</t>
  </si>
  <si>
    <t>Durham School Services</t>
  </si>
  <si>
    <t>G+S Services of Illinois</t>
  </si>
  <si>
    <t>Citywide Cleaning</t>
  </si>
  <si>
    <t>Mansfield Oil Company</t>
  </si>
  <si>
    <t>Preferred Meal Systems</t>
  </si>
  <si>
    <t>TechStar</t>
  </si>
  <si>
    <t>Integrys</t>
  </si>
  <si>
    <t>STR Architects</t>
  </si>
  <si>
    <t>Forecast 5 Analytics Inc</t>
  </si>
  <si>
    <t>O&amp;M-Operations &amp; Maintenance of Plant Services-Purchased Services</t>
  </si>
  <si>
    <t>TR-Pupil Transportation Services-Purchased Services</t>
  </si>
  <si>
    <t>TR-Pupil Transportation Services-Supplies &amp; Materials</t>
  </si>
  <si>
    <t>FP&amp;S-Facilities Acquisition &amp; Construction Services-Purchased Services</t>
  </si>
  <si>
    <t>ED-Food Services-Purchased Services</t>
  </si>
  <si>
    <t>ED-Regular Programs-Purchased Services</t>
  </si>
  <si>
    <t>ED-Direction of Business Support Services-Purchased Services</t>
  </si>
  <si>
    <t>SEDOL</t>
  </si>
  <si>
    <t>10-1000-300</t>
  </si>
  <si>
    <t>90-2540-300</t>
  </si>
  <si>
    <t>Beach Park CCSD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</si>
</sst>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2078182</xdr:colOff>
          <xdr:row>3</xdr:row>
          <xdr:rowOff>95250</xdr:rowOff>
        </xdr:from>
        <xdr:to>
          <xdr:col>1</xdr:col>
          <xdr:colOff>2989119</xdr:colOff>
          <xdr:row>7</xdr:row>
          <xdr:rowOff>133350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73602</xdr:colOff>
          <xdr:row>3</xdr:row>
          <xdr:rowOff>103909</xdr:rowOff>
        </xdr:from>
        <xdr:to>
          <xdr:col>1</xdr:col>
          <xdr:colOff>863312</xdr:colOff>
          <xdr:row>7</xdr:row>
          <xdr:rowOff>142009</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1016577</xdr:colOff>
          <xdr:row>3</xdr:row>
          <xdr:rowOff>96982</xdr:rowOff>
        </xdr:from>
        <xdr:to>
          <xdr:col>1</xdr:col>
          <xdr:colOff>1924050</xdr:colOff>
          <xdr:row>7</xdr:row>
          <xdr:rowOff>125557</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82" t="s">
        <v>405</v>
      </c>
      <c r="J1" s="1983"/>
      <c r="K1" s="1983"/>
      <c r="L1" s="1983"/>
      <c r="M1" s="1983"/>
      <c r="N1" s="1983"/>
      <c r="O1" s="1983"/>
      <c r="P1" s="1983"/>
      <c r="Q1" s="1983"/>
      <c r="R1" s="1983"/>
      <c r="S1" s="1983"/>
    </row>
    <row r="2" spans="1:28" ht="12" customHeight="1" x14ac:dyDescent="0.2">
      <c r="A2" s="47" t="s">
        <v>1990</v>
      </c>
      <c r="D2" s="48"/>
      <c r="I2" s="1984" t="s">
        <v>979</v>
      </c>
      <c r="J2" s="1983"/>
      <c r="K2" s="1983"/>
      <c r="L2" s="1983"/>
      <c r="M2" s="1983"/>
      <c r="N2" s="1983"/>
      <c r="O2" s="1983"/>
      <c r="P2" s="1983"/>
      <c r="Q2" s="1983"/>
      <c r="R2" s="1983"/>
      <c r="S2" s="1983"/>
    </row>
    <row r="3" spans="1:28" ht="12" customHeight="1" x14ac:dyDescent="0.2">
      <c r="A3" s="155" t="s">
        <v>1942</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2061</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2061</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34049003004</v>
      </c>
      <c r="B13" s="2018"/>
      <c r="C13" s="2018"/>
      <c r="D13" s="2018"/>
      <c r="E13" s="2018"/>
      <c r="F13" s="2018"/>
      <c r="G13" s="2018"/>
      <c r="H13" s="2019"/>
      <c r="I13" s="31"/>
      <c r="J13" s="30"/>
      <c r="K13" s="28"/>
      <c r="L13" s="30"/>
      <c r="M13" s="30"/>
      <c r="N13" s="30"/>
      <c r="O13" s="30"/>
      <c r="P13" s="30"/>
      <c r="Q13" s="30"/>
      <c r="R13" s="30"/>
      <c r="S13" s="30"/>
      <c r="T13" s="2022" t="s">
        <v>2065</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2062</v>
      </c>
      <c r="B15" s="2020"/>
      <c r="C15" s="2020"/>
      <c r="D15" s="2020"/>
      <c r="E15" s="2020"/>
      <c r="F15" s="2020"/>
      <c r="G15" s="2020"/>
      <c r="H15" s="2021"/>
      <c r="T15" s="2026" t="s">
        <v>2066</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2166</v>
      </c>
      <c r="B17" s="1977"/>
      <c r="C17" s="1977"/>
      <c r="D17" s="1977"/>
      <c r="E17" s="1977"/>
      <c r="F17" s="1977"/>
      <c r="G17" s="1977"/>
      <c r="H17" s="2002"/>
      <c r="T17" s="2033" t="s">
        <v>2067</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2063</v>
      </c>
      <c r="B19" s="1962"/>
      <c r="C19" s="1962"/>
      <c r="D19" s="1962"/>
      <c r="E19" s="1962"/>
      <c r="F19" s="1962"/>
      <c r="G19" s="1962"/>
      <c r="H19" s="1942"/>
      <c r="I19" s="30"/>
      <c r="J19" s="99"/>
      <c r="K19" s="40"/>
      <c r="L19" s="38"/>
      <c r="M19" s="112" t="s">
        <v>315</v>
      </c>
      <c r="P19" s="27"/>
      <c r="Q19" s="27"/>
      <c r="R19" s="27"/>
      <c r="S19" s="31"/>
      <c r="T19" s="2016" t="s">
        <v>2068</v>
      </c>
      <c r="U19" s="1941"/>
      <c r="V19" s="1941"/>
      <c r="W19" s="1942"/>
      <c r="X19" s="2031" t="s">
        <v>2069</v>
      </c>
      <c r="Y19" s="2032"/>
      <c r="Z19" s="2029">
        <v>60008</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2064</v>
      </c>
      <c r="B21" s="1941"/>
      <c r="C21" s="1941"/>
      <c r="D21" s="1941"/>
      <c r="E21" s="1941"/>
      <c r="F21" s="1941"/>
      <c r="G21" s="1941"/>
      <c r="H21" s="1942"/>
      <c r="I21" s="1996" t="s">
        <v>678</v>
      </c>
      <c r="J21" s="1991"/>
      <c r="K21" s="1991"/>
      <c r="L21" s="1991"/>
      <c r="M21" s="1991"/>
      <c r="N21" s="1991"/>
      <c r="O21" s="1991"/>
      <c r="P21" s="1991"/>
      <c r="Q21" s="1991"/>
      <c r="R21" s="1991"/>
      <c r="S21" s="1997"/>
      <c r="T21" s="2040" t="s">
        <v>2070</v>
      </c>
      <c r="U21" s="2041"/>
      <c r="V21" s="2041"/>
      <c r="W21" s="2041"/>
      <c r="X21" s="2046" t="s">
        <v>2071</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c r="B23" s="1994"/>
      <c r="C23" s="1994"/>
      <c r="D23" s="1994"/>
      <c r="E23" s="1994"/>
      <c r="F23" s="1994"/>
      <c r="G23" s="1994"/>
      <c r="H23" s="1995"/>
      <c r="T23" s="1976" t="s">
        <v>2072</v>
      </c>
      <c r="U23" s="2039"/>
      <c r="V23" s="2039"/>
      <c r="W23" s="2039"/>
      <c r="X23" s="2043">
        <v>43831</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60099</v>
      </c>
      <c r="B25" s="1941"/>
      <c r="C25" s="1941"/>
      <c r="D25" s="1941"/>
      <c r="E25" s="1941"/>
      <c r="F25" s="1941"/>
      <c r="G25" s="1941"/>
      <c r="H25" s="1942"/>
      <c r="I25" s="113"/>
      <c r="J25" s="1965"/>
      <c r="K25" s="1965"/>
      <c r="L25" s="1965"/>
      <c r="M25" s="1965"/>
      <c r="N25" s="1965"/>
      <c r="O25" s="1965"/>
      <c r="P25" s="1965"/>
      <c r="Q25" s="1965"/>
      <c r="R25" s="1965"/>
      <c r="S25" s="1966"/>
      <c r="T25" s="2036" t="s">
        <v>2073</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2061</v>
      </c>
      <c r="C29" s="124" t="s">
        <v>820</v>
      </c>
      <c r="D29" s="114"/>
      <c r="E29" s="136"/>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c r="B42" s="1960"/>
      <c r="C42" s="1961"/>
      <c r="D42" s="1959"/>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6" sqref="B6"/>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1799</v>
      </c>
      <c r="B2" s="1528" t="s">
        <v>1948</v>
      </c>
      <c r="C2" s="714" t="s">
        <v>1949</v>
      </c>
      <c r="D2" s="714" t="s">
        <v>1950</v>
      </c>
      <c r="E2" s="714" t="s">
        <v>1951</v>
      </c>
      <c r="F2" s="714" t="s">
        <v>1952</v>
      </c>
    </row>
    <row r="3" spans="1:6" ht="12" customHeight="1" x14ac:dyDescent="0.2">
      <c r="A3" s="2183"/>
      <c r="B3" s="1525"/>
      <c r="C3" s="1526"/>
      <c r="D3" s="1527" t="s">
        <v>256</v>
      </c>
      <c r="E3" s="1526"/>
      <c r="F3" s="1527" t="s">
        <v>257</v>
      </c>
    </row>
    <row r="4" spans="1:6" ht="13.7" customHeight="1" x14ac:dyDescent="0.2">
      <c r="A4" s="715" t="s">
        <v>1155</v>
      </c>
      <c r="B4" s="1749">
        <f>'Revenues 9-14'!C5</f>
        <v>11395483</v>
      </c>
      <c r="C4" s="1524">
        <v>5808706</v>
      </c>
      <c r="D4" s="1752">
        <f>B4-C4</f>
        <v>5586777</v>
      </c>
      <c r="E4" s="1524">
        <v>11733175</v>
      </c>
      <c r="F4" s="1752">
        <f>E4-C4</f>
        <v>5924469</v>
      </c>
    </row>
    <row r="5" spans="1:6" ht="13.7" customHeight="1" x14ac:dyDescent="0.2">
      <c r="A5" s="715" t="s">
        <v>870</v>
      </c>
      <c r="B5" s="1750">
        <f>'Revenues 9-14'!D5</f>
        <v>1622985</v>
      </c>
      <c r="C5" s="585">
        <v>827305</v>
      </c>
      <c r="D5" s="1753">
        <f t="shared" ref="D5:D18" si="0">B5-C5</f>
        <v>795680</v>
      </c>
      <c r="E5" s="585">
        <v>1671098</v>
      </c>
      <c r="F5" s="1753">
        <f>E5-C5</f>
        <v>843793</v>
      </c>
    </row>
    <row r="6" spans="1:6" ht="13.7" customHeight="1" x14ac:dyDescent="0.2">
      <c r="A6" s="715" t="s">
        <v>411</v>
      </c>
      <c r="B6" s="1750">
        <f>'Revenues 9-14'!E5</f>
        <v>2976323</v>
      </c>
      <c r="C6" s="585">
        <v>1532926</v>
      </c>
      <c r="D6" s="1753">
        <f t="shared" si="0"/>
        <v>1443397</v>
      </c>
      <c r="E6" s="585">
        <v>3096403</v>
      </c>
      <c r="F6" s="1753">
        <f t="shared" ref="F6:F18" si="1">E6-C6</f>
        <v>1563477</v>
      </c>
    </row>
    <row r="7" spans="1:6" ht="13.7" customHeight="1" x14ac:dyDescent="0.2">
      <c r="A7" s="715" t="s">
        <v>155</v>
      </c>
      <c r="B7" s="1750">
        <f>'Revenues 9-14'!F5</f>
        <v>1166117</v>
      </c>
      <c r="C7" s="585">
        <v>594466</v>
      </c>
      <c r="D7" s="1753">
        <f t="shared" si="0"/>
        <v>571651</v>
      </c>
      <c r="E7" s="585">
        <v>1200778</v>
      </c>
      <c r="F7" s="1753">
        <f t="shared" si="1"/>
        <v>606312</v>
      </c>
    </row>
    <row r="8" spans="1:6" ht="13.7" customHeight="1" x14ac:dyDescent="0.2">
      <c r="A8" s="715" t="s">
        <v>1179</v>
      </c>
      <c r="B8" s="1750">
        <f>'Revenues 9-14'!G5</f>
        <v>11933</v>
      </c>
      <c r="C8" s="585">
        <v>6085</v>
      </c>
      <c r="D8" s="1753">
        <f t="shared" si="0"/>
        <v>5848</v>
      </c>
      <c r="E8" s="585">
        <v>12291</v>
      </c>
      <c r="F8" s="1753">
        <f t="shared" si="1"/>
        <v>6206</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32463</v>
      </c>
      <c r="C10" s="585">
        <v>16548</v>
      </c>
      <c r="D10" s="1753">
        <f t="shared" si="0"/>
        <v>15915</v>
      </c>
      <c r="E10" s="585">
        <v>33427</v>
      </c>
      <c r="F10" s="1753">
        <f t="shared" si="1"/>
        <v>16879</v>
      </c>
    </row>
    <row r="11" spans="1:6" x14ac:dyDescent="0.2">
      <c r="A11" s="715" t="s">
        <v>409</v>
      </c>
      <c r="B11" s="1750">
        <f>'Revenues 9-14'!J5</f>
        <v>285934</v>
      </c>
      <c r="C11" s="585">
        <v>145753</v>
      </c>
      <c r="D11" s="1753">
        <f t="shared" si="0"/>
        <v>140181</v>
      </c>
      <c r="E11" s="585">
        <v>294411</v>
      </c>
      <c r="F11" s="1753">
        <f t="shared" si="1"/>
        <v>148658</v>
      </c>
    </row>
    <row r="12" spans="1:6" ht="13.7" customHeight="1" x14ac:dyDescent="0.2">
      <c r="A12" s="715" t="s">
        <v>157</v>
      </c>
      <c r="B12" s="1750">
        <f>'Revenues 9-14'!K5</f>
        <v>32082</v>
      </c>
      <c r="C12" s="585">
        <v>16354</v>
      </c>
      <c r="D12" s="1753">
        <f t="shared" si="0"/>
        <v>15728</v>
      </c>
      <c r="E12" s="585">
        <v>33034</v>
      </c>
      <c r="F12" s="1753">
        <f t="shared" si="1"/>
        <v>16680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1226162</v>
      </c>
      <c r="C14" s="585">
        <v>625024</v>
      </c>
      <c r="D14" s="1753">
        <f t="shared" si="0"/>
        <v>601138</v>
      </c>
      <c r="E14" s="585">
        <v>1262503</v>
      </c>
      <c r="F14" s="1753">
        <f t="shared" si="1"/>
        <v>637479</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760900</v>
      </c>
      <c r="C16" s="585">
        <v>387861</v>
      </c>
      <c r="D16" s="1753">
        <f t="shared" si="0"/>
        <v>373039</v>
      </c>
      <c r="E16" s="585">
        <v>783451</v>
      </c>
      <c r="F16" s="1753">
        <f t="shared" si="1"/>
        <v>395590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23471</v>
      </c>
      <c r="C18" s="585">
        <v>11907</v>
      </c>
      <c r="D18" s="1753">
        <f t="shared" si="0"/>
        <v>11564</v>
      </c>
      <c r="E18" s="585">
        <v>24051</v>
      </c>
      <c r="F18" s="1753">
        <f t="shared" si="1"/>
        <v>12144</v>
      </c>
    </row>
    <row r="19" spans="1:6" ht="13.7" customHeight="1" thickBot="1" x14ac:dyDescent="0.25">
      <c r="A19" s="1754" t="s">
        <v>1161</v>
      </c>
      <c r="B19" s="1751">
        <f>SUM(B4:B18)</f>
        <v>19533853</v>
      </c>
      <c r="C19" s="1751">
        <f>SUM(C4:C18)</f>
        <v>9972935</v>
      </c>
      <c r="D19" s="1751">
        <f>SUM(D4:D18)</f>
        <v>9560918</v>
      </c>
      <c r="E19" s="1751">
        <f>SUM(E4:E18)</f>
        <v>20144622</v>
      </c>
      <c r="F19" s="1751">
        <f>SUM(F4:F18)</f>
        <v>10171687</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B6" sqref="B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1799</v>
      </c>
      <c r="B2" s="2210"/>
      <c r="C2" s="1884" t="s">
        <v>1953</v>
      </c>
      <c r="D2" s="723" t="s">
        <v>1954</v>
      </c>
      <c r="E2" s="723" t="s">
        <v>1955</v>
      </c>
      <c r="F2" s="1884" t="s">
        <v>1956</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t="s">
        <v>2074</v>
      </c>
      <c r="B31" s="733">
        <v>38175</v>
      </c>
      <c r="C31" s="734">
        <v>4204781</v>
      </c>
      <c r="D31" s="735">
        <v>6</v>
      </c>
      <c r="E31" s="734">
        <v>2298294</v>
      </c>
      <c r="F31" s="734"/>
      <c r="G31" s="734"/>
      <c r="H31" s="734">
        <v>830753</v>
      </c>
      <c r="I31" s="1756">
        <f>((E31+F31)-H31)+G31</f>
        <v>1467541</v>
      </c>
      <c r="J31" s="734">
        <v>-305724</v>
      </c>
      <c r="K31" s="736"/>
    </row>
    <row r="32" spans="1:11" ht="12" customHeight="1" x14ac:dyDescent="0.2">
      <c r="A32" s="732" t="s">
        <v>2075</v>
      </c>
      <c r="B32" s="733" t="s">
        <v>2076</v>
      </c>
      <c r="C32" s="734">
        <v>312476</v>
      </c>
      <c r="D32" s="735">
        <v>7</v>
      </c>
      <c r="E32" s="734">
        <v>137949</v>
      </c>
      <c r="F32" s="734">
        <v>24259</v>
      </c>
      <c r="G32" s="734"/>
      <c r="H32" s="734">
        <v>57675</v>
      </c>
      <c r="I32" s="1756">
        <f>((E32+F32)-H32)+G32</f>
        <v>104533</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4517257</v>
      </c>
      <c r="D49" s="745"/>
      <c r="E49" s="1756">
        <f t="shared" ref="E49:J49" si="2">SUM(E31:E48)</f>
        <v>2436243</v>
      </c>
      <c r="F49" s="1756">
        <f t="shared" si="2"/>
        <v>24259</v>
      </c>
      <c r="G49" s="1756">
        <f t="shared" si="2"/>
        <v>0</v>
      </c>
      <c r="H49" s="1756">
        <f t="shared" si="2"/>
        <v>888428</v>
      </c>
      <c r="I49" s="1756">
        <f t="shared" si="2"/>
        <v>1572074</v>
      </c>
      <c r="J49" s="1756">
        <f t="shared" si="2"/>
        <v>-305724</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t="s">
        <v>2075</v>
      </c>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B6" sqref="B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1809</v>
      </c>
      <c r="K2" s="762" t="s">
        <v>138</v>
      </c>
    </row>
    <row r="3" spans="1:11" x14ac:dyDescent="0.2">
      <c r="A3" s="2235" t="s">
        <v>1961</v>
      </c>
      <c r="B3" s="2236"/>
      <c r="C3" s="2236"/>
      <c r="D3" s="2236"/>
      <c r="E3" s="2237"/>
      <c r="F3" s="763"/>
      <c r="G3" s="764"/>
      <c r="H3" s="764"/>
      <c r="I3" s="764"/>
      <c r="J3" s="765"/>
      <c r="K3" s="765"/>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6" t="s">
        <v>1810</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0</v>
      </c>
      <c r="I12" s="1758">
        <f>SUM(I5:I11)</f>
        <v>0</v>
      </c>
      <c r="J12" s="1758">
        <f>SUM(J5:J11)</f>
        <v>0</v>
      </c>
      <c r="K12" s="1758">
        <f>SUM(K5:K11)</f>
        <v>0</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c r="I14" s="771"/>
      <c r="J14" s="773"/>
      <c r="K14" s="765"/>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1806</v>
      </c>
      <c r="B19" s="2225"/>
      <c r="C19" s="2225"/>
      <c r="D19" s="2225"/>
      <c r="E19" s="2226"/>
      <c r="F19" s="789" t="s">
        <v>933</v>
      </c>
      <c r="G19" s="782"/>
      <c r="H19" s="782"/>
      <c r="I19" s="782"/>
      <c r="J19" s="765"/>
      <c r="K19" s="795"/>
    </row>
    <row r="20" spans="1:11" x14ac:dyDescent="0.2">
      <c r="A20" s="2227" t="s">
        <v>1811</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0</v>
      </c>
      <c r="K21" s="793"/>
    </row>
    <row r="22" spans="1:11" ht="13.5" thickTop="1" x14ac:dyDescent="0.2">
      <c r="A22" s="2217" t="s">
        <v>1812</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61"/>
      <c r="G23" s="1758">
        <f>SUM(G14:G16,G21,G22)</f>
        <v>0</v>
      </c>
      <c r="H23" s="1758">
        <f>SUM(H14:H16,H21,H22)</f>
        <v>0</v>
      </c>
      <c r="I23" s="1758">
        <f>SUM(I14:I16,I21,I22)</f>
        <v>0</v>
      </c>
      <c r="J23" s="1758">
        <f>SUM(J14:J16,J21,J22)</f>
        <v>0</v>
      </c>
      <c r="K23" s="1758">
        <f>SUM(K14:K16,K21,K22)</f>
        <v>0</v>
      </c>
    </row>
    <row r="24" spans="1:11" ht="14.25" thickTop="1" thickBot="1" x14ac:dyDescent="0.25">
      <c r="A24" s="2247" t="s">
        <v>1962</v>
      </c>
      <c r="B24" s="2246"/>
      <c r="C24" s="2246"/>
      <c r="D24" s="2246"/>
      <c r="E24" s="224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B6" sqref="B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1906</v>
      </c>
      <c r="B1" s="2253"/>
      <c r="C1" s="2254"/>
      <c r="D1" s="826"/>
      <c r="E1" s="827"/>
      <c r="F1" s="827"/>
      <c r="G1" s="828"/>
      <c r="H1" s="829"/>
      <c r="I1" s="830"/>
      <c r="J1" s="2250"/>
      <c r="K1" s="2251"/>
      <c r="L1" s="2251"/>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967984</v>
      </c>
      <c r="D5" s="841"/>
      <c r="E5" s="841"/>
      <c r="F5" s="1760">
        <f>(C5+D5)-E5</f>
        <v>967984</v>
      </c>
      <c r="G5" s="837"/>
      <c r="H5" s="842"/>
      <c r="I5" s="842"/>
      <c r="J5" s="842"/>
      <c r="K5" s="793"/>
      <c r="L5" s="1769">
        <f>F5-K5</f>
        <v>967984</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52154065</v>
      </c>
      <c r="D8" s="844">
        <v>84421</v>
      </c>
      <c r="E8" s="844"/>
      <c r="F8" s="1760">
        <f>(C8+D8)-E8</f>
        <v>52238486</v>
      </c>
      <c r="G8" s="843">
        <v>50</v>
      </c>
      <c r="H8" s="765">
        <v>29608925</v>
      </c>
      <c r="I8" s="765">
        <v>691771</v>
      </c>
      <c r="J8" s="765"/>
      <c r="K8" s="1769">
        <f>(H8+I8)-J8</f>
        <v>30300696</v>
      </c>
      <c r="L8" s="1769">
        <f>F8-K8</f>
        <v>21937790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590394</v>
      </c>
      <c r="D10" s="846"/>
      <c r="E10" s="846"/>
      <c r="F10" s="1764">
        <f>(C10+D10)-E10</f>
        <v>590394</v>
      </c>
      <c r="G10" s="843">
        <v>20</v>
      </c>
      <c r="H10" s="847">
        <v>242461</v>
      </c>
      <c r="I10" s="847">
        <v>18634</v>
      </c>
      <c r="J10" s="847"/>
      <c r="K10" s="1769">
        <f>(H10+I10)-J10</f>
        <v>261095</v>
      </c>
      <c r="L10" s="1769">
        <f>F10-K10</f>
        <v>329299</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2266427</v>
      </c>
      <c r="D12" s="844">
        <v>239430</v>
      </c>
      <c r="E12" s="844"/>
      <c r="F12" s="1760">
        <f>(C12+D12)-E12</f>
        <v>2505857</v>
      </c>
      <c r="G12" s="843">
        <v>10</v>
      </c>
      <c r="H12" s="765">
        <v>1826240</v>
      </c>
      <c r="I12" s="765">
        <v>166453</v>
      </c>
      <c r="J12" s="765"/>
      <c r="K12" s="1769">
        <f>(H12+I12)-J12</f>
        <v>1992693</v>
      </c>
      <c r="L12" s="1769">
        <f>F12-K12</f>
        <v>513164</v>
      </c>
    </row>
    <row r="13" spans="1:14" ht="14.25" thickTop="1" thickBot="1" x14ac:dyDescent="0.25">
      <c r="A13" s="848" t="s">
        <v>1122</v>
      </c>
      <c r="B13" s="840">
        <v>252</v>
      </c>
      <c r="C13" s="844">
        <v>50079</v>
      </c>
      <c r="D13" s="844">
        <v>25782</v>
      </c>
      <c r="E13" s="844"/>
      <c r="F13" s="1760">
        <f>(C13+D13)-E13</f>
        <v>75861</v>
      </c>
      <c r="G13" s="843">
        <v>5</v>
      </c>
      <c r="H13" s="765">
        <v>50079</v>
      </c>
      <c r="I13" s="765">
        <v>2578</v>
      </c>
      <c r="J13" s="765"/>
      <c r="K13" s="1769">
        <f>(H13+I13)-J13</f>
        <v>52657</v>
      </c>
      <c r="L13" s="1769">
        <f>F13-K13</f>
        <v>23204</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56028949</v>
      </c>
      <c r="D16" s="1760">
        <f>SUM(D3,D5:D6,D8:D10,D12:D15)</f>
        <v>349633</v>
      </c>
      <c r="E16" s="1760">
        <f>SUM(E3,E5:E6,E8:E10,E12:E15)</f>
        <v>0</v>
      </c>
      <c r="F16" s="1760">
        <f>SUM(F3,F5:F6,F8:F10,F12:F15)</f>
        <v>56378582</v>
      </c>
      <c r="G16" s="843"/>
      <c r="H16" s="1760">
        <f>SUM(H3,H6,H8:H10,H12:H14,)</f>
        <v>31727705</v>
      </c>
      <c r="I16" s="1760">
        <f>SUM(I3,I6,I8:I10,I12:I14,)</f>
        <v>879436</v>
      </c>
      <c r="J16" s="1760">
        <f>SUM(J3,J6,J8:J10,J12:J14,)</f>
        <v>0</v>
      </c>
      <c r="K16" s="1760">
        <f>(H16+I16)-J16</f>
        <v>32607141</v>
      </c>
      <c r="L16" s="1760">
        <f>F16-K16</f>
        <v>23771441</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71332</v>
      </c>
      <c r="G17" s="837">
        <v>10</v>
      </c>
      <c r="H17" s="769"/>
      <c r="I17" s="1769">
        <f>F17/G17</f>
        <v>7133.2</v>
      </c>
      <c r="J17" s="769"/>
      <c r="K17" s="795"/>
      <c r="L17" s="795"/>
    </row>
    <row r="18" spans="1:12" ht="14.25" thickTop="1" thickBot="1" x14ac:dyDescent="0.25">
      <c r="A18" s="1767" t="s">
        <v>685</v>
      </c>
      <c r="B18" s="1768"/>
      <c r="C18" s="771"/>
      <c r="D18" s="771"/>
      <c r="E18" s="771"/>
      <c r="F18" s="850"/>
      <c r="G18" s="851"/>
      <c r="H18" s="773"/>
      <c r="I18" s="1760">
        <f>SUM(I16,I17)</f>
        <v>886569.2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51" activePane="bottomLeft" state="frozen"/>
      <selection activeCell="B6" sqref="B6"/>
      <selection pane="bottomLeft" activeCell="B6" sqref="B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1972</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23127239</v>
      </c>
      <c r="G8" s="865"/>
    </row>
    <row r="9" spans="1:7" x14ac:dyDescent="0.2">
      <c r="A9" s="869" t="s">
        <v>460</v>
      </c>
      <c r="B9" s="870" t="s">
        <v>1874</v>
      </c>
      <c r="C9" s="871"/>
      <c r="D9" s="869" t="s">
        <v>501</v>
      </c>
      <c r="E9" s="868"/>
      <c r="F9" s="1909">
        <f>'Expenditures 15-22'!K151</f>
        <v>1920590</v>
      </c>
      <c r="G9" s="872"/>
    </row>
    <row r="10" spans="1:7" x14ac:dyDescent="0.2">
      <c r="A10" s="869" t="s">
        <v>499</v>
      </c>
      <c r="B10" s="870" t="s">
        <v>1875</v>
      </c>
      <c r="C10" s="871"/>
      <c r="D10" s="869" t="s">
        <v>501</v>
      </c>
      <c r="E10" s="868"/>
      <c r="F10" s="1909">
        <f>'Expenditures 15-22'!K174</f>
        <v>3058522</v>
      </c>
      <c r="G10" s="872"/>
    </row>
    <row r="11" spans="1:7" x14ac:dyDescent="0.2">
      <c r="A11" s="869" t="s">
        <v>461</v>
      </c>
      <c r="B11" s="870" t="s">
        <v>1876</v>
      </c>
      <c r="C11" s="871"/>
      <c r="D11" s="869" t="s">
        <v>501</v>
      </c>
      <c r="E11" s="868"/>
      <c r="F11" s="1909">
        <f>'Expenditures 15-22'!K210</f>
        <v>2241748</v>
      </c>
      <c r="G11" s="872"/>
    </row>
    <row r="12" spans="1:7" x14ac:dyDescent="0.2">
      <c r="A12" s="869" t="s">
        <v>462</v>
      </c>
      <c r="B12" s="870" t="s">
        <v>1877</v>
      </c>
      <c r="C12" s="871"/>
      <c r="D12" s="869" t="s">
        <v>501</v>
      </c>
      <c r="E12" s="868"/>
      <c r="F12" s="1909">
        <f>'Expenditures 15-22'!K295</f>
        <v>663152</v>
      </c>
      <c r="G12" s="872"/>
    </row>
    <row r="13" spans="1:7" x14ac:dyDescent="0.2">
      <c r="A13" s="869" t="s">
        <v>106</v>
      </c>
      <c r="B13" s="870" t="s">
        <v>1878</v>
      </c>
      <c r="C13" s="871"/>
      <c r="D13" s="869" t="s">
        <v>501</v>
      </c>
      <c r="E13" s="868"/>
      <c r="F13" s="1909">
        <f>'Expenditures 15-22'!K342</f>
        <v>251408</v>
      </c>
      <c r="G13" s="873"/>
    </row>
    <row r="14" spans="1:7" ht="12" customHeight="1" thickBot="1" x14ac:dyDescent="0.25">
      <c r="A14" s="1770"/>
      <c r="B14" s="1771"/>
      <c r="C14" s="1772"/>
      <c r="D14" s="1773" t="s">
        <v>501</v>
      </c>
      <c r="E14" s="1774" t="s">
        <v>958</v>
      </c>
      <c r="F14" s="1775">
        <f>SUM(F8:F13)</f>
        <v>31262659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239685</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11782</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615394</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68677</v>
      </c>
      <c r="G52" s="865"/>
    </row>
    <row r="53" spans="1:7" x14ac:dyDescent="0.2">
      <c r="A53" s="869" t="s">
        <v>459</v>
      </c>
      <c r="B53" s="869" t="s">
        <v>1475</v>
      </c>
      <c r="C53" s="889">
        <f>'Expenditures 15-22'!B102</f>
        <v>4000</v>
      </c>
      <c r="D53" s="888" t="str">
        <f>'Expenditures 15-22'!A102</f>
        <v>Total Payments to Other Govt Units</v>
      </c>
      <c r="E53" s="868"/>
      <c r="F53" s="1913">
        <f>'Expenditures 15-22'!K102</f>
        <v>1406551</v>
      </c>
      <c r="G53" s="865"/>
    </row>
    <row r="54" spans="1:7" x14ac:dyDescent="0.2">
      <c r="A54" s="869" t="s">
        <v>459</v>
      </c>
      <c r="B54" s="869" t="s">
        <v>1476</v>
      </c>
      <c r="C54" s="889" t="s">
        <v>982</v>
      </c>
      <c r="D54" s="885" t="s">
        <v>1095</v>
      </c>
      <c r="E54" s="868"/>
      <c r="F54" s="1913">
        <f>'Expenditures 15-22'!G114</f>
        <v>240599</v>
      </c>
      <c r="G54" s="865"/>
    </row>
    <row r="55" spans="1:7" x14ac:dyDescent="0.2">
      <c r="A55" s="869" t="s">
        <v>459</v>
      </c>
      <c r="B55" s="869" t="s">
        <v>1477</v>
      </c>
      <c r="C55" s="889" t="s">
        <v>982</v>
      </c>
      <c r="D55" s="885" t="s">
        <v>291</v>
      </c>
      <c r="E55" s="868"/>
      <c r="F55" s="1913">
        <f>'Expenditures 15-22'!I114</f>
        <v>66282</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110204</v>
      </c>
      <c r="G58" s="865"/>
    </row>
    <row r="59" spans="1:7" x14ac:dyDescent="0.2">
      <c r="A59" s="893" t="s">
        <v>460</v>
      </c>
      <c r="B59" s="856" t="s">
        <v>1881</v>
      </c>
      <c r="C59" s="894" t="s">
        <v>982</v>
      </c>
      <c r="D59" s="856" t="s">
        <v>291</v>
      </c>
      <c r="F59" s="1916">
        <f>'Expenditures 15-22'!I151</f>
        <v>5050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888428</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0</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8744</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997</v>
      </c>
      <c r="G71" s="865"/>
    </row>
    <row r="72" spans="1:8" x14ac:dyDescent="0.2">
      <c r="A72" s="869" t="s">
        <v>462</v>
      </c>
      <c r="B72" s="869" t="s">
        <v>1893</v>
      </c>
      <c r="C72" s="886">
        <f>'Expenditures 15-22'!B280</f>
        <v>3000</v>
      </c>
      <c r="D72" s="876" t="s">
        <v>449</v>
      </c>
      <c r="E72" s="868"/>
      <c r="F72" s="1913">
        <f>'Expenditures 15-22'!K280</f>
        <v>0</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3662393</v>
      </c>
      <c r="G76" s="865"/>
    </row>
    <row r="77" spans="1:8" s="893" customFormat="1" ht="12" customHeight="1" thickTop="1" thickBot="1" x14ac:dyDescent="0.25">
      <c r="A77" s="1779"/>
      <c r="B77" s="1776"/>
      <c r="C77" s="1772"/>
      <c r="D77" s="1777" t="s">
        <v>1897</v>
      </c>
      <c r="E77" s="1774"/>
      <c r="F77" s="1780">
        <f>(F14-F76)</f>
        <v>27600266</v>
      </c>
      <c r="G77" s="869"/>
    </row>
    <row r="78" spans="1:8" s="893" customFormat="1" ht="12" customHeight="1" thickTop="1" x14ac:dyDescent="0.2">
      <c r="A78" s="1781"/>
      <c r="B78" s="1776"/>
      <c r="C78" s="1772"/>
      <c r="D78" s="1777" t="s">
        <v>2059</v>
      </c>
      <c r="E78" s="1774"/>
      <c r="F78" s="898">
        <v>1962.4</v>
      </c>
      <c r="G78" s="899"/>
      <c r="H78" s="869"/>
    </row>
    <row r="79" spans="1:8" s="893" customFormat="1" ht="12" customHeight="1" thickBot="1" x14ac:dyDescent="0.25">
      <c r="A79" s="1782"/>
      <c r="B79" s="1776"/>
      <c r="C79" s="1772"/>
      <c r="D79" s="1777" t="s">
        <v>1898</v>
      </c>
      <c r="E79" s="1774" t="s">
        <v>958</v>
      </c>
      <c r="F79" s="1783">
        <f>IF(F78&gt;0,F77/F78," Complete Line 78")</f>
        <v>14064.546473705666</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19688</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97684</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21346</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2000</v>
      </c>
      <c r="C105" s="913">
        <v>3100</v>
      </c>
      <c r="D105" s="919" t="str">
        <f>'Revenues 9-14'!A132</f>
        <v>Total Special Education</v>
      </c>
      <c r="E105" s="906"/>
      <c r="F105" s="1789">
        <f>SUM('Revenues 9-14'!C132:D132,'Revenues 9-14'!F132)</f>
        <v>223108</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22994</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0</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1476392</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1582</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934824</v>
      </c>
      <c r="G125" s="930"/>
    </row>
    <row r="126" spans="1:7" x14ac:dyDescent="0.2">
      <c r="A126" s="927" t="s">
        <v>668</v>
      </c>
      <c r="B126" s="927" t="s">
        <v>2021</v>
      </c>
      <c r="C126" s="932">
        <v>4300</v>
      </c>
      <c r="D126" s="933" t="str">
        <f>'Revenues 9-14'!A204</f>
        <v>Total Title I</v>
      </c>
      <c r="E126" s="906"/>
      <c r="F126" s="1789">
        <f>SUM('Revenues 9-14'!C204,'Revenues 9-14'!D204,'Revenues 9-14'!F204,'Revenues 9-14'!G204)</f>
        <v>360007</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13769</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97860</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34118</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290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49903</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77697</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81417</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181142</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c r="G171" s="927"/>
    </row>
    <row r="172" spans="1:7" x14ac:dyDescent="0.2">
      <c r="A172" s="1918" t="s">
        <v>664</v>
      </c>
      <c r="B172" s="1919" t="s">
        <v>1917</v>
      </c>
      <c r="C172" s="1920">
        <v>3300</v>
      </c>
      <c r="D172" s="1921" t="s">
        <v>1920</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3693821</v>
      </c>
    </row>
    <row r="175" spans="1:7" ht="12" customHeight="1" x14ac:dyDescent="0.2">
      <c r="A175" s="1770"/>
      <c r="B175" s="1784"/>
      <c r="C175" s="1785"/>
      <c r="D175" s="1786" t="s">
        <v>2054</v>
      </c>
      <c r="E175" s="1787"/>
      <c r="F175" s="1789">
        <f>'PCTC-OEPP 27-28'!F77-F174</f>
        <v>23906445</v>
      </c>
    </row>
    <row r="176" spans="1:7" ht="12" customHeight="1" x14ac:dyDescent="0.2">
      <c r="A176" s="1770"/>
      <c r="B176" s="1784"/>
      <c r="C176" s="1785"/>
      <c r="D176" s="1786" t="s">
        <v>1814</v>
      </c>
      <c r="E176" s="1787"/>
      <c r="F176" s="1789">
        <f>'Cap Outlay Deprec 26'!I18</f>
        <v>886569.2</v>
      </c>
    </row>
    <row r="177" spans="1:7" ht="12" customHeight="1" x14ac:dyDescent="0.2">
      <c r="A177" s="1770"/>
      <c r="B177" s="1784"/>
      <c r="C177" s="1785"/>
      <c r="D177" s="1786" t="s">
        <v>2055</v>
      </c>
      <c r="E177" s="1787"/>
      <c r="F177" s="1789">
        <f>F175+F176</f>
        <v>24793014.199999999</v>
      </c>
    </row>
    <row r="178" spans="1:7" ht="12" customHeight="1" x14ac:dyDescent="0.2">
      <c r="A178" s="1770"/>
      <c r="B178" s="1790"/>
      <c r="C178" s="1785"/>
      <c r="D178" s="1786" t="str">
        <f>D78</f>
        <v>9 Month ADA from District Average Daily Attendance/Prior General State Aid Inquiry 2018-2019</v>
      </c>
      <c r="E178" s="1787"/>
      <c r="F178" s="1791">
        <f>'PCTC-OEPP 27-28'!F78</f>
        <v>1962.4</v>
      </c>
      <c r="G178" s="930"/>
    </row>
    <row r="179" spans="1:7" ht="12" customHeight="1" thickBot="1" x14ac:dyDescent="0.25">
      <c r="A179" s="1770"/>
      <c r="B179" s="1790"/>
      <c r="C179" s="1785"/>
      <c r="D179" s="1786" t="s">
        <v>2056</v>
      </c>
      <c r="E179" s="1787" t="s">
        <v>1545</v>
      </c>
      <c r="F179" s="1792">
        <f>F177/F178</f>
        <v>12634.026803913574</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B24" sqref="B24"/>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1815</v>
      </c>
      <c r="B4" s="2270"/>
      <c r="C4" s="2270"/>
      <c r="D4" s="2270"/>
      <c r="E4" s="2270"/>
      <c r="F4" s="2270"/>
      <c r="G4" s="2271"/>
    </row>
    <row r="5" spans="1:7" x14ac:dyDescent="0.25">
      <c r="A5" s="2272"/>
      <c r="B5" s="2273"/>
      <c r="C5" s="2273"/>
      <c r="D5" s="2273"/>
      <c r="E5" s="2273"/>
      <c r="F5" s="2273"/>
      <c r="G5" s="2274"/>
    </row>
    <row r="6" spans="1:7" ht="18.75" x14ac:dyDescent="0.25">
      <c r="A6" s="1534" t="s">
        <v>1816</v>
      </c>
      <c r="B6" s="1535"/>
      <c r="C6" s="1535"/>
      <c r="D6" s="1535"/>
      <c r="E6" s="1535"/>
      <c r="F6" s="1535"/>
      <c r="G6" s="1536"/>
    </row>
    <row r="7" spans="1:7" ht="30.75" customHeight="1" x14ac:dyDescent="0.25">
      <c r="A7" s="2275" t="s">
        <v>1929</v>
      </c>
      <c r="B7" s="2276"/>
      <c r="C7" s="2276"/>
      <c r="D7" s="2276"/>
      <c r="E7" s="2276"/>
      <c r="F7" s="2276"/>
      <c r="G7" s="2277"/>
    </row>
    <row r="8" spans="1:7" ht="15.75" customHeight="1" x14ac:dyDescent="0.25">
      <c r="A8" s="2278" t="s">
        <v>1904</v>
      </c>
      <c r="B8" s="2279"/>
      <c r="C8" s="2279"/>
      <c r="D8" s="2279"/>
      <c r="E8" s="2279"/>
      <c r="F8" s="2279"/>
      <c r="G8" s="2280"/>
    </row>
    <row r="9" spans="1:7" ht="35.25" customHeight="1" x14ac:dyDescent="0.25">
      <c r="A9" s="2275" t="s">
        <v>1932</v>
      </c>
      <c r="B9" s="2276"/>
      <c r="C9" s="2276"/>
      <c r="D9" s="2276"/>
      <c r="E9" s="2276"/>
      <c r="F9" s="2276"/>
      <c r="G9" s="2277"/>
    </row>
    <row r="10" spans="1:7" ht="15" customHeight="1" x14ac:dyDescent="0.25">
      <c r="A10" s="1537" t="s">
        <v>1817</v>
      </c>
      <c r="B10" s="1538"/>
      <c r="C10" s="1538"/>
      <c r="D10" s="1538"/>
      <c r="E10" s="1538"/>
      <c r="F10" s="1538"/>
      <c r="G10" s="1539"/>
    </row>
    <row r="11" spans="1:7" ht="17.25" customHeight="1" x14ac:dyDescent="0.25">
      <c r="A11" s="2275" t="s">
        <v>1931</v>
      </c>
      <c r="B11" s="2276"/>
      <c r="C11" s="2276"/>
      <c r="D11" s="2276"/>
      <c r="E11" s="2276"/>
      <c r="F11" s="2276"/>
      <c r="G11" s="2277"/>
    </row>
    <row r="12" spans="1:7" ht="15" customHeight="1" x14ac:dyDescent="0.25">
      <c r="A12" s="1537" t="s">
        <v>1822</v>
      </c>
      <c r="B12" s="1538"/>
      <c r="C12" s="1538"/>
      <c r="D12" s="1538"/>
      <c r="E12" s="1538"/>
      <c r="F12" s="1538"/>
      <c r="G12" s="1539"/>
    </row>
    <row r="13" spans="1:7" ht="32.25" customHeight="1" x14ac:dyDescent="0.25">
      <c r="A13" s="2266" t="s">
        <v>1973</v>
      </c>
      <c r="B13" s="2267"/>
      <c r="C13" s="2267"/>
      <c r="D13" s="2267"/>
      <c r="E13" s="2267"/>
      <c r="F13" s="2267"/>
      <c r="G13" s="2268"/>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9" t="s">
        <v>2157</v>
      </c>
      <c r="B17" s="1937" t="s">
        <v>2142</v>
      </c>
      <c r="C17" s="1938" t="s">
        <v>2147</v>
      </c>
      <c r="D17" s="1844">
        <v>2000000</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1975000</v>
      </c>
      <c r="H17" s="1647"/>
    </row>
    <row r="18" spans="1:8" ht="30" x14ac:dyDescent="0.25">
      <c r="A18" s="1939" t="s">
        <v>2156</v>
      </c>
      <c r="B18" s="1937" t="s">
        <v>2143</v>
      </c>
      <c r="C18" s="1938" t="s">
        <v>2148</v>
      </c>
      <c r="D18" s="1844">
        <v>100000</v>
      </c>
      <c r="E18" s="1540">
        <f t="shared" ref="E18:E140" si="2">IF(D18&lt;=25000,D18,IF(D18&gt;25000,25000,0))</f>
        <v>25000</v>
      </c>
      <c r="F18" s="1932">
        <f t="shared" si="1"/>
        <v>25000</v>
      </c>
      <c r="G18" s="1793">
        <f t="shared" ref="G18:G140" si="3">IF(F18=0,0,D18-F18)</f>
        <v>75000</v>
      </c>
    </row>
    <row r="19" spans="1:8" ht="30" x14ac:dyDescent="0.25">
      <c r="A19" s="1939" t="s">
        <v>2156</v>
      </c>
      <c r="B19" s="1937" t="s">
        <v>2143</v>
      </c>
      <c r="C19" s="1938" t="s">
        <v>2149</v>
      </c>
      <c r="D19" s="1844">
        <v>350000</v>
      </c>
      <c r="E19" s="1540">
        <f t="shared" si="2"/>
        <v>25000</v>
      </c>
      <c r="F19" s="1932">
        <f t="shared" si="1"/>
        <v>25000</v>
      </c>
      <c r="G19" s="1793">
        <f t="shared" si="3"/>
        <v>325000</v>
      </c>
    </row>
    <row r="20" spans="1:8" x14ac:dyDescent="0.25">
      <c r="A20" s="1939" t="s">
        <v>2158</v>
      </c>
      <c r="B20" s="1937" t="s">
        <v>2144</v>
      </c>
      <c r="C20" s="1938" t="s">
        <v>2150</v>
      </c>
      <c r="D20" s="1844">
        <v>40000</v>
      </c>
      <c r="E20" s="1540">
        <f t="shared" si="2"/>
        <v>25000</v>
      </c>
      <c r="F20" s="1932">
        <f t="shared" si="1"/>
        <v>25000</v>
      </c>
      <c r="G20" s="1793">
        <f t="shared" si="3"/>
        <v>15000</v>
      </c>
    </row>
    <row r="21" spans="1:8" x14ac:dyDescent="0.25">
      <c r="A21" s="1939" t="s">
        <v>2160</v>
      </c>
      <c r="B21" s="1937" t="s">
        <v>2145</v>
      </c>
      <c r="C21" s="1938" t="s">
        <v>2151</v>
      </c>
      <c r="D21" s="1844">
        <v>825000</v>
      </c>
      <c r="E21" s="1540">
        <f t="shared" si="2"/>
        <v>25000</v>
      </c>
      <c r="F21" s="1932">
        <f t="shared" si="1"/>
        <v>25000</v>
      </c>
      <c r="G21" s="1793">
        <f t="shared" si="3"/>
        <v>800000</v>
      </c>
    </row>
    <row r="22" spans="1:8" x14ac:dyDescent="0.25">
      <c r="A22" s="1939" t="s">
        <v>2161</v>
      </c>
      <c r="B22" s="2486" t="s">
        <v>2164</v>
      </c>
      <c r="C22" s="1938" t="s">
        <v>2152</v>
      </c>
      <c r="D22" s="1844">
        <v>90000</v>
      </c>
      <c r="E22" s="1540">
        <f t="shared" si="2"/>
        <v>25000</v>
      </c>
      <c r="F22" s="1932">
        <f t="shared" si="1"/>
        <v>25000</v>
      </c>
      <c r="G22" s="1793">
        <f t="shared" si="3"/>
        <v>65000</v>
      </c>
    </row>
    <row r="23" spans="1:8" ht="30" x14ac:dyDescent="0.25">
      <c r="A23" s="1939" t="s">
        <v>2156</v>
      </c>
      <c r="B23" s="1937" t="s">
        <v>2143</v>
      </c>
      <c r="C23" s="1938" t="s">
        <v>2153</v>
      </c>
      <c r="D23" s="1844">
        <v>300000</v>
      </c>
      <c r="E23" s="1540">
        <f t="shared" si="2"/>
        <v>25000</v>
      </c>
      <c r="F23" s="1932">
        <f t="shared" si="1"/>
        <v>25000</v>
      </c>
      <c r="G23" s="1793">
        <f t="shared" si="3"/>
        <v>275000</v>
      </c>
    </row>
    <row r="24" spans="1:8" ht="30" x14ac:dyDescent="0.25">
      <c r="A24" s="1939" t="s">
        <v>2159</v>
      </c>
      <c r="B24" s="2486" t="s">
        <v>2165</v>
      </c>
      <c r="C24" s="1938" t="s">
        <v>2154</v>
      </c>
      <c r="D24" s="1844">
        <v>50000</v>
      </c>
      <c r="E24" s="1540">
        <f t="shared" si="2"/>
        <v>25000</v>
      </c>
      <c r="F24" s="1932">
        <f t="shared" si="1"/>
        <v>0</v>
      </c>
      <c r="G24" s="1793">
        <f t="shared" si="3"/>
        <v>0</v>
      </c>
    </row>
    <row r="25" spans="1:8" ht="30" x14ac:dyDescent="0.25">
      <c r="A25" s="1939" t="s">
        <v>2162</v>
      </c>
      <c r="B25" s="1937" t="s">
        <v>2146</v>
      </c>
      <c r="C25" s="1938" t="s">
        <v>2155</v>
      </c>
      <c r="D25" s="1844">
        <v>41000</v>
      </c>
      <c r="E25" s="1540">
        <f t="shared" si="2"/>
        <v>25000</v>
      </c>
      <c r="F25" s="1932">
        <f t="shared" si="1"/>
        <v>25000</v>
      </c>
      <c r="G25" s="1793">
        <f t="shared" si="3"/>
        <v>16000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3796000</v>
      </c>
      <c r="E141" s="1541">
        <f t="shared" si="0"/>
        <v>25000</v>
      </c>
      <c r="F141" s="1933">
        <f>SUM(F17:F140)</f>
        <v>200000</v>
      </c>
      <c r="G141" s="1795">
        <f>SUM(G17:G140)</f>
        <v>3546000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B6" sqref="B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f>'Expenditures 15-22'!E63+'Expenditures 15-22'!F63</f>
        <v>843458</v>
      </c>
      <c r="F10" s="974"/>
      <c r="G10" s="975"/>
      <c r="H10" s="162"/>
      <c r="I10" s="162"/>
    </row>
    <row r="11" spans="1:9" s="668" customFormat="1" ht="22.5" customHeight="1" x14ac:dyDescent="0.2">
      <c r="A11" s="2286" t="s">
        <v>1974</v>
      </c>
      <c r="B11" s="2287"/>
      <c r="C11" s="2287"/>
      <c r="D11" s="2288"/>
      <c r="E11" s="977">
        <v>98923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15926820</v>
      </c>
      <c r="F19" s="1799"/>
      <c r="G19" s="1801">
        <f>'Expenditures 15-22'!K33-SUM('Expenditures 15-22'!G33,'Expenditures 15-22'!I33)+'Expenditures 15-22'!D229</f>
        <v>15926820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2043537</v>
      </c>
      <c r="F21" s="1802"/>
      <c r="G21" s="1805">
        <f>'Expenditures 15-22'!K42-SUM('Expenditures 15-22'!G42,'Expenditures 15-22'!I42)+'Expenditures 15-22'!K120-SUM('Expenditures 15-22'!G120,'Expenditures 15-22'!I120)+'Expenditures 15-22'!K180-SUM('Expenditures 15-22'!G180,'Expenditures 15-22'!I180)+'Expenditures 15-22'!D238</f>
        <v>2043537</v>
      </c>
      <c r="H21" s="987"/>
      <c r="I21" s="162"/>
    </row>
    <row r="22" spans="1:9" s="668" customFormat="1" ht="12" customHeight="1" x14ac:dyDescent="0.2">
      <c r="A22" s="994" t="s">
        <v>564</v>
      </c>
      <c r="B22" s="995"/>
      <c r="C22" s="993">
        <v>2200</v>
      </c>
      <c r="D22" s="1802"/>
      <c r="E22" s="1804">
        <f>'Expenditures 15-22'!K47-SUM('Expenditures 15-22'!G47,'Expenditures 15-22'!I47)+'Expenditures 15-22'!D243</f>
        <v>671762</v>
      </c>
      <c r="F22" s="1802"/>
      <c r="G22" s="1805">
        <f>'Expenditures 15-22'!K47-SUM('Expenditures 15-22'!G47,'Expenditures 15-22'!I47)+'Expenditures 15-22'!D243</f>
        <v>671762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778873</v>
      </c>
      <c r="F23" s="1802"/>
      <c r="G23" s="1804">
        <f>'Expenditures 15-22'!K53-SUM('Expenditures 15-22'!G53,'Expenditures 15-22'!I53)+'Expenditures 15-22'!D257+'Expenditures 15-22'!K330-SUM('Expenditures 15-22'!G330,'Expenditures 15-22'!I330)</f>
        <v>778873</v>
      </c>
      <c r="H23" s="987"/>
      <c r="I23" s="162"/>
    </row>
    <row r="24" spans="1:9" s="668" customFormat="1" ht="12" customHeight="1" x14ac:dyDescent="0.2">
      <c r="A24" s="994" t="s">
        <v>566</v>
      </c>
      <c r="B24" s="995"/>
      <c r="C24" s="993">
        <v>2400</v>
      </c>
      <c r="D24" s="1802"/>
      <c r="E24" s="1804">
        <f>'Expenditures 15-22'!K57-SUM('Expenditures 15-22'!G57,'Expenditures 15-22'!I57)+'Expenditures 15-22'!D261</f>
        <v>1138414</v>
      </c>
      <c r="F24" s="1802"/>
      <c r="G24" s="1805">
        <f>'Expenditures 15-22'!K57-SUM('Expenditures 15-22'!G57,'Expenditures 15-22'!I57)+'Expenditures 15-22'!D261</f>
        <v>1138414</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153478</v>
      </c>
      <c r="E26" s="1804">
        <f>'Expenditures 15-22'!K122-SUM('Expenditures 15-22'!G122,'Expenditures 15-22'!I122)+E7</f>
        <v>0</v>
      </c>
      <c r="F26" s="1804">
        <f>'Expenditures 15-22'!K59-SUM('Expenditures 15-22'!G59,'Expenditures 15-22'!I59)+'Expenditures 15-22'!D263-E7</f>
        <v>153478</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374742</v>
      </c>
      <c r="E27" s="1804">
        <f>E8</f>
        <v>0</v>
      </c>
      <c r="F27" s="1804">
        <f>'Expenditures 15-22'!K60-SUM('Expenditures 15-22'!G60,'Expenditures 15-22'!I60)+'Expenditures 15-22'!D264-E8</f>
        <v>374742</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1852527</v>
      </c>
      <c r="F28" s="1806">
        <f>'Expenditures 15-22'!K61-SUM('Expenditures 15-22'!G61,'Expenditures 15-22'!I61)+'Expenditures 15-22'!K124-SUM('Expenditures 15-22'!G124,'Expenditures 15-22'!I124)+'Expenditures 15-22'!D266-E9</f>
        <v>1852527</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2241905</v>
      </c>
      <c r="F29" s="1802"/>
      <c r="G29" s="1805">
        <f>'Expenditures 15-22'!K62-SUM('Expenditures 15-22'!G62,'Expenditures 15-22'!I62)+'Expenditures 15-22'!K125-SUM('Expenditures 15-22'!G125,'Expenditures 15-22'!I125)+'Expenditures 15-22'!K182-SUM('Expenditures 15-22'!G182,'Expenditures 15-22'!I182)+'Expenditures 15-22'!D267</f>
        <v>2241905</v>
      </c>
      <c r="H29" s="985"/>
    </row>
    <row r="30" spans="1:9" ht="12" customHeight="1" x14ac:dyDescent="0.2">
      <c r="A30" s="994" t="s">
        <v>100</v>
      </c>
      <c r="B30" s="997"/>
      <c r="C30" s="993">
        <v>2560</v>
      </c>
      <c r="D30" s="1802"/>
      <c r="E30" s="1804">
        <f>'Expenditures 15-22'!K63-SUM('Expenditures 15-22'!G63,'Expenditures 15-22'!I63)+'Expenditures 15-22'!D268-E10</f>
        <v>268134</v>
      </c>
      <c r="F30" s="1802"/>
      <c r="G30" s="1804">
        <f>'Expenditures 15-22'!K63-SUM('Expenditures 15-22'!G63,'Expenditures 15-22'!I63)+'Expenditures 15-22'!D268-E10</f>
        <v>268134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68677</v>
      </c>
      <c r="F39" s="1802"/>
      <c r="G39" s="1804">
        <f>'Expenditures 15-22'!K75-SUM('Expenditures 15-22'!G75,'Expenditures 15-22'!I75)+'Expenditures 15-22'!K130-SUM('Expenditures 15-22'!G130,'Expenditures 15-22'!I130)+'Expenditures 15-22'!K185-SUM('Expenditures 15-22'!G185,'Expenditures 15-22'!I185)+'Expenditures 15-22'!D280</f>
        <v>68677</v>
      </c>
    </row>
    <row r="40" spans="1:7" ht="12" customHeight="1" x14ac:dyDescent="0.2">
      <c r="A40" s="990" t="s">
        <v>1820</v>
      </c>
      <c r="B40" s="991"/>
      <c r="C40" s="993"/>
      <c r="D40" s="1802"/>
      <c r="E40" s="1806">
        <f>-'Contracts Paid in CY 29'!G141</f>
        <v>-3546000</v>
      </c>
      <c r="F40" s="1802"/>
      <c r="G40" s="1806">
        <f>-'Contracts Paid in CY 29'!G141</f>
        <v>-3546000</v>
      </c>
    </row>
    <row r="41" spans="1:7" ht="12" customHeight="1" x14ac:dyDescent="0.2">
      <c r="A41" s="998" t="s">
        <v>156</v>
      </c>
      <c r="B41" s="999"/>
      <c r="C41" s="1000"/>
      <c r="D41" s="1806">
        <f>SUM(D19:D39)</f>
        <v>528220</v>
      </c>
      <c r="E41" s="1806">
        <f>SUM(E19:E40)</f>
        <v>21444649</v>
      </c>
      <c r="F41" s="1806">
        <f>SUM(F19:F39)</f>
        <v>2380747</v>
      </c>
      <c r="G41" s="1806">
        <f>SUM(G19:G40)</f>
        <v>19592122</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528220</v>
      </c>
      <c r="F43" s="1807" t="s">
        <v>473</v>
      </c>
      <c r="G43" s="1808">
        <f>F41</f>
        <v>2380747</v>
      </c>
    </row>
    <row r="44" spans="1:7" ht="12" customHeight="1" x14ac:dyDescent="0.2">
      <c r="A44" s="987"/>
      <c r="B44" s="162"/>
      <c r="C44" s="1001"/>
      <c r="D44" s="1807" t="s">
        <v>474</v>
      </c>
      <c r="E44" s="1808">
        <f>E41</f>
        <v>21444649</v>
      </c>
      <c r="F44" s="1807" t="s">
        <v>474</v>
      </c>
      <c r="G44" s="1808">
        <f>G41</f>
        <v>19592122</v>
      </c>
    </row>
    <row r="45" spans="1:7" ht="12" customHeight="1" x14ac:dyDescent="0.2">
      <c r="A45" s="987"/>
      <c r="B45" s="162"/>
      <c r="C45" s="162"/>
      <c r="D45" s="1809" t="s">
        <v>1006</v>
      </c>
      <c r="E45" s="1810">
        <f>(E43/E44)</f>
        <v>2.4631785766230076E-2</v>
      </c>
      <c r="F45" s="1809" t="s">
        <v>1006</v>
      </c>
      <c r="G45" s="1810">
        <f>(G43/G44)</f>
        <v>0.12151552547498429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B6" sqref="B6"/>
      <selection pane="bottomLeft" activeCell="B6" sqref="B6"/>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Beach Park CCSD 3</v>
      </c>
      <c r="D6" s="2307"/>
      <c r="E6" s="2307"/>
      <c r="F6" s="1852"/>
    </row>
    <row r="7" spans="1:10" ht="11.25" customHeight="1" thickBot="1" x14ac:dyDescent="0.3">
      <c r="A7" s="1850"/>
      <c r="B7" s="1851"/>
      <c r="C7" s="2308">
        <f>COVER!A13</f>
        <v>34049003004</v>
      </c>
      <c r="D7" s="2308"/>
      <c r="E7" s="2308"/>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2138</v>
      </c>
      <c r="D26" s="1865" t="s">
        <v>2138</v>
      </c>
      <c r="E26" s="1868" t="s">
        <v>2138</v>
      </c>
      <c r="F26" s="1867" t="s">
        <v>2163</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5</v>
      </c>
      <c r="K34" s="1878">
        <f>SUM(H34:J34)</f>
        <v>15</v>
      </c>
    </row>
    <row r="35" spans="1:11" ht="12" customHeight="1" x14ac:dyDescent="0.2">
      <c r="A35" s="1871" t="s">
        <v>1392</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1391</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B6" sqref="B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Beach Park CCSD 3</v>
      </c>
      <c r="J6" s="2317"/>
      <c r="Q6" s="1664"/>
    </row>
    <row r="7" spans="1:17" x14ac:dyDescent="0.2">
      <c r="A7" s="2318" t="s">
        <v>869</v>
      </c>
      <c r="B7" s="2319"/>
      <c r="C7" s="2319"/>
      <c r="D7" s="2319"/>
      <c r="E7" s="2320"/>
      <c r="F7" s="1017"/>
      <c r="G7" s="1009"/>
      <c r="H7" s="1016" t="s">
        <v>372</v>
      </c>
      <c r="I7" s="2321">
        <f>COVER!A13</f>
        <v>34049003004</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303230</v>
      </c>
      <c r="F12" s="1039"/>
      <c r="G12" s="1811">
        <f t="shared" ref="G12:G18" si="0">SUM(E12:F12)</f>
        <v>303230</v>
      </c>
      <c r="H12" s="1040">
        <v>252000</v>
      </c>
      <c r="I12" s="1039"/>
      <c r="J12" s="1811">
        <f t="shared" ref="J12:J18" si="1">SUM(H12:I12)</f>
        <v>252000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151771</v>
      </c>
      <c r="F15" s="1811">
        <f>'Expenditures 15-22'!K122</f>
        <v>0</v>
      </c>
      <c r="G15" s="1811">
        <f t="shared" si="0"/>
        <v>151771</v>
      </c>
      <c r="H15" s="1040">
        <v>111280</v>
      </c>
      <c r="I15" s="1040"/>
      <c r="J15" s="1811">
        <f t="shared" si="1"/>
        <v>111280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455001</v>
      </c>
      <c r="F19" s="1813">
        <f t="shared" si="2"/>
        <v>0</v>
      </c>
      <c r="G19" s="1813">
        <f t="shared" si="2"/>
        <v>455001</v>
      </c>
      <c r="H19" s="1813">
        <f t="shared" si="2"/>
        <v>363280</v>
      </c>
      <c r="I19" s="1813">
        <f t="shared" si="2"/>
        <v>0</v>
      </c>
      <c r="J19" s="1813">
        <f t="shared" si="2"/>
        <v>363280</v>
      </c>
    </row>
    <row r="20" spans="1:10" ht="13.5" thickTop="1" x14ac:dyDescent="0.2">
      <c r="A20" s="1035">
        <v>9</v>
      </c>
      <c r="B20" s="2328" t="s">
        <v>1978</v>
      </c>
      <c r="C20" s="2328"/>
      <c r="D20" s="2329"/>
      <c r="E20" s="1046"/>
      <c r="F20" s="1046"/>
      <c r="G20" s="1046"/>
      <c r="H20" s="1046"/>
      <c r="I20" s="1046"/>
      <c r="J20" s="1814">
        <f>IF(AND(G19&gt;0,J19&gt;0),(((J19-G19)/G19)),"Enter Budget Data")</f>
        <v>-0.20158417234247836</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1980</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6" sqref="B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2077</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Beach Park CCSD 3</v>
      </c>
    </row>
    <row r="65" spans="2:2" x14ac:dyDescent="0.2">
      <c r="B65" s="1070">
        <f>COVER!A13</f>
        <v>34049003004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8" zoomScale="110" zoomScaleNormal="110" workbookViewId="0">
      <selection activeCell="B6" sqref="B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2076450</xdr:colOff>
                <xdr:row>3</xdr:row>
                <xdr:rowOff>95250</xdr:rowOff>
              </from>
              <to>
                <xdr:col>1</xdr:col>
                <xdr:colOff>2990850</xdr:colOff>
                <xdr:row>7</xdr:row>
                <xdr:rowOff>133350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3" r:id="rId6">
          <objectPr defaultSize="0" r:id="rId7">
            <anchor moveWithCells="1">
              <from>
                <xdr:col>0</xdr:col>
                <xdr:colOff>76200</xdr:colOff>
                <xdr:row>3</xdr:row>
                <xdr:rowOff>104775</xdr:rowOff>
              </from>
              <to>
                <xdr:col>1</xdr:col>
                <xdr:colOff>866775</xdr:colOff>
                <xdr:row>7</xdr:row>
                <xdr:rowOff>142875</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1019175</xdr:colOff>
                <xdr:row>3</xdr:row>
                <xdr:rowOff>95250</xdr:rowOff>
              </from>
              <to>
                <xdr:col>1</xdr:col>
                <xdr:colOff>1924050</xdr:colOff>
                <xdr:row>7</xdr:row>
                <xdr:rowOff>123825</xdr:rowOff>
              </to>
            </anchor>
          </objectPr>
        </oleObject>
      </mc:Choice>
      <mc:Fallback>
        <oleObject progId="Acrobat Document" dvAspect="DVASPECT_ICON" shapeId="35844"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1984</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1985</v>
      </c>
      <c r="B4" s="2356"/>
      <c r="C4" s="2356"/>
      <c r="D4" s="2356"/>
      <c r="E4" s="2356"/>
      <c r="F4" s="2357"/>
      <c r="G4" s="1074"/>
      <c r="H4" s="1074"/>
    </row>
    <row r="5" spans="1:8" ht="14.25" customHeight="1" x14ac:dyDescent="0.2">
      <c r="A5" s="2358" t="s">
        <v>1981</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25805770</v>
      </c>
      <c r="C8" s="1815">
        <f>'Acct Summary 7-8'!D8</f>
        <v>1753554</v>
      </c>
      <c r="D8" s="1815">
        <f>'Acct Summary 7-8'!F8</f>
        <v>2676738</v>
      </c>
      <c r="E8" s="1815">
        <f>'Acct Summary 7-8'!I8</f>
        <v>32463</v>
      </c>
      <c r="F8" s="1815">
        <f>SUM(B8:E8)</f>
        <v>30268525</v>
      </c>
    </row>
    <row r="9" spans="1:8" s="1079" customFormat="1" ht="14.25" customHeight="1" thickBot="1" x14ac:dyDescent="0.25">
      <c r="A9" s="1078" t="s">
        <v>1369</v>
      </c>
      <c r="B9" s="1816">
        <f>'Acct Summary 7-8'!C17</f>
        <v>23127239</v>
      </c>
      <c r="C9" s="1816">
        <f>'Acct Summary 7-8'!D17</f>
        <v>1920590</v>
      </c>
      <c r="D9" s="1816">
        <f>'Acct Summary 7-8'!F17</f>
        <v>2241748</v>
      </c>
      <c r="E9" s="1815"/>
      <c r="F9" s="1815">
        <f>SUM(B9:E9)</f>
        <v>27289577</v>
      </c>
    </row>
    <row r="10" spans="1:8" s="1079" customFormat="1" ht="14.25" thickTop="1" thickBot="1" x14ac:dyDescent="0.25">
      <c r="A10" s="1080" t="s">
        <v>1370</v>
      </c>
      <c r="B10" s="1817">
        <f>(B8-B9)</f>
        <v>2678531</v>
      </c>
      <c r="C10" s="1817">
        <f>(C8-C9)</f>
        <v>-167036</v>
      </c>
      <c r="D10" s="1817">
        <f>(D8-D9)</f>
        <v>434990</v>
      </c>
      <c r="E10" s="1816">
        <f>(E8-E9)</f>
        <v>32463</v>
      </c>
      <c r="F10" s="1818">
        <f>SUM(F8-F9)</f>
        <v>2978948</v>
      </c>
    </row>
    <row r="11" spans="1:8" s="1079" customFormat="1" ht="14.25" thickTop="1" thickBot="1" x14ac:dyDescent="0.25">
      <c r="A11" s="1081" t="s">
        <v>1982</v>
      </c>
      <c r="B11" s="1819">
        <f>'Acct Summary 7-8'!C81</f>
        <v>6170438</v>
      </c>
      <c r="C11" s="1819">
        <f>'Acct Summary 7-8'!D81</f>
        <v>2896713</v>
      </c>
      <c r="D11" s="1819">
        <f>'Acct Summary 7-8'!F81</f>
        <v>4876397</v>
      </c>
      <c r="E11" s="1819">
        <f>'Acct Summary 7-8'!I81</f>
        <v>151848</v>
      </c>
      <c r="F11" s="1820">
        <f>SUM(B11:E11)</f>
        <v>14095396</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D23" sqref="D2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34049003004</v>
      </c>
    </row>
    <row r="3" spans="1:2" x14ac:dyDescent="0.2">
      <c r="A3" t="s">
        <v>956</v>
      </c>
      <c r="B3" s="138" t="str">
        <f>COVER!A15</f>
        <v>Lake</v>
      </c>
    </row>
    <row r="4" spans="1:2" x14ac:dyDescent="0.2">
      <c r="A4" t="s">
        <v>1007</v>
      </c>
      <c r="B4" s="138" t="str">
        <f>COVER!A17</f>
        <v>Beach Park CCSD 3</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060-003973</v>
      </c>
    </row>
    <row r="16" spans="1:2" x14ac:dyDescent="0.2">
      <c r="A16" t="s">
        <v>422</v>
      </c>
      <c r="B16" s="138" t="str">
        <f>COVER!T13</f>
        <v>Evans, Marshall and Pease, P.C.</v>
      </c>
    </row>
    <row r="17" spans="1:2" x14ac:dyDescent="0.2">
      <c r="A17" t="s">
        <v>884</v>
      </c>
      <c r="B17" s="138" t="str">
        <f>COVER!T15</f>
        <v>Jeffery M. Rollefson, CPA</v>
      </c>
    </row>
    <row r="18" spans="1:2" x14ac:dyDescent="0.2">
      <c r="A18" t="s">
        <v>1150</v>
      </c>
      <c r="B18" s="138" t="str">
        <f>COVER!T17</f>
        <v>1875 Hicks Road</v>
      </c>
    </row>
    <row r="19" spans="1:2" x14ac:dyDescent="0.2">
      <c r="A19" t="s">
        <v>886</v>
      </c>
      <c r="B19" s="138" t="str">
        <f>COVER!T25</f>
        <v>jeff@empcpa.com</v>
      </c>
    </row>
    <row r="20" spans="1:2" x14ac:dyDescent="0.2">
      <c r="A20" t="s">
        <v>887</v>
      </c>
      <c r="B20" s="138" t="str">
        <f>COVER!T19</f>
        <v>Rolling Meadows</v>
      </c>
    </row>
    <row r="21" spans="1:2" x14ac:dyDescent="0.2">
      <c r="A21" t="s">
        <v>479</v>
      </c>
      <c r="B21" s="138" t="str">
        <f>COVER!X19</f>
        <v>Illinois</v>
      </c>
    </row>
    <row r="22" spans="1:2" x14ac:dyDescent="0.2">
      <c r="A22" t="s">
        <v>888</v>
      </c>
      <c r="B22" s="138">
        <f>COVER!Z19</f>
        <v>60008</v>
      </c>
    </row>
    <row r="23" spans="1:2" x14ac:dyDescent="0.2">
      <c r="A23" t="s">
        <v>1152</v>
      </c>
      <c r="B23" s="138" t="str">
        <f>COVER!T21</f>
        <v>847-221-5700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33512</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6169220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-1218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-1218</v>
      </c>
      <c r="C91" s="2" t="s">
        <v>573</v>
      </c>
      <c r="D91" s="2" t="str">
        <f t="shared" si="0"/>
        <v>Error?</v>
      </c>
    </row>
    <row r="92" spans="1:4" x14ac:dyDescent="0.2">
      <c r="A92" s="5">
        <v>31</v>
      </c>
      <c r="B92" s="138">
        <f>'Assets-Liab 5-6'!C39</f>
        <v>6170438</v>
      </c>
      <c r="D92" s="2" t="str">
        <f t="shared" si="0"/>
        <v>Error?</v>
      </c>
    </row>
    <row r="93" spans="1:4" x14ac:dyDescent="0.2">
      <c r="A93" s="5">
        <v>32</v>
      </c>
      <c r="B93" s="138">
        <f>'Assets-Liab 5-6'!C41</f>
        <v>6169220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2896713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2896713</v>
      </c>
      <c r="D123" s="2" t="str">
        <f t="shared" si="0"/>
        <v>Error?</v>
      </c>
    </row>
    <row r="124" spans="1:4" x14ac:dyDescent="0.2">
      <c r="A124" s="5">
        <v>63</v>
      </c>
      <c r="B124" s="138">
        <f>'Assets-Liab 5-6'!D41</f>
        <v>2896713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1877798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1877798</v>
      </c>
      <c r="D140" s="2" t="str">
        <f t="shared" si="1"/>
        <v>Error?</v>
      </c>
    </row>
    <row r="141" spans="1:4" x14ac:dyDescent="0.2">
      <c r="A141" s="5">
        <v>80</v>
      </c>
      <c r="B141" s="138">
        <f>'Assets-Liab 5-6'!E41</f>
        <v>1877798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4876397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4876397</v>
      </c>
      <c r="D170" s="2" t="str">
        <f t="shared" si="1"/>
        <v>Error?</v>
      </c>
    </row>
    <row r="171" spans="1:4" x14ac:dyDescent="0.2">
      <c r="A171" s="5">
        <v>110</v>
      </c>
      <c r="B171" s="138">
        <f>'Assets-Liab 5-6'!F41</f>
        <v>4876397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623003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623003</v>
      </c>
      <c r="D189" s="2" t="str">
        <f t="shared" si="1"/>
        <v>Error?</v>
      </c>
    </row>
    <row r="190" spans="1:4" x14ac:dyDescent="0.2">
      <c r="A190" s="5">
        <v>129</v>
      </c>
      <c r="B190" s="138">
        <f>'Assets-Liab 5-6'!G41</f>
        <v>623003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81055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81055</v>
      </c>
      <c r="D212" s="2" t="str">
        <f t="shared" si="2"/>
        <v>Error?</v>
      </c>
    </row>
    <row r="213" spans="1:4" x14ac:dyDescent="0.2">
      <c r="A213" s="12">
        <v>152</v>
      </c>
      <c r="B213" s="138">
        <f>'Assets-Liab 5-6'!H41</f>
        <v>81055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967984</v>
      </c>
      <c r="D273" s="2" t="str">
        <f t="shared" si="3"/>
        <v>Error?</v>
      </c>
    </row>
    <row r="274" spans="1:4" x14ac:dyDescent="0.2">
      <c r="A274" s="5">
        <v>213</v>
      </c>
      <c r="B274" s="138">
        <f>'Assets-Liab 5-6'!M17</f>
        <v>52238487</v>
      </c>
      <c r="D274" s="2" t="str">
        <f t="shared" si="3"/>
        <v>Error?</v>
      </c>
    </row>
    <row r="275" spans="1:4" x14ac:dyDescent="0.2">
      <c r="A275" s="5">
        <v>214</v>
      </c>
      <c r="B275" s="138">
        <f>'Assets-Liab 5-6'!M18</f>
        <v>590394</v>
      </c>
      <c r="D275" s="2" t="str">
        <f t="shared" si="3"/>
        <v>Error?</v>
      </c>
    </row>
    <row r="276" spans="1:4" x14ac:dyDescent="0.2">
      <c r="A276" s="5">
        <v>215</v>
      </c>
      <c r="B276" s="138">
        <f>'Assets-Liab 5-6'!M19</f>
        <v>2581717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56378582</v>
      </c>
      <c r="C279" s="2" t="s">
        <v>573</v>
      </c>
      <c r="D279" s="2" t="str">
        <f t="shared" si="3"/>
        <v>Error?</v>
      </c>
    </row>
    <row r="280" spans="1:4" x14ac:dyDescent="0.2">
      <c r="A280" s="5">
        <v>219</v>
      </c>
      <c r="B280" s="138">
        <f>'Assets-Liab 5-6'!M40</f>
        <v>56378582</v>
      </c>
      <c r="D280" s="2" t="str">
        <f t="shared" si="3"/>
        <v>Error?</v>
      </c>
    </row>
    <row r="281" spans="1:4" x14ac:dyDescent="0.2">
      <c r="A281" s="5">
        <v>220</v>
      </c>
      <c r="B281" s="138">
        <f>'Assets-Liab 5-6'!M41</f>
        <v>56378582</v>
      </c>
      <c r="C281" s="2" t="s">
        <v>573</v>
      </c>
      <c r="D281" s="2" t="str">
        <f t="shared" si="3"/>
        <v>Error?</v>
      </c>
    </row>
    <row r="282" spans="1:4" x14ac:dyDescent="0.2">
      <c r="A282" s="5">
        <v>221</v>
      </c>
      <c r="B282" s="138">
        <f>'Assets-Liab 5-6'!N21</f>
        <v>1877798</v>
      </c>
      <c r="D282" s="2" t="str">
        <f t="shared" si="3"/>
        <v>Error?</v>
      </c>
    </row>
    <row r="283" spans="1:4" x14ac:dyDescent="0.2">
      <c r="A283" s="5">
        <v>222</v>
      </c>
      <c r="B283" s="138">
        <f>'Assets-Liab 5-6'!N22</f>
        <v>-305724</v>
      </c>
      <c r="D283" s="2" t="str">
        <f t="shared" si="3"/>
        <v>Error?</v>
      </c>
    </row>
    <row r="284" spans="1:4" x14ac:dyDescent="0.2">
      <c r="A284" s="5">
        <v>223</v>
      </c>
      <c r="B284" s="138">
        <f>'Assets-Liab 5-6'!N23</f>
        <v>1572074</v>
      </c>
      <c r="C284" s="2" t="s">
        <v>573</v>
      </c>
      <c r="D284" s="2" t="str">
        <f t="shared" si="3"/>
        <v>Error?</v>
      </c>
    </row>
    <row r="285" spans="1:4" x14ac:dyDescent="0.2">
      <c r="A285" s="5">
        <v>224</v>
      </c>
      <c r="B285" s="138">
        <f>'Assets-Liab 5-6'!N36</f>
        <v>1572074</v>
      </c>
      <c r="D285" s="2" t="str">
        <f t="shared" si="3"/>
        <v>Error?</v>
      </c>
    </row>
    <row r="286" spans="1:4" x14ac:dyDescent="0.2">
      <c r="A286" s="10">
        <v>225</v>
      </c>
      <c r="D286" s="2" t="str">
        <f t="shared" si="3"/>
        <v>OK</v>
      </c>
    </row>
    <row r="287" spans="1:4" x14ac:dyDescent="0.2">
      <c r="A287" s="5">
        <v>226</v>
      </c>
      <c r="B287" s="138">
        <f>'Assets-Liab 5-6'!N37</f>
        <v>1572074</v>
      </c>
      <c r="C287" s="2" t="s">
        <v>573</v>
      </c>
      <c r="D287" s="2" t="str">
        <f t="shared" si="3"/>
        <v>Error?</v>
      </c>
    </row>
    <row r="288" spans="1:4" x14ac:dyDescent="0.2">
      <c r="A288" s="5">
        <v>227</v>
      </c>
      <c r="B288" s="138">
        <f>'Assets-Liab 5-6'!N41</f>
        <v>1572074</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24259</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9770523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11679</v>
      </c>
      <c r="D719" s="2" t="str">
        <f t="shared" si="10"/>
        <v>Error?</v>
      </c>
    </row>
    <row r="720" spans="1:4" x14ac:dyDescent="0.2">
      <c r="A720" s="5">
        <v>659</v>
      </c>
      <c r="B720" s="138">
        <f>'Expenditures 15-22'!C33</f>
        <v>11867360</v>
      </c>
      <c r="C720" s="2" t="s">
        <v>573</v>
      </c>
      <c r="D720" s="2" t="str">
        <f t="shared" si="10"/>
        <v>Error?</v>
      </c>
    </row>
    <row r="721" spans="1:4" x14ac:dyDescent="0.2">
      <c r="A721" s="5">
        <v>660</v>
      </c>
      <c r="B721" s="138">
        <f>'Expenditures 15-22'!C36</f>
        <v>545921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293412</v>
      </c>
      <c r="D723" s="2" t="str">
        <f t="shared" si="10"/>
        <v>Error?</v>
      </c>
    </row>
    <row r="724" spans="1:4" x14ac:dyDescent="0.2">
      <c r="A724" s="5">
        <v>663</v>
      </c>
      <c r="B724" s="138">
        <f>'Expenditures 15-22'!C39</f>
        <v>51644</v>
      </c>
      <c r="D724" s="2" t="str">
        <f t="shared" si="10"/>
        <v>Error?</v>
      </c>
    </row>
    <row r="725" spans="1:4" x14ac:dyDescent="0.2">
      <c r="A725" s="5">
        <v>664</v>
      </c>
      <c r="B725" s="138">
        <f>'Expenditures 15-22'!C40</f>
        <v>285507</v>
      </c>
      <c r="D725" s="2" t="str">
        <f t="shared" si="10"/>
        <v>Error?</v>
      </c>
    </row>
    <row r="726" spans="1:4" x14ac:dyDescent="0.2">
      <c r="A726" s="5">
        <v>665</v>
      </c>
      <c r="B726" s="138">
        <f>'Expenditures 15-22'!C41</f>
        <v>120206</v>
      </c>
      <c r="D726" s="2" t="str">
        <f t="shared" si="10"/>
        <v>Error?</v>
      </c>
    </row>
    <row r="727" spans="1:4" x14ac:dyDescent="0.2">
      <c r="A727" s="5">
        <v>666</v>
      </c>
      <c r="B727" s="138">
        <f>'Expenditures 15-22'!C42</f>
        <v>1296690</v>
      </c>
      <c r="C727" s="2" t="s">
        <v>573</v>
      </c>
      <c r="D727" s="2" t="str">
        <f t="shared" si="10"/>
        <v>Error?</v>
      </c>
    </row>
    <row r="728" spans="1:4" x14ac:dyDescent="0.2">
      <c r="A728" s="5">
        <v>667</v>
      </c>
      <c r="B728" s="138">
        <f>'Expenditures 15-22'!C44</f>
        <v>148566</v>
      </c>
      <c r="D728" s="2" t="str">
        <f t="shared" si="10"/>
        <v>Error?</v>
      </c>
    </row>
    <row r="729" spans="1:4" x14ac:dyDescent="0.2">
      <c r="A729" s="5">
        <v>668</v>
      </c>
      <c r="B729" s="138">
        <f>'Expenditures 15-22'!C45</f>
        <v>182698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331264</v>
      </c>
      <c r="C731" s="2" t="s">
        <v>573</v>
      </c>
      <c r="D731" s="2" t="str">
        <f t="shared" si="10"/>
        <v>Error?</v>
      </c>
    </row>
    <row r="732" spans="1:4" x14ac:dyDescent="0.2">
      <c r="A732" s="5">
        <v>671</v>
      </c>
      <c r="B732" s="138">
        <f>'Expenditures 15-22'!C49</f>
        <v>5987</v>
      </c>
      <c r="D732" s="2" t="str">
        <f t="shared" si="10"/>
        <v>Error?</v>
      </c>
    </row>
    <row r="733" spans="1:4" x14ac:dyDescent="0.2">
      <c r="A733" s="5">
        <v>672</v>
      </c>
      <c r="B733" s="138">
        <f>'Expenditures 15-22'!C50</f>
        <v>240422</v>
      </c>
      <c r="D733" s="2" t="str">
        <f t="shared" si="10"/>
        <v>Error?</v>
      </c>
    </row>
    <row r="734" spans="1:4" x14ac:dyDescent="0.2">
      <c r="A734" s="5">
        <v>673</v>
      </c>
      <c r="B734" s="138">
        <f>'Expenditures 15-22'!C53</f>
        <v>246409</v>
      </c>
      <c r="C734" s="2" t="s">
        <v>573</v>
      </c>
      <c r="D734" s="2" t="str">
        <f t="shared" si="10"/>
        <v>Error?</v>
      </c>
    </row>
    <row r="735" spans="1:4" x14ac:dyDescent="0.2">
      <c r="A735" s="5">
        <v>674</v>
      </c>
      <c r="B735" s="138">
        <f>'Expenditures 15-22'!C55</f>
        <v>787883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787883</v>
      </c>
      <c r="C737" s="2" t="s">
        <v>573</v>
      </c>
      <c r="D737" s="2" t="str">
        <f t="shared" si="10"/>
        <v>Error?</v>
      </c>
    </row>
    <row r="738" spans="1:4" x14ac:dyDescent="0.2">
      <c r="A738" s="5">
        <v>677</v>
      </c>
      <c r="B738" s="138">
        <f>'Expenditures 15-22'!C59</f>
        <v>107000</v>
      </c>
      <c r="D738" s="2" t="str">
        <f t="shared" si="10"/>
        <v>Error?</v>
      </c>
    </row>
    <row r="739" spans="1:4" x14ac:dyDescent="0.2">
      <c r="A739" s="5">
        <v>678</v>
      </c>
      <c r="B739" s="138">
        <f>'Expenditures 15-22'!C60</f>
        <v>223452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194161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524613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3186859</v>
      </c>
      <c r="C755" s="2" t="s">
        <v>573</v>
      </c>
      <c r="D755" s="2" t="str">
        <f t="shared" si="10"/>
        <v>Error?</v>
      </c>
    </row>
    <row r="756" spans="1:4" x14ac:dyDescent="0.2">
      <c r="A756" s="5">
        <v>695</v>
      </c>
      <c r="B756" s="138">
        <f>'Expenditures 15-22'!C75</f>
        <v>13237</v>
      </c>
      <c r="D756" s="2" t="str">
        <f t="shared" si="10"/>
        <v>Error?</v>
      </c>
    </row>
    <row r="757" spans="1:4" x14ac:dyDescent="0.2">
      <c r="A757" s="5">
        <v>696</v>
      </c>
      <c r="B757" s="138">
        <f>'Expenditures 15-22'!C114</f>
        <v>15067456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1644397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103</v>
      </c>
      <c r="D777" s="2" t="str">
        <f t="shared" si="11"/>
        <v>Error?</v>
      </c>
    </row>
    <row r="778" spans="1:4" x14ac:dyDescent="0.2">
      <c r="A778" s="5">
        <v>717</v>
      </c>
      <c r="B778" s="138">
        <f>'Expenditures 15-22'!D33</f>
        <v>2219057</v>
      </c>
      <c r="C778" s="2" t="s">
        <v>573</v>
      </c>
      <c r="D778" s="2" t="str">
        <f t="shared" si="11"/>
        <v>Error?</v>
      </c>
    </row>
    <row r="779" spans="1:4" x14ac:dyDescent="0.2">
      <c r="A779" s="5">
        <v>718</v>
      </c>
      <c r="B779" s="138">
        <f>'Expenditures 15-22'!D36</f>
        <v>89770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79346</v>
      </c>
      <c r="D781" s="2" t="str">
        <f t="shared" si="11"/>
        <v>Error?</v>
      </c>
    </row>
    <row r="782" spans="1:4" x14ac:dyDescent="0.2">
      <c r="A782" s="5">
        <v>721</v>
      </c>
      <c r="B782" s="138">
        <f>'Expenditures 15-22'!D39</f>
        <v>11219</v>
      </c>
      <c r="D782" s="2" t="str">
        <f t="shared" si="11"/>
        <v>Error?</v>
      </c>
    </row>
    <row r="783" spans="1:4" x14ac:dyDescent="0.2">
      <c r="A783" s="5">
        <v>722</v>
      </c>
      <c r="B783" s="138">
        <f>'Expenditures 15-22'!D40</f>
        <v>42747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223082</v>
      </c>
      <c r="C785" s="2" t="s">
        <v>573</v>
      </c>
      <c r="D785" s="2" t="str">
        <f t="shared" si="11"/>
        <v>Error?</v>
      </c>
    </row>
    <row r="786" spans="1:4" x14ac:dyDescent="0.2">
      <c r="A786" s="5">
        <v>725</v>
      </c>
      <c r="B786" s="138">
        <f>'Expenditures 15-22'!D44</f>
        <v>35910</v>
      </c>
      <c r="D786" s="2" t="str">
        <f t="shared" si="11"/>
        <v>Error?</v>
      </c>
    </row>
    <row r="787" spans="1:4" x14ac:dyDescent="0.2">
      <c r="A787" s="5">
        <v>726</v>
      </c>
      <c r="B787" s="138">
        <f>'Expenditures 15-22'!D45</f>
        <v>56688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92598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53519</v>
      </c>
      <c r="D791" s="2" t="str">
        <f t="shared" si="11"/>
        <v>Error?</v>
      </c>
    </row>
    <row r="792" spans="1:4" x14ac:dyDescent="0.2">
      <c r="A792" s="5">
        <v>731</v>
      </c>
      <c r="B792" s="138">
        <f>'Expenditures 15-22'!D53</f>
        <v>53519</v>
      </c>
      <c r="C792" s="2" t="s">
        <v>573</v>
      </c>
      <c r="D792" s="2" t="str">
        <f t="shared" si="11"/>
        <v>Error?</v>
      </c>
    </row>
    <row r="793" spans="1:4" x14ac:dyDescent="0.2">
      <c r="A793" s="5">
        <v>732</v>
      </c>
      <c r="B793" s="138">
        <f>'Expenditures 15-22'!D55</f>
        <v>303723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303723</v>
      </c>
      <c r="C795" s="2" t="s">
        <v>573</v>
      </c>
      <c r="D795" s="2" t="str">
        <f t="shared" si="11"/>
        <v>Error?</v>
      </c>
    </row>
    <row r="796" spans="1:4" x14ac:dyDescent="0.2">
      <c r="A796" s="5">
        <v>735</v>
      </c>
      <c r="B796" s="138">
        <f>'Expenditures 15-22'!D59</f>
        <v>42800</v>
      </c>
      <c r="D796" s="2" t="str">
        <f t="shared" si="11"/>
        <v>Error?</v>
      </c>
    </row>
    <row r="797" spans="1:4" x14ac:dyDescent="0.2">
      <c r="A797" s="5">
        <v>736</v>
      </c>
      <c r="B797" s="138">
        <f>'Expenditures 15-22'!D60</f>
        <v>34040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44864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121704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794626</v>
      </c>
      <c r="C813" s="2" t="s">
        <v>573</v>
      </c>
      <c r="D813" s="2" t="str">
        <f t="shared" si="11"/>
        <v>Error?</v>
      </c>
    </row>
    <row r="814" spans="1:4" x14ac:dyDescent="0.2">
      <c r="A814" s="5">
        <v>753</v>
      </c>
      <c r="B814" s="138">
        <f>'Expenditures 15-22'!D75</f>
        <v>46</v>
      </c>
      <c r="D814" s="2" t="str">
        <f t="shared" si="11"/>
        <v>Error?</v>
      </c>
    </row>
    <row r="815" spans="1:4" x14ac:dyDescent="0.2">
      <c r="A815" s="5">
        <v>754</v>
      </c>
      <c r="B815" s="138">
        <f>'Expenditures 15-22'!D114</f>
        <v>3013729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318561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352372</v>
      </c>
      <c r="C836" s="2" t="s">
        <v>573</v>
      </c>
      <c r="D836" s="2" t="str">
        <f t="shared" si="12"/>
        <v>Error?</v>
      </c>
    </row>
    <row r="837" spans="1:4" x14ac:dyDescent="0.2">
      <c r="A837" s="5">
        <v>776</v>
      </c>
      <c r="B837" s="138">
        <f>'Expenditures 15-22'!E36</f>
        <v>1400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60900</v>
      </c>
      <c r="D839" s="2" t="str">
        <f t="shared" si="12"/>
        <v>Error?</v>
      </c>
    </row>
    <row r="840" spans="1:4" x14ac:dyDescent="0.2">
      <c r="A840" s="5">
        <v>779</v>
      </c>
      <c r="B840" s="138">
        <f>'Expenditures 15-22'!E39</f>
        <v>125813</v>
      </c>
      <c r="D840" s="2" t="str">
        <f t="shared" si="12"/>
        <v>Error?</v>
      </c>
    </row>
    <row r="841" spans="1:4" x14ac:dyDescent="0.2">
      <c r="A841" s="5">
        <v>780</v>
      </c>
      <c r="B841" s="138">
        <f>'Expenditures 15-22'!E40</f>
        <v>247397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435510</v>
      </c>
      <c r="C843" s="2" t="s">
        <v>573</v>
      </c>
      <c r="D843" s="2" t="str">
        <f t="shared" si="12"/>
        <v>Error?</v>
      </c>
    </row>
    <row r="844" spans="1:4" x14ac:dyDescent="0.2">
      <c r="A844" s="5">
        <v>783</v>
      </c>
      <c r="B844" s="138">
        <f>'Expenditures 15-22'!E44</f>
        <v>137109</v>
      </c>
      <c r="D844" s="2" t="str">
        <f t="shared" si="12"/>
        <v>Error?</v>
      </c>
    </row>
    <row r="845" spans="1:4" x14ac:dyDescent="0.2">
      <c r="A845" s="5">
        <v>784</v>
      </c>
      <c r="B845" s="138">
        <f>'Expenditures 15-22'!E45</f>
        <v>7374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144483</v>
      </c>
      <c r="C847" s="2" t="s">
        <v>573</v>
      </c>
      <c r="D847" s="2" t="str">
        <f t="shared" si="12"/>
        <v>Error?</v>
      </c>
    </row>
    <row r="848" spans="1:4" x14ac:dyDescent="0.2">
      <c r="A848" s="5">
        <v>787</v>
      </c>
      <c r="B848" s="138">
        <f>'Expenditures 15-22'!E49</f>
        <v>152462</v>
      </c>
      <c r="D848" s="2" t="str">
        <f t="shared" si="12"/>
        <v>Error?</v>
      </c>
    </row>
    <row r="849" spans="1:4" x14ac:dyDescent="0.2">
      <c r="A849" s="5">
        <v>788</v>
      </c>
      <c r="B849" s="138">
        <f>'Expenditures 15-22'!E50</f>
        <v>1689</v>
      </c>
      <c r="D849" s="2" t="str">
        <f t="shared" si="12"/>
        <v>Error?</v>
      </c>
    </row>
    <row r="850" spans="1:4" x14ac:dyDescent="0.2">
      <c r="A850" s="5">
        <v>789</v>
      </c>
      <c r="B850" s="138">
        <f>'Expenditures 15-22'!E53</f>
        <v>154151</v>
      </c>
      <c r="C850" s="2" t="s">
        <v>573</v>
      </c>
      <c r="D850" s="2" t="str">
        <f t="shared" si="12"/>
        <v>Error?</v>
      </c>
    </row>
    <row r="851" spans="1:4" x14ac:dyDescent="0.2">
      <c r="A851" s="5">
        <v>790</v>
      </c>
      <c r="B851" s="138">
        <f>'Expenditures 15-22'!E55</f>
        <v>897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897</v>
      </c>
      <c r="C853" s="2" t="s">
        <v>573</v>
      </c>
      <c r="D853" s="2" t="str">
        <f t="shared" si="12"/>
        <v>Error?</v>
      </c>
    </row>
    <row r="854" spans="1:4" x14ac:dyDescent="0.2">
      <c r="A854" s="5">
        <v>793</v>
      </c>
      <c r="B854" s="138">
        <f>'Expenditures 15-22'!E59</f>
        <v>367</v>
      </c>
      <c r="D854" s="2" t="str">
        <f t="shared" si="12"/>
        <v>Error?</v>
      </c>
    </row>
    <row r="855" spans="1:4" x14ac:dyDescent="0.2">
      <c r="A855" s="5">
        <v>794</v>
      </c>
      <c r="B855" s="138">
        <f>'Expenditures 15-22'!E60</f>
        <v>49455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734907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784729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1519770</v>
      </c>
      <c r="C871" s="2" t="s">
        <v>573</v>
      </c>
      <c r="D871" s="2" t="str">
        <f t="shared" si="12"/>
        <v>Error?</v>
      </c>
    </row>
    <row r="872" spans="1:4" x14ac:dyDescent="0.2">
      <c r="A872" s="5">
        <v>811</v>
      </c>
      <c r="B872" s="138">
        <f>'Expenditures 15-22'!E75</f>
        <v>37434</v>
      </c>
      <c r="D872" s="2" t="str">
        <f t="shared" si="12"/>
        <v>Error?</v>
      </c>
    </row>
    <row r="873" spans="1:4" x14ac:dyDescent="0.2">
      <c r="A873" s="5">
        <v>812</v>
      </c>
      <c r="B873" s="138">
        <f>'Expenditures 15-22'!E114</f>
        <v>1909576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519468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528002</v>
      </c>
      <c r="C894" s="2" t="s">
        <v>573</v>
      </c>
      <c r="D894" s="2" t="str">
        <f t="shared" si="12"/>
        <v>Error?</v>
      </c>
    </row>
    <row r="895" spans="1:4" x14ac:dyDescent="0.2">
      <c r="A895" s="5">
        <v>834</v>
      </c>
      <c r="B895" s="138">
        <f>'Expenditures 15-22'!F36</f>
        <v>80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11344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11424</v>
      </c>
      <c r="C901" s="2" t="s">
        <v>573</v>
      </c>
      <c r="D901" s="2" t="str">
        <f t="shared" si="13"/>
        <v>Error?</v>
      </c>
    </row>
    <row r="902" spans="1:4" x14ac:dyDescent="0.2">
      <c r="A902" s="5">
        <v>841</v>
      </c>
      <c r="B902" s="138">
        <f>'Expenditures 15-22'!F44</f>
        <v>59764</v>
      </c>
      <c r="D902" s="2" t="str">
        <f t="shared" si="13"/>
        <v>Error?</v>
      </c>
    </row>
    <row r="903" spans="1:4" x14ac:dyDescent="0.2">
      <c r="A903" s="5">
        <v>842</v>
      </c>
      <c r="B903" s="138">
        <f>'Expenditures 15-22'!F45</f>
        <v>14421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74185</v>
      </c>
      <c r="C905" s="2" t="s">
        <v>573</v>
      </c>
      <c r="D905" s="2" t="str">
        <f t="shared" si="13"/>
        <v>Error?</v>
      </c>
    </row>
    <row r="906" spans="1:4" x14ac:dyDescent="0.2">
      <c r="A906" s="5">
        <v>845</v>
      </c>
      <c r="B906" s="138">
        <f>'Expenditures 15-22'!F49</f>
        <v>9439</v>
      </c>
      <c r="D906" s="2" t="str">
        <f t="shared" si="13"/>
        <v>Error?</v>
      </c>
    </row>
    <row r="907" spans="1:4" x14ac:dyDescent="0.2">
      <c r="A907" s="5">
        <v>846</v>
      </c>
      <c r="B907" s="138">
        <f>'Expenditures 15-22'!F50</f>
        <v>4091</v>
      </c>
      <c r="D907" s="2" t="str">
        <f t="shared" si="13"/>
        <v>Error?</v>
      </c>
    </row>
    <row r="908" spans="1:4" x14ac:dyDescent="0.2">
      <c r="A908" s="5">
        <v>847</v>
      </c>
      <c r="B908" s="138">
        <f>'Expenditures 15-22'!F53</f>
        <v>13530</v>
      </c>
      <c r="C908" s="2" t="s">
        <v>573</v>
      </c>
      <c r="D908" s="2" t="str">
        <f t="shared" si="13"/>
        <v>Error?</v>
      </c>
    </row>
    <row r="909" spans="1:4" x14ac:dyDescent="0.2">
      <c r="A909" s="5">
        <v>848</v>
      </c>
      <c r="B909" s="138">
        <f>'Expenditures 15-22'!F55</f>
        <v>5893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5893</v>
      </c>
      <c r="C911" s="2" t="s">
        <v>573</v>
      </c>
      <c r="D911" s="2" t="str">
        <f t="shared" si="13"/>
        <v>Error?</v>
      </c>
    </row>
    <row r="912" spans="1:4" x14ac:dyDescent="0.2">
      <c r="A912" s="5">
        <v>851</v>
      </c>
      <c r="B912" s="138">
        <f>'Expenditures 15-22'!F59</f>
        <v>344</v>
      </c>
      <c r="D912" s="2" t="str">
        <f t="shared" si="13"/>
        <v>Error?</v>
      </c>
    </row>
    <row r="913" spans="1:4" x14ac:dyDescent="0.2">
      <c r="A913" s="5">
        <v>852</v>
      </c>
      <c r="B913" s="138">
        <f>'Expenditures 15-22'!F60</f>
        <v>30104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108551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138999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244031</v>
      </c>
      <c r="C929" s="2" t="s">
        <v>573</v>
      </c>
      <c r="D929" s="2" t="str">
        <f t="shared" si="13"/>
        <v>Error?</v>
      </c>
    </row>
    <row r="930" spans="1:4" x14ac:dyDescent="0.2">
      <c r="A930" s="5">
        <v>869</v>
      </c>
      <c r="B930" s="138">
        <f>'Expenditures 15-22'!F75</f>
        <v>17960</v>
      </c>
      <c r="D930" s="2" t="str">
        <f t="shared" si="13"/>
        <v>Error?</v>
      </c>
    </row>
    <row r="931" spans="1:4" x14ac:dyDescent="0.2">
      <c r="A931" s="5">
        <v>870</v>
      </c>
      <c r="B931" s="138">
        <f>'Expenditures 15-22'!F114</f>
        <v>789993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239430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239430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1169</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1169</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1169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240599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414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615808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11777</v>
      </c>
      <c r="D1022" s="2" t="str">
        <f t="shared" si="14"/>
        <v>Error?</v>
      </c>
    </row>
    <row r="1023" spans="1:4" x14ac:dyDescent="0.2">
      <c r="A1023" s="5">
        <v>962</v>
      </c>
      <c r="B1023" s="138">
        <f>'Expenditures 15-22'!H50</f>
        <v>3509</v>
      </c>
      <c r="D1023" s="2" t="str">
        <f t="shared" ref="D1023:D1086" si="15">IF(ISBLANK(B1023),"OK",IF(A1023-B1023=0,"OK","Error?"))</f>
        <v>Error?</v>
      </c>
    </row>
    <row r="1024" spans="1:4" x14ac:dyDescent="0.2">
      <c r="A1024" s="5">
        <v>963</v>
      </c>
      <c r="B1024" s="138">
        <f>'Expenditures 15-22'!H53</f>
        <v>15286</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1260</v>
      </c>
      <c r="D1028" s="2" t="str">
        <f t="shared" si="15"/>
        <v>Error?</v>
      </c>
    </row>
    <row r="1029" spans="1:4" x14ac:dyDescent="0.2">
      <c r="A1029" s="5">
        <v>968</v>
      </c>
      <c r="B1029" s="138">
        <f>'Expenditures 15-22'!H60</f>
        <v>699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1959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17245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1406551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2039604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12559075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11782</v>
      </c>
      <c r="C1107" s="2" t="s">
        <v>573</v>
      </c>
      <c r="D1107" s="2" t="str">
        <f t="shared" si="16"/>
        <v>Error?</v>
      </c>
    </row>
    <row r="1108" spans="1:4" x14ac:dyDescent="0.2">
      <c r="A1108" s="5">
        <v>1047</v>
      </c>
      <c r="B1108" s="138">
        <f>'Expenditures 15-22'!K33</f>
        <v>15888311</v>
      </c>
      <c r="C1108" s="2" t="s">
        <v>573</v>
      </c>
      <c r="D1108" s="2" t="str">
        <f t="shared" si="16"/>
        <v>Error?</v>
      </c>
    </row>
    <row r="1109" spans="1:4" x14ac:dyDescent="0.2">
      <c r="A1109" s="5">
        <v>1048</v>
      </c>
      <c r="B1109" s="138">
        <f>'Expenditures 15-22'!K36</f>
        <v>637171</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445002</v>
      </c>
      <c r="C1111" s="2" t="s">
        <v>573</v>
      </c>
      <c r="D1111" s="2" t="str">
        <f t="shared" si="16"/>
        <v>Error?</v>
      </c>
    </row>
    <row r="1112" spans="1:4" x14ac:dyDescent="0.2">
      <c r="A1112" s="5">
        <v>1051</v>
      </c>
      <c r="B1112" s="138">
        <f>'Expenditures 15-22'!K39</f>
        <v>188676</v>
      </c>
      <c r="C1112" s="2" t="s">
        <v>573</v>
      </c>
      <c r="D1112" s="2" t="str">
        <f t="shared" si="16"/>
        <v>Error?</v>
      </c>
    </row>
    <row r="1113" spans="1:4" x14ac:dyDescent="0.2">
      <c r="A1113" s="5">
        <v>1052</v>
      </c>
      <c r="B1113" s="138">
        <f>'Expenditures 15-22'!K40</f>
        <v>576820</v>
      </c>
      <c r="C1113" s="2" t="s">
        <v>573</v>
      </c>
      <c r="D1113" s="2" t="str">
        <f t="shared" si="16"/>
        <v>Error?</v>
      </c>
    </row>
    <row r="1114" spans="1:4" x14ac:dyDescent="0.2">
      <c r="A1114" s="5">
        <v>1053</v>
      </c>
      <c r="B1114" s="138">
        <f>'Expenditures 15-22'!K41</f>
        <v>120206</v>
      </c>
      <c r="C1114" s="2" t="s">
        <v>573</v>
      </c>
      <c r="D1114" s="2" t="str">
        <f t="shared" si="16"/>
        <v>Error?</v>
      </c>
    </row>
    <row r="1115" spans="1:4" x14ac:dyDescent="0.2">
      <c r="A1115" s="5">
        <v>1054</v>
      </c>
      <c r="B1115" s="138">
        <f>'Expenditures 15-22'!K42</f>
        <v>1967875</v>
      </c>
      <c r="C1115" s="2" t="s">
        <v>573</v>
      </c>
      <c r="D1115" s="2" t="str">
        <f t="shared" si="16"/>
        <v>Error?</v>
      </c>
    </row>
    <row r="1116" spans="1:4" x14ac:dyDescent="0.2">
      <c r="A1116" s="5">
        <v>1055</v>
      </c>
      <c r="B1116" s="138">
        <f>'Expenditures 15-22'!K44</f>
        <v>381349</v>
      </c>
      <c r="C1116" s="2" t="s">
        <v>573</v>
      </c>
      <c r="D1116" s="2" t="str">
        <f t="shared" si="16"/>
        <v>Error?</v>
      </c>
    </row>
    <row r="1117" spans="1:4" x14ac:dyDescent="0.2">
      <c r="A1117" s="5">
        <v>1056</v>
      </c>
      <c r="B1117" s="138">
        <f>'Expenditures 15-22'!K45</f>
        <v>261181</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642530</v>
      </c>
      <c r="C1119" s="2" t="s">
        <v>573</v>
      </c>
      <c r="D1119" s="2" t="str">
        <f t="shared" si="16"/>
        <v>Error?</v>
      </c>
    </row>
    <row r="1120" spans="1:4" x14ac:dyDescent="0.2">
      <c r="A1120" s="5">
        <v>1059</v>
      </c>
      <c r="B1120" s="138">
        <f>'Expenditures 15-22'!K49</f>
        <v>179665</v>
      </c>
      <c r="C1120" s="2" t="s">
        <v>573</v>
      </c>
      <c r="D1120" s="2" t="str">
        <f t="shared" si="16"/>
        <v>Error?</v>
      </c>
    </row>
    <row r="1121" spans="1:4" x14ac:dyDescent="0.2">
      <c r="A1121" s="5">
        <v>1060</v>
      </c>
      <c r="B1121" s="138">
        <f>'Expenditures 15-22'!K50</f>
        <v>303230</v>
      </c>
      <c r="C1121" s="2" t="s">
        <v>573</v>
      </c>
      <c r="D1121" s="2" t="str">
        <f t="shared" si="16"/>
        <v>Error?</v>
      </c>
    </row>
    <row r="1122" spans="1:4" x14ac:dyDescent="0.2">
      <c r="A1122" s="5">
        <v>1061</v>
      </c>
      <c r="B1122" s="138">
        <f>'Expenditures 15-22'!K53</f>
        <v>482895</v>
      </c>
      <c r="C1122" s="2" t="s">
        <v>573</v>
      </c>
      <c r="D1122" s="2" t="str">
        <f t="shared" si="16"/>
        <v>Error?</v>
      </c>
    </row>
    <row r="1123" spans="1:4" x14ac:dyDescent="0.2">
      <c r="A1123" s="5">
        <v>1062</v>
      </c>
      <c r="B1123" s="138">
        <f>'Expenditures 15-22'!K55</f>
        <v>1098396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1098396</v>
      </c>
      <c r="C1125" s="2" t="s">
        <v>573</v>
      </c>
      <c r="D1125" s="2" t="str">
        <f t="shared" si="16"/>
        <v>Error?</v>
      </c>
    </row>
    <row r="1126" spans="1:4" x14ac:dyDescent="0.2">
      <c r="A1126" s="5">
        <v>1065</v>
      </c>
      <c r="B1126" s="138">
        <f>'Expenditures 15-22'!K59</f>
        <v>151771</v>
      </c>
      <c r="C1126" s="2" t="s">
        <v>573</v>
      </c>
      <c r="D1126" s="2" t="str">
        <f t="shared" si="16"/>
        <v>Error?</v>
      </c>
    </row>
    <row r="1127" spans="1:4" x14ac:dyDescent="0.2">
      <c r="A1127" s="5">
        <v>1066</v>
      </c>
      <c r="B1127" s="138">
        <f>'Expenditures 15-22'!K60</f>
        <v>337750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1082483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1572004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5763700</v>
      </c>
      <c r="C1143" s="2" t="s">
        <v>573</v>
      </c>
      <c r="D1143" s="2" t="str">
        <f t="shared" si="16"/>
        <v>Error?</v>
      </c>
    </row>
    <row r="1144" spans="1:4" x14ac:dyDescent="0.2">
      <c r="A1144" s="5">
        <v>1083</v>
      </c>
      <c r="B1144" s="138">
        <f>'Expenditures 15-22'!K75</f>
        <v>68677</v>
      </c>
      <c r="C1144" s="2" t="s">
        <v>573</v>
      </c>
      <c r="D1144" s="2" t="str">
        <f t="shared" si="16"/>
        <v>Error?</v>
      </c>
    </row>
    <row r="1145" spans="1:4" x14ac:dyDescent="0.2">
      <c r="A1145" s="5">
        <v>1084</v>
      </c>
      <c r="B1145" s="138">
        <f>'Expenditures 15-22'!K102</f>
        <v>1406551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23127239</v>
      </c>
      <c r="C1152" s="2" t="s">
        <v>573</v>
      </c>
      <c r="D1152" s="2" t="str">
        <f t="shared" si="17"/>
        <v>Error?</v>
      </c>
    </row>
    <row r="1153" spans="1:4" x14ac:dyDescent="0.2">
      <c r="A1153" s="5">
        <v>1092</v>
      </c>
      <c r="B1153" s="138">
        <f>'Expenditures 15-22'!K115</f>
        <v>2678531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264650</v>
      </c>
      <c r="D1221" s="2" t="str">
        <f t="shared" si="18"/>
        <v>Error?</v>
      </c>
    </row>
    <row r="1222" spans="1:4" x14ac:dyDescent="0.2">
      <c r="A1222" s="10">
        <v>1161</v>
      </c>
      <c r="D1222" s="2" t="str">
        <f t="shared" si="18"/>
        <v>OK</v>
      </c>
    </row>
    <row r="1223" spans="1:4" x14ac:dyDescent="0.2">
      <c r="A1223" s="5">
        <v>1162</v>
      </c>
      <c r="B1223" s="138">
        <f>'Expenditures 15-22'!C127</f>
        <v>264650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264650</v>
      </c>
      <c r="C1225" s="2" t="s">
        <v>573</v>
      </c>
      <c r="D1225" s="2" t="str">
        <f t="shared" si="18"/>
        <v>Error?</v>
      </c>
    </row>
    <row r="1226" spans="1:4" x14ac:dyDescent="0.2">
      <c r="A1226" s="5">
        <v>1165</v>
      </c>
      <c r="B1226" s="138">
        <f>'Expenditures 15-22'!C151</f>
        <v>264650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87570</v>
      </c>
      <c r="D1229" s="2" t="str">
        <f t="shared" si="18"/>
        <v>Error?</v>
      </c>
    </row>
    <row r="1230" spans="1:4" x14ac:dyDescent="0.2">
      <c r="A1230" s="10">
        <v>1169</v>
      </c>
      <c r="D1230" s="2" t="str">
        <f t="shared" si="18"/>
        <v>OK</v>
      </c>
    </row>
    <row r="1231" spans="1:4" x14ac:dyDescent="0.2">
      <c r="A1231" s="5">
        <v>1170</v>
      </c>
      <c r="B1231" s="138">
        <f>'Expenditures 15-22'!D127</f>
        <v>87570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87570</v>
      </c>
      <c r="C1233" s="2" t="s">
        <v>573</v>
      </c>
      <c r="D1233" s="2" t="str">
        <f t="shared" si="18"/>
        <v>Error?</v>
      </c>
    </row>
    <row r="1234" spans="1:4" x14ac:dyDescent="0.2">
      <c r="A1234" s="5">
        <v>1173</v>
      </c>
      <c r="B1234" s="138">
        <f>'Expenditures 15-22'!D151</f>
        <v>87570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945803</v>
      </c>
      <c r="D1237" s="2" t="str">
        <f t="shared" si="18"/>
        <v>Error?</v>
      </c>
    </row>
    <row r="1238" spans="1:4" x14ac:dyDescent="0.2">
      <c r="A1238" s="10">
        <v>1177</v>
      </c>
      <c r="D1238" s="2" t="str">
        <f t="shared" si="18"/>
        <v>OK</v>
      </c>
    </row>
    <row r="1239" spans="1:4" x14ac:dyDescent="0.2">
      <c r="A1239" s="5">
        <v>1178</v>
      </c>
      <c r="B1239" s="138">
        <f>'Expenditures 15-22'!E127</f>
        <v>945803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945803</v>
      </c>
      <c r="C1241" s="2" t="s">
        <v>573</v>
      </c>
      <c r="D1241" s="2" t="str">
        <f t="shared" si="18"/>
        <v>Error?</v>
      </c>
    </row>
    <row r="1242" spans="1:4" x14ac:dyDescent="0.2">
      <c r="A1242" s="5">
        <v>1181</v>
      </c>
      <c r="B1242" s="138">
        <f>'Expenditures 15-22'!E151</f>
        <v>945803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507313</v>
      </c>
      <c r="D1245" s="2" t="str">
        <f t="shared" si="18"/>
        <v>Error?</v>
      </c>
    </row>
    <row r="1246" spans="1:4" x14ac:dyDescent="0.2">
      <c r="A1246" s="10">
        <v>1185</v>
      </c>
      <c r="D1246" s="2" t="str">
        <f t="shared" si="18"/>
        <v>OK</v>
      </c>
    </row>
    <row r="1247" spans="1:4" x14ac:dyDescent="0.2">
      <c r="A1247" s="5">
        <v>1186</v>
      </c>
      <c r="B1247" s="138">
        <f>'Expenditures 15-22'!F127</f>
        <v>507313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507313</v>
      </c>
      <c r="C1249" s="2" t="s">
        <v>573</v>
      </c>
      <c r="D1249" s="2" t="str">
        <f t="shared" si="18"/>
        <v>Error?</v>
      </c>
    </row>
    <row r="1250" spans="1:4" x14ac:dyDescent="0.2">
      <c r="A1250" s="5">
        <v>1189</v>
      </c>
      <c r="B1250" s="138">
        <f>'Expenditures 15-22'!F151</f>
        <v>507313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110204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110204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110204</v>
      </c>
      <c r="C1258" s="2" t="s">
        <v>573</v>
      </c>
      <c r="D1258" s="2" t="str">
        <f t="shared" si="18"/>
        <v>Error?</v>
      </c>
    </row>
    <row r="1259" spans="1:4" x14ac:dyDescent="0.2">
      <c r="A1259" s="5">
        <v>1198</v>
      </c>
      <c r="B1259" s="138">
        <f>'Expenditures 15-22'!G151</f>
        <v>110204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1920590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1920590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1920590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1920590</v>
      </c>
      <c r="C1288" s="2" t="s">
        <v>573</v>
      </c>
      <c r="D1288" s="2" t="str">
        <f t="shared" si="19"/>
        <v>Error?</v>
      </c>
    </row>
    <row r="1289" spans="1:4" x14ac:dyDescent="0.2">
      <c r="A1289" s="5">
        <v>1228</v>
      </c>
      <c r="B1289" s="138">
        <f>'Expenditures 15-22'!K152</f>
        <v>-167036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2170094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888428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3058522</v>
      </c>
      <c r="C1317" s="2" t="s">
        <v>573</v>
      </c>
      <c r="D1317" s="2" t="str">
        <f t="shared" si="19"/>
        <v>Error?</v>
      </c>
    </row>
    <row r="1318" spans="1:4" x14ac:dyDescent="0.2">
      <c r="A1318" s="5">
        <v>1257</v>
      </c>
      <c r="B1318" s="138">
        <f>'Expenditures 15-22'!H174</f>
        <v>3058522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2170094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888428</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3058522</v>
      </c>
      <c r="C1331" s="2" t="s">
        <v>573</v>
      </c>
      <c r="D1331" s="2" t="str">
        <f t="shared" si="19"/>
        <v>Error?</v>
      </c>
    </row>
    <row r="1332" spans="1:4" x14ac:dyDescent="0.2">
      <c r="A1332" s="5">
        <v>1271</v>
      </c>
      <c r="B1332" s="138">
        <f>'Expenditures 15-22'!K174</f>
        <v>3058522</v>
      </c>
      <c r="C1332" s="2" t="s">
        <v>573</v>
      </c>
      <c r="D1332" s="2" t="str">
        <f t="shared" si="19"/>
        <v>Error?</v>
      </c>
    </row>
    <row r="1333" spans="1:4" x14ac:dyDescent="0.2">
      <c r="A1333" s="5">
        <v>1272</v>
      </c>
      <c r="B1333" s="138">
        <f>'Expenditures 15-22'!K175</f>
        <v>-82199</v>
      </c>
      <c r="C1333" s="2" t="s">
        <v>573</v>
      </c>
      <c r="D1333" s="2" t="str">
        <f t="shared" si="19"/>
        <v>Error?</v>
      </c>
    </row>
    <row r="1334" spans="1:4" x14ac:dyDescent="0.2">
      <c r="A1334" s="10">
        <v>1273</v>
      </c>
      <c r="D1334" s="2" t="str">
        <f t="shared" si="19"/>
        <v>OK</v>
      </c>
    </row>
    <row r="1335" spans="1:4" x14ac:dyDescent="0.2">
      <c r="A1335" s="5">
        <v>1274</v>
      </c>
      <c r="B1335" s="138">
        <f>'Expenditures 15-22'!C182</f>
        <v>780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780</v>
      </c>
      <c r="C1339" s="2" t="s">
        <v>573</v>
      </c>
      <c r="D1339" s="2" t="str">
        <f t="shared" si="19"/>
        <v>Error?</v>
      </c>
    </row>
    <row r="1340" spans="1:4" x14ac:dyDescent="0.2">
      <c r="A1340" s="5">
        <v>1279</v>
      </c>
      <c r="B1340" s="138">
        <f>'Expenditures 15-22'!C210</f>
        <v>780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2053404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2053404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2053404</v>
      </c>
      <c r="C1353" s="2" t="s">
        <v>573</v>
      </c>
      <c r="D1353" s="2" t="str">
        <f t="shared" si="20"/>
        <v>Error?</v>
      </c>
    </row>
    <row r="1354" spans="1:4" x14ac:dyDescent="0.2">
      <c r="A1354" s="5">
        <v>1293</v>
      </c>
      <c r="B1354" s="138">
        <f>'Expenditures 15-22'!F182</f>
        <v>187564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187564</v>
      </c>
      <c r="C1358" s="2" t="s">
        <v>573</v>
      </c>
      <c r="D1358" s="2" t="str">
        <f t="shared" si="20"/>
        <v>Error?</v>
      </c>
    </row>
    <row r="1359" spans="1:4" x14ac:dyDescent="0.2">
      <c r="A1359" s="5">
        <v>1298</v>
      </c>
      <c r="B1359" s="138">
        <f>'Expenditures 15-22'!F210</f>
        <v>187564</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2241748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2241748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2241748</v>
      </c>
      <c r="C1388" s="2" t="s">
        <v>573</v>
      </c>
      <c r="D1388" s="2" t="str">
        <f t="shared" si="20"/>
        <v>Error?</v>
      </c>
    </row>
    <row r="1389" spans="1:4" x14ac:dyDescent="0.2">
      <c r="A1389" s="5">
        <v>1328</v>
      </c>
      <c r="B1389" s="138">
        <f>'Expenditures 15-22'!K211</f>
        <v>434990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997</v>
      </c>
      <c r="D1409" s="2" t="str">
        <f t="shared" si="21"/>
        <v>Error?</v>
      </c>
    </row>
    <row r="1410" spans="1:4" x14ac:dyDescent="0.2">
      <c r="A1410" s="5">
        <v>1349</v>
      </c>
      <c r="B1410" s="138">
        <f>'Expenditures 15-22'!D229</f>
        <v>344221</v>
      </c>
      <c r="C1410" s="2" t="s">
        <v>573</v>
      </c>
      <c r="D1410" s="2" t="str">
        <f t="shared" si="21"/>
        <v>Error?</v>
      </c>
    </row>
    <row r="1411" spans="1:4" x14ac:dyDescent="0.2">
      <c r="A1411" s="5">
        <v>1350</v>
      </c>
      <c r="B1411" s="138">
        <f>'Expenditures 15-22'!D232</f>
        <v>7730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55059</v>
      </c>
      <c r="D1413" s="2" t="str">
        <f t="shared" si="21"/>
        <v>Error?</v>
      </c>
    </row>
    <row r="1414" spans="1:4" x14ac:dyDescent="0.2">
      <c r="A1414" s="5">
        <v>1353</v>
      </c>
      <c r="B1414" s="138">
        <f>'Expenditures 15-22'!D235</f>
        <v>749</v>
      </c>
      <c r="D1414" s="2" t="str">
        <f t="shared" si="21"/>
        <v>Error?</v>
      </c>
    </row>
    <row r="1415" spans="1:4" x14ac:dyDescent="0.2">
      <c r="A1415" s="5">
        <v>1354</v>
      </c>
      <c r="B1415" s="138">
        <f>'Expenditures 15-22'!D236</f>
        <v>4097</v>
      </c>
      <c r="D1415" s="2" t="str">
        <f t="shared" si="21"/>
        <v>Error?</v>
      </c>
    </row>
    <row r="1416" spans="1:4" x14ac:dyDescent="0.2">
      <c r="A1416" s="5">
        <v>1355</v>
      </c>
      <c r="B1416" s="138">
        <f>'Expenditures 15-22'!D237</f>
        <v>9196</v>
      </c>
      <c r="D1416" s="2" t="str">
        <f t="shared" si="21"/>
        <v>Error?</v>
      </c>
    </row>
    <row r="1417" spans="1:4" x14ac:dyDescent="0.2">
      <c r="A1417" s="5">
        <v>1356</v>
      </c>
      <c r="B1417" s="138">
        <f>'Expenditures 15-22'!D238</f>
        <v>76831</v>
      </c>
      <c r="C1417" s="2" t="s">
        <v>573</v>
      </c>
      <c r="D1417" s="2" t="str">
        <f t="shared" si="21"/>
        <v>Error?</v>
      </c>
    </row>
    <row r="1418" spans="1:4" x14ac:dyDescent="0.2">
      <c r="A1418" s="5">
        <v>1357</v>
      </c>
      <c r="B1418" s="138">
        <f>'Expenditures 15-22'!D240</f>
        <v>9979</v>
      </c>
      <c r="D1418" s="2" t="str">
        <f t="shared" si="21"/>
        <v>Error?</v>
      </c>
    </row>
    <row r="1419" spans="1:4" x14ac:dyDescent="0.2">
      <c r="A1419" s="5">
        <v>1358</v>
      </c>
      <c r="B1419" s="138">
        <f>'Expenditures 15-22'!D241</f>
        <v>19253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29232</v>
      </c>
      <c r="C1421" s="2" t="s">
        <v>573</v>
      </c>
      <c r="D1421" s="2" t="str">
        <f t="shared" si="21"/>
        <v>Error?</v>
      </c>
    </row>
    <row r="1422" spans="1:4" x14ac:dyDescent="0.2">
      <c r="A1422" s="5">
        <v>1361</v>
      </c>
      <c r="B1422" s="138">
        <f>'Expenditures 15-22'!D245</f>
        <v>25495</v>
      </c>
      <c r="D1422" s="2" t="str">
        <f t="shared" si="21"/>
        <v>Error?</v>
      </c>
    </row>
    <row r="1423" spans="1:4" x14ac:dyDescent="0.2">
      <c r="A1423" s="5">
        <v>1362</v>
      </c>
      <c r="B1423" s="138">
        <f>'Expenditures 15-22'!D246</f>
        <v>19075</v>
      </c>
      <c r="D1423" s="2" t="str">
        <f t="shared" si="21"/>
        <v>Error?</v>
      </c>
    </row>
    <row r="1424" spans="1:4" x14ac:dyDescent="0.2">
      <c r="A1424" s="5">
        <v>1363</v>
      </c>
      <c r="B1424" s="138">
        <f>'Expenditures 15-22'!D257</f>
        <v>44570</v>
      </c>
      <c r="C1424" s="2" t="s">
        <v>573</v>
      </c>
      <c r="D1424" s="2" t="str">
        <f t="shared" si="21"/>
        <v>Error?</v>
      </c>
    </row>
    <row r="1425" spans="1:4" x14ac:dyDescent="0.2">
      <c r="A1425" s="5">
        <v>1364</v>
      </c>
      <c r="B1425" s="138">
        <f>'Expenditures 15-22'!D259</f>
        <v>40018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40018</v>
      </c>
      <c r="C1427" s="2" t="s">
        <v>573</v>
      </c>
      <c r="D1427" s="2" t="str">
        <f t="shared" si="21"/>
        <v>Error?</v>
      </c>
    </row>
    <row r="1428" spans="1:4" x14ac:dyDescent="0.2">
      <c r="A1428" s="5">
        <v>1367</v>
      </c>
      <c r="B1428" s="138">
        <f>'Expenditures 15-22'!D263</f>
        <v>1707</v>
      </c>
      <c r="D1428" s="2" t="str">
        <f t="shared" si="21"/>
        <v>Error?</v>
      </c>
    </row>
    <row r="1429" spans="1:4" x14ac:dyDescent="0.2">
      <c r="A1429" s="5">
        <v>1368</v>
      </c>
      <c r="B1429" s="138">
        <f>'Expenditures 15-22'!D264</f>
        <v>36992</v>
      </c>
      <c r="D1429" s="2" t="str">
        <f t="shared" si="21"/>
        <v>Error?</v>
      </c>
    </row>
    <row r="1430" spans="1:4" x14ac:dyDescent="0.2">
      <c r="A1430" s="5">
        <v>1369</v>
      </c>
      <c r="B1430" s="138">
        <f>'Expenditures 15-22'!D265</f>
        <v>13124</v>
      </c>
      <c r="D1430" s="2" t="str">
        <f t="shared" si="21"/>
        <v>Error?</v>
      </c>
    </row>
    <row r="1431" spans="1:4" x14ac:dyDescent="0.2">
      <c r="A1431" s="5">
        <v>1370</v>
      </c>
      <c r="B1431" s="138">
        <f>'Expenditures 15-22'!D266</f>
        <v>47191</v>
      </c>
      <c r="D1431" s="2" t="str">
        <f t="shared" si="21"/>
        <v>Error?</v>
      </c>
    </row>
    <row r="1432" spans="1:4" x14ac:dyDescent="0.2">
      <c r="A1432" s="5">
        <v>1371</v>
      </c>
      <c r="B1432" s="138">
        <f>'Expenditures 15-22'!D267</f>
        <v>157</v>
      </c>
      <c r="D1432" s="2" t="str">
        <f t="shared" si="21"/>
        <v>Error?</v>
      </c>
    </row>
    <row r="1433" spans="1:4" x14ac:dyDescent="0.2">
      <c r="A1433" s="5">
        <v>1372</v>
      </c>
      <c r="B1433" s="138">
        <f>'Expenditures 15-22'!D268</f>
        <v>29109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128280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318931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663152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997</v>
      </c>
      <c r="C1473" s="2" t="s">
        <v>573</v>
      </c>
      <c r="D1473" s="2" t="str">
        <f t="shared" si="22"/>
        <v>Error?</v>
      </c>
    </row>
    <row r="1474" spans="1:4" x14ac:dyDescent="0.2">
      <c r="A1474" s="5">
        <v>1413</v>
      </c>
      <c r="B1474" s="138">
        <f>'Expenditures 15-22'!K229</f>
        <v>344221</v>
      </c>
      <c r="C1474" s="2" t="s">
        <v>573</v>
      </c>
      <c r="D1474" s="2" t="str">
        <f t="shared" si="22"/>
        <v>Error?</v>
      </c>
    </row>
    <row r="1475" spans="1:4" x14ac:dyDescent="0.2">
      <c r="A1475" s="5">
        <v>1414</v>
      </c>
      <c r="B1475" s="138">
        <f>'Expenditures 15-22'!K232</f>
        <v>7730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55059</v>
      </c>
      <c r="C1477" s="2" t="s">
        <v>573</v>
      </c>
      <c r="D1477" s="2" t="str">
        <f t="shared" si="22"/>
        <v>Error?</v>
      </c>
    </row>
    <row r="1478" spans="1:4" x14ac:dyDescent="0.2">
      <c r="A1478" s="5">
        <v>1417</v>
      </c>
      <c r="B1478" s="138">
        <f>'Expenditures 15-22'!K235</f>
        <v>749</v>
      </c>
      <c r="C1478" s="2" t="s">
        <v>573</v>
      </c>
      <c r="D1478" s="2" t="str">
        <f t="shared" si="22"/>
        <v>Error?</v>
      </c>
    </row>
    <row r="1479" spans="1:4" x14ac:dyDescent="0.2">
      <c r="A1479" s="5">
        <v>1418</v>
      </c>
      <c r="B1479" s="138">
        <f>'Expenditures 15-22'!K236</f>
        <v>4097</v>
      </c>
      <c r="C1479" s="2" t="s">
        <v>573</v>
      </c>
      <c r="D1479" s="2" t="str">
        <f t="shared" si="22"/>
        <v>Error?</v>
      </c>
    </row>
    <row r="1480" spans="1:4" x14ac:dyDescent="0.2">
      <c r="A1480" s="5">
        <v>1419</v>
      </c>
      <c r="B1480" s="138">
        <f>'Expenditures 15-22'!K237</f>
        <v>9196</v>
      </c>
      <c r="C1480" s="2" t="s">
        <v>573</v>
      </c>
      <c r="D1480" s="2" t="str">
        <f t="shared" si="22"/>
        <v>Error?</v>
      </c>
    </row>
    <row r="1481" spans="1:4" x14ac:dyDescent="0.2">
      <c r="A1481" s="5">
        <v>1420</v>
      </c>
      <c r="B1481" s="138">
        <f>'Expenditures 15-22'!K238</f>
        <v>76831</v>
      </c>
      <c r="C1481" s="2" t="s">
        <v>573</v>
      </c>
      <c r="D1481" s="2" t="str">
        <f t="shared" si="22"/>
        <v>Error?</v>
      </c>
    </row>
    <row r="1482" spans="1:4" x14ac:dyDescent="0.2">
      <c r="A1482" s="5">
        <v>1421</v>
      </c>
      <c r="B1482" s="138">
        <f>'Expenditures 15-22'!K240</f>
        <v>9979</v>
      </c>
      <c r="C1482" s="2" t="s">
        <v>573</v>
      </c>
      <c r="D1482" s="2" t="str">
        <f t="shared" si="22"/>
        <v>Error?</v>
      </c>
    </row>
    <row r="1483" spans="1:4" x14ac:dyDescent="0.2">
      <c r="A1483" s="5">
        <v>1422</v>
      </c>
      <c r="B1483" s="138">
        <f>'Expenditures 15-22'!K241</f>
        <v>19253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29232</v>
      </c>
      <c r="C1485" s="2" t="s">
        <v>573</v>
      </c>
      <c r="D1485" s="2" t="str">
        <f t="shared" si="22"/>
        <v>Error?</v>
      </c>
    </row>
    <row r="1486" spans="1:4" x14ac:dyDescent="0.2">
      <c r="A1486" s="5">
        <v>1425</v>
      </c>
      <c r="B1486" s="138">
        <f>'Expenditures 15-22'!K245</f>
        <v>25495</v>
      </c>
      <c r="C1486" s="2" t="s">
        <v>573</v>
      </c>
      <c r="D1486" s="2" t="str">
        <f t="shared" si="22"/>
        <v>Error?</v>
      </c>
    </row>
    <row r="1487" spans="1:4" x14ac:dyDescent="0.2">
      <c r="A1487" s="5">
        <v>1426</v>
      </c>
      <c r="B1487" s="138">
        <f>'Expenditures 15-22'!K246</f>
        <v>19075</v>
      </c>
      <c r="C1487" s="2" t="s">
        <v>573</v>
      </c>
      <c r="D1487" s="2" t="str">
        <f t="shared" si="22"/>
        <v>Error?</v>
      </c>
    </row>
    <row r="1488" spans="1:4" x14ac:dyDescent="0.2">
      <c r="A1488" s="5">
        <v>1427</v>
      </c>
      <c r="B1488" s="138">
        <f>'Expenditures 15-22'!K257</f>
        <v>44570</v>
      </c>
      <c r="C1488" s="2" t="s">
        <v>573</v>
      </c>
      <c r="D1488" s="2" t="str">
        <f t="shared" si="22"/>
        <v>Error?</v>
      </c>
    </row>
    <row r="1489" spans="1:4" x14ac:dyDescent="0.2">
      <c r="A1489" s="5">
        <v>1428</v>
      </c>
      <c r="B1489" s="138">
        <f>'Expenditures 15-22'!K259</f>
        <v>40018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40018</v>
      </c>
      <c r="C1491" s="2" t="s">
        <v>573</v>
      </c>
      <c r="D1491" s="2" t="str">
        <f t="shared" si="22"/>
        <v>Error?</v>
      </c>
    </row>
    <row r="1492" spans="1:4" x14ac:dyDescent="0.2">
      <c r="A1492" s="5">
        <v>1431</v>
      </c>
      <c r="B1492" s="138">
        <f>'Expenditures 15-22'!K263</f>
        <v>1707</v>
      </c>
      <c r="C1492" s="2" t="s">
        <v>573</v>
      </c>
      <c r="D1492" s="2" t="str">
        <f t="shared" si="22"/>
        <v>Error?</v>
      </c>
    </row>
    <row r="1493" spans="1:4" x14ac:dyDescent="0.2">
      <c r="A1493" s="5">
        <v>1432</v>
      </c>
      <c r="B1493" s="138">
        <f>'Expenditures 15-22'!K264</f>
        <v>36992</v>
      </c>
      <c r="C1493" s="2" t="s">
        <v>573</v>
      </c>
      <c r="D1493" s="2" t="str">
        <f t="shared" si="22"/>
        <v>Error?</v>
      </c>
    </row>
    <row r="1494" spans="1:4" x14ac:dyDescent="0.2">
      <c r="A1494" s="5">
        <v>1433</v>
      </c>
      <c r="B1494" s="138">
        <f>'Expenditures 15-22'!K265</f>
        <v>13124</v>
      </c>
      <c r="C1494" s="2" t="s">
        <v>573</v>
      </c>
      <c r="D1494" s="2" t="str">
        <f t="shared" si="22"/>
        <v>Error?</v>
      </c>
    </row>
    <row r="1495" spans="1:4" x14ac:dyDescent="0.2">
      <c r="A1495" s="5">
        <v>1434</v>
      </c>
      <c r="B1495" s="138">
        <f>'Expenditures 15-22'!K266</f>
        <v>47191</v>
      </c>
      <c r="C1495" s="2" t="s">
        <v>573</v>
      </c>
      <c r="D1495" s="2" t="str">
        <f t="shared" si="22"/>
        <v>Error?</v>
      </c>
    </row>
    <row r="1496" spans="1:4" x14ac:dyDescent="0.2">
      <c r="A1496" s="5">
        <v>1435</v>
      </c>
      <c r="B1496" s="138">
        <f>'Expenditures 15-22'!K267</f>
        <v>157</v>
      </c>
      <c r="C1496" s="2" t="s">
        <v>573</v>
      </c>
      <c r="D1496" s="2" t="str">
        <f t="shared" si="22"/>
        <v>Error?</v>
      </c>
    </row>
    <row r="1497" spans="1:4" x14ac:dyDescent="0.2">
      <c r="A1497" s="5">
        <v>1436</v>
      </c>
      <c r="B1497" s="138">
        <f>'Expenditures 15-22'!K268</f>
        <v>29109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128280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318931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663152</v>
      </c>
      <c r="C1517" s="2" t="s">
        <v>573</v>
      </c>
      <c r="D1517" s="2" t="str">
        <f t="shared" si="22"/>
        <v>Error?</v>
      </c>
    </row>
    <row r="1518" spans="1:4" x14ac:dyDescent="0.2">
      <c r="A1518" s="5">
        <v>1457</v>
      </c>
      <c r="B1518" s="138">
        <f>'Expenditures 15-22'!K296</f>
        <v>134152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3531170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6170438</v>
      </c>
      <c r="C1630" s="2" t="s">
        <v>573</v>
      </c>
      <c r="D1630" s="2" t="str">
        <f t="shared" si="24"/>
        <v>Error?</v>
      </c>
    </row>
    <row r="1631" spans="1:4" x14ac:dyDescent="0.2">
      <c r="A1631" s="5">
        <v>1570</v>
      </c>
      <c r="B1631" s="138">
        <f>'Acct Summary 7-8'!D79</f>
        <v>3063749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2896713</v>
      </c>
      <c r="C1644" s="2" t="s">
        <v>573</v>
      </c>
      <c r="D1644" s="2" t="str">
        <f t="shared" si="24"/>
        <v>Error?</v>
      </c>
    </row>
    <row r="1645" spans="1:4" x14ac:dyDescent="0.2">
      <c r="A1645" s="5">
        <v>1584</v>
      </c>
      <c r="B1645" s="138">
        <f>'Acct Summary 7-8'!E79</f>
        <v>1896475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1877798</v>
      </c>
      <c r="C1658" s="2" t="s">
        <v>573</v>
      </c>
      <c r="D1658" s="2" t="str">
        <f t="shared" si="24"/>
        <v>Error?</v>
      </c>
    </row>
    <row r="1659" spans="1:4" x14ac:dyDescent="0.2">
      <c r="A1659" s="5">
        <v>1598</v>
      </c>
      <c r="B1659" s="138">
        <f>'Acct Summary 7-8'!F79</f>
        <v>4441407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4876397</v>
      </c>
      <c r="C1672" s="2" t="s">
        <v>573</v>
      </c>
      <c r="D1672" s="2" t="str">
        <f t="shared" si="25"/>
        <v>Error?</v>
      </c>
    </row>
    <row r="1673" spans="1:4" x14ac:dyDescent="0.2">
      <c r="A1673" s="5">
        <v>1612</v>
      </c>
      <c r="B1673" s="138">
        <f>'Acct Summary 7-8'!G79</f>
        <v>488851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623003</v>
      </c>
      <c r="C1686" s="2" t="s">
        <v>573</v>
      </c>
      <c r="D1686" s="2" t="str">
        <f t="shared" si="25"/>
        <v>Error?</v>
      </c>
    </row>
    <row r="1687" spans="1:4" x14ac:dyDescent="0.2">
      <c r="A1687" s="5">
        <v>1626</v>
      </c>
      <c r="B1687" s="138">
        <f>'Acct Summary 7-8'!H79</f>
        <v>81055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81055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11395483</v>
      </c>
      <c r="C1744" s="2" t="s">
        <v>573</v>
      </c>
      <c r="D1744" s="2" t="str">
        <f t="shared" si="26"/>
        <v>Error?</v>
      </c>
    </row>
    <row r="1745" spans="1:5" x14ac:dyDescent="0.2">
      <c r="A1745" s="5">
        <v>1684</v>
      </c>
      <c r="B1745" s="138">
        <f>'Tax Sched 23'!B5</f>
        <v>1622985</v>
      </c>
      <c r="C1745" s="2" t="s">
        <v>573</v>
      </c>
      <c r="D1745" s="2" t="str">
        <f t="shared" si="26"/>
        <v>Error?</v>
      </c>
    </row>
    <row r="1746" spans="1:5" x14ac:dyDescent="0.2">
      <c r="A1746" s="5">
        <v>1685</v>
      </c>
      <c r="B1746" s="138">
        <f>'Tax Sched 23'!B6</f>
        <v>2976323</v>
      </c>
      <c r="C1746" s="2" t="s">
        <v>573</v>
      </c>
      <c r="D1746" s="2" t="str">
        <f t="shared" si="26"/>
        <v>Error?</v>
      </c>
    </row>
    <row r="1747" spans="1:5" x14ac:dyDescent="0.2">
      <c r="A1747" s="5">
        <v>1686</v>
      </c>
      <c r="B1747" s="138">
        <f>'Tax Sched 23'!B7</f>
        <v>1166117</v>
      </c>
      <c r="C1747" s="2" t="s">
        <v>573</v>
      </c>
      <c r="D1747" s="2" t="str">
        <f t="shared" si="26"/>
        <v>Error?</v>
      </c>
    </row>
    <row r="1748" spans="1:5" x14ac:dyDescent="0.2">
      <c r="A1748" s="5">
        <v>1687</v>
      </c>
      <c r="B1748" s="138">
        <f>'Tax Sched 23'!B8</f>
        <v>11933</v>
      </c>
      <c r="C1748" s="2" t="s">
        <v>573</v>
      </c>
      <c r="D1748" s="2" t="str">
        <f t="shared" si="26"/>
        <v>Error?</v>
      </c>
    </row>
    <row r="1749" spans="1:5" x14ac:dyDescent="0.2">
      <c r="A1749" s="5">
        <v>1688</v>
      </c>
      <c r="B1749" s="138">
        <f>'Tax Sched 23'!B10</f>
        <v>32463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285934</v>
      </c>
      <c r="C1752" s="2" t="s">
        <v>573</v>
      </c>
      <c r="D1752" s="2" t="str">
        <f t="shared" si="26"/>
        <v>Error?</v>
      </c>
    </row>
    <row r="1753" spans="1:5" x14ac:dyDescent="0.2">
      <c r="A1753" s="5">
        <v>1692</v>
      </c>
      <c r="B1753" s="138">
        <f>'Tax Sched 23'!B12</f>
        <v>32082</v>
      </c>
      <c r="C1753" s="2" t="s">
        <v>573</v>
      </c>
      <c r="D1753" s="2" t="str">
        <f t="shared" si="26"/>
        <v>Error?</v>
      </c>
    </row>
    <row r="1754" spans="1:5" x14ac:dyDescent="0.2">
      <c r="A1754" s="5">
        <v>1693</v>
      </c>
      <c r="B1754" s="138">
        <f>'Tax Sched 23'!B14</f>
        <v>1226162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19533853</v>
      </c>
      <c r="C1759" s="2" t="s">
        <v>573</v>
      </c>
      <c r="D1759" s="2" t="str">
        <f t="shared" si="26"/>
        <v>Error?</v>
      </c>
    </row>
    <row r="1760" spans="1:5" x14ac:dyDescent="0.2">
      <c r="A1760" s="5">
        <v>1699</v>
      </c>
      <c r="B1760" s="138">
        <f>'Tax Sched 23'!D4</f>
        <v>5586777</v>
      </c>
      <c r="C1760" s="2" t="s">
        <v>573</v>
      </c>
      <c r="D1760" s="2" t="str">
        <f t="shared" si="26"/>
        <v>Error?</v>
      </c>
    </row>
    <row r="1761" spans="1:5" x14ac:dyDescent="0.2">
      <c r="A1761" s="5">
        <v>1700</v>
      </c>
      <c r="B1761" s="138">
        <f>'Tax Sched 23'!D5</f>
        <v>795680</v>
      </c>
      <c r="C1761" s="2" t="s">
        <v>573</v>
      </c>
      <c r="D1761" s="2" t="str">
        <f t="shared" si="26"/>
        <v>Error?</v>
      </c>
    </row>
    <row r="1762" spans="1:5" s="8" customFormat="1" x14ac:dyDescent="0.2">
      <c r="A1762" s="5">
        <v>1701</v>
      </c>
      <c r="B1762" s="138">
        <f>'Tax Sched 23'!D6</f>
        <v>1443397</v>
      </c>
      <c r="C1762" s="2" t="s">
        <v>573</v>
      </c>
      <c r="D1762" s="2" t="str">
        <f t="shared" si="26"/>
        <v>Error?</v>
      </c>
      <c r="E1762" s="9"/>
    </row>
    <row r="1763" spans="1:5" x14ac:dyDescent="0.2">
      <c r="A1763" s="5">
        <v>1702</v>
      </c>
      <c r="B1763" s="138">
        <f>'Tax Sched 23'!D7</f>
        <v>571651</v>
      </c>
      <c r="C1763" s="2" t="s">
        <v>573</v>
      </c>
      <c r="D1763" s="2" t="str">
        <f t="shared" si="26"/>
        <v>Error?</v>
      </c>
    </row>
    <row r="1764" spans="1:5" x14ac:dyDescent="0.2">
      <c r="A1764" s="5">
        <v>1703</v>
      </c>
      <c r="B1764" s="138">
        <f>'Tax Sched 23'!D8</f>
        <v>5848</v>
      </c>
      <c r="C1764" s="2" t="s">
        <v>573</v>
      </c>
      <c r="D1764" s="2" t="str">
        <f t="shared" si="26"/>
        <v>Error?</v>
      </c>
    </row>
    <row r="1765" spans="1:5" x14ac:dyDescent="0.2">
      <c r="A1765" s="5">
        <v>1704</v>
      </c>
      <c r="B1765" s="138">
        <f>'Tax Sched 23'!D10</f>
        <v>15915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140181</v>
      </c>
      <c r="C1768" s="2" t="s">
        <v>573</v>
      </c>
      <c r="D1768" s="2" t="str">
        <f t="shared" si="26"/>
        <v>Error?</v>
      </c>
    </row>
    <row r="1769" spans="1:5" x14ac:dyDescent="0.2">
      <c r="A1769" s="5">
        <v>1708</v>
      </c>
      <c r="B1769" s="138">
        <f>'Tax Sched 23'!D12</f>
        <v>15728</v>
      </c>
      <c r="C1769" s="2" t="s">
        <v>573</v>
      </c>
      <c r="D1769" s="2" t="str">
        <f t="shared" si="26"/>
        <v>Error?</v>
      </c>
    </row>
    <row r="1770" spans="1:5" x14ac:dyDescent="0.2">
      <c r="A1770" s="5">
        <v>1709</v>
      </c>
      <c r="B1770" s="138">
        <f>'Tax Sched 23'!D14</f>
        <v>601138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9560918</v>
      </c>
      <c r="C1775" s="2" t="s">
        <v>573</v>
      </c>
      <c r="D1775" s="2" t="str">
        <f t="shared" si="26"/>
        <v>Error?</v>
      </c>
    </row>
    <row r="1776" spans="1:5" x14ac:dyDescent="0.2">
      <c r="A1776" s="5">
        <v>1715</v>
      </c>
      <c r="B1776" s="138">
        <f>'Tax Sched 23'!C4</f>
        <v>5808706</v>
      </c>
      <c r="D1776" s="2" t="str">
        <f t="shared" si="26"/>
        <v>Error?</v>
      </c>
    </row>
    <row r="1777" spans="1:4" x14ac:dyDescent="0.2">
      <c r="A1777" s="5">
        <v>1716</v>
      </c>
      <c r="B1777" s="138">
        <f>'Tax Sched 23'!C5</f>
        <v>827305</v>
      </c>
      <c r="D1777" s="2" t="str">
        <f t="shared" si="26"/>
        <v>Error?</v>
      </c>
    </row>
    <row r="1778" spans="1:4" x14ac:dyDescent="0.2">
      <c r="A1778" s="5">
        <v>1717</v>
      </c>
      <c r="B1778" s="138">
        <f>'Tax Sched 23'!C6</f>
        <v>1532926</v>
      </c>
      <c r="D1778" s="2" t="str">
        <f t="shared" si="26"/>
        <v>Error?</v>
      </c>
    </row>
    <row r="1779" spans="1:4" x14ac:dyDescent="0.2">
      <c r="A1779" s="5">
        <v>1718</v>
      </c>
      <c r="B1779" s="138">
        <f>'Tax Sched 23'!C7</f>
        <v>594466</v>
      </c>
      <c r="D1779" s="2" t="str">
        <f t="shared" si="26"/>
        <v>Error?</v>
      </c>
    </row>
    <row r="1780" spans="1:4" x14ac:dyDescent="0.2">
      <c r="A1780" s="5">
        <v>1719</v>
      </c>
      <c r="B1780" s="138">
        <f>'Tax Sched 23'!C8</f>
        <v>6085</v>
      </c>
      <c r="D1780" s="2" t="str">
        <f t="shared" si="26"/>
        <v>Error?</v>
      </c>
    </row>
    <row r="1781" spans="1:4" x14ac:dyDescent="0.2">
      <c r="A1781" s="5">
        <v>1720</v>
      </c>
      <c r="B1781" s="138">
        <f>'Tax Sched 23'!C10</f>
        <v>16548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145753</v>
      </c>
      <c r="D1784" s="2" t="str">
        <f t="shared" si="26"/>
        <v>Error?</v>
      </c>
    </row>
    <row r="1785" spans="1:4" x14ac:dyDescent="0.2">
      <c r="A1785" s="5">
        <v>1724</v>
      </c>
      <c r="B1785" s="138">
        <f>'Tax Sched 23'!C12</f>
        <v>16354</v>
      </c>
      <c r="D1785" s="2" t="str">
        <f t="shared" si="26"/>
        <v>Error?</v>
      </c>
    </row>
    <row r="1786" spans="1:4" x14ac:dyDescent="0.2">
      <c r="A1786" s="5">
        <v>1725</v>
      </c>
      <c r="B1786" s="138">
        <f>'Tax Sched 23'!C14</f>
        <v>625024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9972935</v>
      </c>
      <c r="C1791" s="2" t="s">
        <v>573</v>
      </c>
      <c r="D1791" s="2" t="str">
        <f t="shared" ref="D1791:D1854" si="27">IF(ISBLANK(B1791),"OK",IF(A1791-B1791=0,"OK","Error?"))</f>
        <v>Error?</v>
      </c>
    </row>
    <row r="1792" spans="1:4" x14ac:dyDescent="0.2">
      <c r="A1792" s="5">
        <v>1731</v>
      </c>
      <c r="B1792" s="138">
        <f>'Tax Sched 23'!F4</f>
        <v>5924469</v>
      </c>
      <c r="C1792" s="2" t="s">
        <v>573</v>
      </c>
      <c r="D1792" s="2" t="str">
        <f t="shared" si="27"/>
        <v>Error?</v>
      </c>
    </row>
    <row r="1793" spans="1:4" x14ac:dyDescent="0.2">
      <c r="A1793" s="5">
        <v>1732</v>
      </c>
      <c r="B1793" s="138">
        <f>'Tax Sched 23'!F5</f>
        <v>843793</v>
      </c>
      <c r="C1793" s="2" t="s">
        <v>573</v>
      </c>
      <c r="D1793" s="2" t="str">
        <f t="shared" si="27"/>
        <v>Error?</v>
      </c>
    </row>
    <row r="1794" spans="1:4" x14ac:dyDescent="0.2">
      <c r="A1794" s="5">
        <v>1733</v>
      </c>
      <c r="B1794" s="138">
        <f>'Tax Sched 23'!F6</f>
        <v>1563477</v>
      </c>
      <c r="C1794" s="2" t="s">
        <v>573</v>
      </c>
      <c r="D1794" s="2" t="str">
        <f t="shared" si="27"/>
        <v>Error?</v>
      </c>
    </row>
    <row r="1795" spans="1:4" x14ac:dyDescent="0.2">
      <c r="A1795" s="5">
        <v>1734</v>
      </c>
      <c r="B1795" s="138">
        <f>'Tax Sched 23'!F7</f>
        <v>606312</v>
      </c>
      <c r="C1795" s="2" t="s">
        <v>573</v>
      </c>
      <c r="D1795" s="2" t="str">
        <f t="shared" si="27"/>
        <v>Error?</v>
      </c>
    </row>
    <row r="1796" spans="1:4" x14ac:dyDescent="0.2">
      <c r="A1796" s="5">
        <v>1735</v>
      </c>
      <c r="B1796" s="138">
        <f>'Tax Sched 23'!F8</f>
        <v>6206</v>
      </c>
      <c r="C1796" s="2" t="s">
        <v>573</v>
      </c>
      <c r="D1796" s="2" t="str">
        <f t="shared" si="27"/>
        <v>Error?</v>
      </c>
    </row>
    <row r="1797" spans="1:4" x14ac:dyDescent="0.2">
      <c r="A1797" s="5">
        <v>1736</v>
      </c>
      <c r="B1797" s="138">
        <f>'Tax Sched 23'!F10</f>
        <v>16879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148658</v>
      </c>
      <c r="C1800" s="2" t="s">
        <v>573</v>
      </c>
      <c r="D1800" s="2" t="str">
        <f t="shared" si="27"/>
        <v>Error?</v>
      </c>
    </row>
    <row r="1801" spans="1:4" x14ac:dyDescent="0.2">
      <c r="A1801" s="5">
        <v>1740</v>
      </c>
      <c r="B1801" s="138">
        <f>'Tax Sched 23'!F12</f>
        <v>16680</v>
      </c>
      <c r="C1801" s="2" t="s">
        <v>573</v>
      </c>
      <c r="D1801" s="2" t="str">
        <f t="shared" si="27"/>
        <v>Error?</v>
      </c>
    </row>
    <row r="1802" spans="1:4" x14ac:dyDescent="0.2">
      <c r="A1802" s="5">
        <v>1741</v>
      </c>
      <c r="B1802" s="138">
        <f>'Tax Sched 23'!F14</f>
        <v>637479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10171687</v>
      </c>
      <c r="C1807" s="2" t="s">
        <v>573</v>
      </c>
      <c r="D1807" s="2" t="str">
        <f t="shared" si="27"/>
        <v>Error?</v>
      </c>
    </row>
    <row r="1808" spans="1:4" x14ac:dyDescent="0.2">
      <c r="A1808" s="5">
        <v>1747</v>
      </c>
      <c r="B1808" s="138">
        <f>'Tax Sched 23'!E4</f>
        <v>11733175</v>
      </c>
      <c r="D1808" s="2" t="str">
        <f t="shared" si="27"/>
        <v>Error?</v>
      </c>
    </row>
    <row r="1809" spans="1:4" x14ac:dyDescent="0.2">
      <c r="A1809" s="5">
        <v>1748</v>
      </c>
      <c r="B1809" s="138">
        <f>'Tax Sched 23'!E5</f>
        <v>1671098</v>
      </c>
      <c r="D1809" s="2" t="str">
        <f t="shared" si="27"/>
        <v>Error?</v>
      </c>
    </row>
    <row r="1810" spans="1:4" x14ac:dyDescent="0.2">
      <c r="A1810" s="5">
        <v>1749</v>
      </c>
      <c r="B1810" s="138">
        <f>'Tax Sched 23'!E6</f>
        <v>3096403</v>
      </c>
      <c r="D1810" s="2" t="str">
        <f t="shared" si="27"/>
        <v>Error?</v>
      </c>
    </row>
    <row r="1811" spans="1:4" x14ac:dyDescent="0.2">
      <c r="A1811" s="5">
        <v>1750</v>
      </c>
      <c r="B1811" s="138">
        <f>'Tax Sched 23'!E7</f>
        <v>1200778</v>
      </c>
      <c r="D1811" s="2" t="str">
        <f t="shared" si="27"/>
        <v>Error?</v>
      </c>
    </row>
    <row r="1812" spans="1:4" x14ac:dyDescent="0.2">
      <c r="A1812" s="5">
        <v>1751</v>
      </c>
      <c r="B1812" s="138">
        <f>'Tax Sched 23'!E8</f>
        <v>12291</v>
      </c>
      <c r="D1812" s="2" t="str">
        <f t="shared" si="27"/>
        <v>Error?</v>
      </c>
    </row>
    <row r="1813" spans="1:4" x14ac:dyDescent="0.2">
      <c r="A1813" s="5">
        <v>1752</v>
      </c>
      <c r="B1813" s="138">
        <f>'Tax Sched 23'!E10</f>
        <v>33427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294411</v>
      </c>
      <c r="D1816" s="2" t="str">
        <f t="shared" si="27"/>
        <v>Error?</v>
      </c>
    </row>
    <row r="1817" spans="1:4" x14ac:dyDescent="0.2">
      <c r="A1817" s="5">
        <v>1756</v>
      </c>
      <c r="B1817" s="138">
        <f>'Tax Sched 23'!E12</f>
        <v>33034</v>
      </c>
      <c r="D1817" s="2" t="str">
        <f t="shared" si="27"/>
        <v>Error?</v>
      </c>
    </row>
    <row r="1818" spans="1:4" x14ac:dyDescent="0.2">
      <c r="A1818" s="5">
        <v>1757</v>
      </c>
      <c r="B1818" s="138">
        <f>'Tax Sched 23'!E14</f>
        <v>1262503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20144622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2436243</v>
      </c>
      <c r="C1939" s="2" t="s">
        <v>573</v>
      </c>
      <c r="D1939" s="2" t="str">
        <f t="shared" si="29"/>
        <v>Error?</v>
      </c>
    </row>
    <row r="1940" spans="1:5" x14ac:dyDescent="0.2">
      <c r="A1940" s="5">
        <v>1879</v>
      </c>
      <c r="B1940" s="138">
        <f>'Short-Term Long-Term Debt 24'!F49</f>
        <v>24259</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967984</v>
      </c>
      <c r="D2008" s="2" t="str">
        <f t="shared" si="30"/>
        <v>Error?</v>
      </c>
    </row>
    <row r="2009" spans="1:4" x14ac:dyDescent="0.2">
      <c r="A2009" s="5">
        <v>1948</v>
      </c>
      <c r="B2009" s="138">
        <f>'Cap Outlay Deprec 26'!C8</f>
        <v>52154065</v>
      </c>
      <c r="D2009" s="2" t="str">
        <f t="shared" si="30"/>
        <v>Error?</v>
      </c>
    </row>
    <row r="2010" spans="1:4" x14ac:dyDescent="0.2">
      <c r="A2010" s="5">
        <v>1949</v>
      </c>
      <c r="B2010" s="138">
        <f>'Cap Outlay Deprec 26'!C10</f>
        <v>590394</v>
      </c>
      <c r="D2010" s="2" t="str">
        <f t="shared" si="30"/>
        <v>Error?</v>
      </c>
    </row>
    <row r="2011" spans="1:4" x14ac:dyDescent="0.2">
      <c r="A2011" s="5">
        <v>1950</v>
      </c>
      <c r="B2011" s="138">
        <f>'Cap Outlay Deprec 26'!C12</f>
        <v>2266427</v>
      </c>
      <c r="D2011" s="2" t="str">
        <f t="shared" si="30"/>
        <v>Error?</v>
      </c>
    </row>
    <row r="2012" spans="1:4" x14ac:dyDescent="0.2">
      <c r="A2012" s="5">
        <v>1951</v>
      </c>
      <c r="B2012" s="138">
        <f>'Cap Outlay Deprec 26'!C13</f>
        <v>50079</v>
      </c>
      <c r="D2012" s="2" t="str">
        <f t="shared" si="30"/>
        <v>Error?</v>
      </c>
    </row>
    <row r="2013" spans="1:4" x14ac:dyDescent="0.2">
      <c r="A2013" s="5">
        <v>1952</v>
      </c>
      <c r="B2013" s="138">
        <f>'Cap Outlay Deprec 26'!C16</f>
        <v>56028949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84421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239430</v>
      </c>
      <c r="D2017" s="2" t="str">
        <f t="shared" si="30"/>
        <v>Error?</v>
      </c>
    </row>
    <row r="2018" spans="1:4" x14ac:dyDescent="0.2">
      <c r="A2018" s="5">
        <v>1957</v>
      </c>
      <c r="B2018" s="138">
        <f>'Cap Outlay Deprec 26'!D13</f>
        <v>25782</v>
      </c>
      <c r="D2018" s="2" t="str">
        <f t="shared" si="30"/>
        <v>Error?</v>
      </c>
    </row>
    <row r="2019" spans="1:4" x14ac:dyDescent="0.2">
      <c r="A2019" s="5">
        <v>1958</v>
      </c>
      <c r="B2019" s="138">
        <f>'Cap Outlay Deprec 26'!D16</f>
        <v>349633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967984</v>
      </c>
      <c r="C2026" s="2" t="s">
        <v>573</v>
      </c>
      <c r="D2026" s="2" t="str">
        <f t="shared" si="30"/>
        <v>Error?</v>
      </c>
    </row>
    <row r="2027" spans="1:4" x14ac:dyDescent="0.2">
      <c r="A2027" s="5">
        <v>1966</v>
      </c>
      <c r="B2027" s="138">
        <f>'Cap Outlay Deprec 26'!F8</f>
        <v>52238486</v>
      </c>
      <c r="C2027" s="2" t="s">
        <v>573</v>
      </c>
      <c r="D2027" s="2" t="str">
        <f t="shared" si="30"/>
        <v>Error?</v>
      </c>
    </row>
    <row r="2028" spans="1:4" x14ac:dyDescent="0.2">
      <c r="A2028" s="5">
        <v>1967</v>
      </c>
      <c r="B2028" s="138">
        <f>'Cap Outlay Deprec 26'!F10</f>
        <v>590394</v>
      </c>
      <c r="C2028" s="2" t="s">
        <v>573</v>
      </c>
      <c r="D2028" s="2" t="str">
        <f t="shared" si="30"/>
        <v>Error?</v>
      </c>
    </row>
    <row r="2029" spans="1:4" x14ac:dyDescent="0.2">
      <c r="A2029" s="5">
        <v>1968</v>
      </c>
      <c r="B2029" s="138">
        <f>'Cap Outlay Deprec 26'!F12</f>
        <v>2505857</v>
      </c>
      <c r="C2029" s="2" t="s">
        <v>573</v>
      </c>
      <c r="D2029" s="2" t="str">
        <f t="shared" si="30"/>
        <v>Error?</v>
      </c>
    </row>
    <row r="2030" spans="1:4" x14ac:dyDescent="0.2">
      <c r="A2030" s="5">
        <v>1969</v>
      </c>
      <c r="B2030" s="138">
        <f>'Cap Outlay Deprec 26'!F13</f>
        <v>75861</v>
      </c>
      <c r="C2030" s="2" t="s">
        <v>573</v>
      </c>
      <c r="D2030" s="2" t="str">
        <f t="shared" si="30"/>
        <v>Error?</v>
      </c>
    </row>
    <row r="2031" spans="1:4" x14ac:dyDescent="0.2">
      <c r="A2031" s="5">
        <v>1970</v>
      </c>
      <c r="B2031" s="138">
        <f>'Cap Outlay Deprec 26'!F16</f>
        <v>56378582</v>
      </c>
      <c r="C2031" s="2" t="s">
        <v>573</v>
      </c>
      <c r="D2031" s="2" t="str">
        <f t="shared" si="30"/>
        <v>Error?</v>
      </c>
    </row>
    <row r="2032" spans="1:4" x14ac:dyDescent="0.2">
      <c r="A2032" s="10">
        <v>1971</v>
      </c>
      <c r="D2032" s="2" t="str">
        <f t="shared" si="30"/>
        <v>OK</v>
      </c>
    </row>
    <row r="2033" spans="1:4" x14ac:dyDescent="0.2">
      <c r="A2033" s="5">
        <v>1972</v>
      </c>
      <c r="B2033" s="138">
        <f>'Cap Outlay Deprec 26'!H8</f>
        <v>29608925</v>
      </c>
      <c r="D2033" s="2" t="str">
        <f t="shared" si="30"/>
        <v>Error?</v>
      </c>
    </row>
    <row r="2034" spans="1:4" x14ac:dyDescent="0.2">
      <c r="A2034" s="5">
        <v>1973</v>
      </c>
      <c r="B2034" s="138">
        <f>'Cap Outlay Deprec 26'!H10</f>
        <v>242461</v>
      </c>
      <c r="D2034" s="2" t="str">
        <f t="shared" si="30"/>
        <v>Error?</v>
      </c>
    </row>
    <row r="2035" spans="1:4" x14ac:dyDescent="0.2">
      <c r="A2035" s="5">
        <v>1974</v>
      </c>
      <c r="B2035" s="138">
        <f>'Cap Outlay Deprec 26'!H12</f>
        <v>1826240</v>
      </c>
      <c r="D2035" s="2" t="str">
        <f t="shared" si="30"/>
        <v>Error?</v>
      </c>
    </row>
    <row r="2036" spans="1:4" x14ac:dyDescent="0.2">
      <c r="A2036" s="5">
        <v>1975</v>
      </c>
      <c r="B2036" s="138">
        <f>'Cap Outlay Deprec 26'!H13</f>
        <v>50079</v>
      </c>
      <c r="D2036" s="2" t="str">
        <f t="shared" si="30"/>
        <v>Error?</v>
      </c>
    </row>
    <row r="2037" spans="1:4" x14ac:dyDescent="0.2">
      <c r="A2037" s="5">
        <v>1976</v>
      </c>
      <c r="B2037" s="138">
        <f>'Cap Outlay Deprec 26'!H16</f>
        <v>31727705</v>
      </c>
      <c r="C2037" s="2" t="s">
        <v>573</v>
      </c>
      <c r="D2037" s="2" t="str">
        <f t="shared" si="30"/>
        <v>Error?</v>
      </c>
    </row>
    <row r="2038" spans="1:4" x14ac:dyDescent="0.2">
      <c r="A2038" s="10">
        <v>1977</v>
      </c>
      <c r="D2038" s="2" t="str">
        <f t="shared" si="30"/>
        <v>OK</v>
      </c>
    </row>
    <row r="2039" spans="1:4" x14ac:dyDescent="0.2">
      <c r="A2039" s="5">
        <v>1978</v>
      </c>
      <c r="B2039" s="138">
        <f>'Cap Outlay Deprec 26'!I8</f>
        <v>691771</v>
      </c>
      <c r="D2039" s="2" t="str">
        <f t="shared" si="30"/>
        <v>Error?</v>
      </c>
    </row>
    <row r="2040" spans="1:4" x14ac:dyDescent="0.2">
      <c r="A2040" s="5">
        <v>1979</v>
      </c>
      <c r="B2040" s="138">
        <f>'Cap Outlay Deprec 26'!I10</f>
        <v>18634</v>
      </c>
      <c r="D2040" s="2" t="str">
        <f t="shared" si="30"/>
        <v>Error?</v>
      </c>
    </row>
    <row r="2041" spans="1:4" x14ac:dyDescent="0.2">
      <c r="A2041" s="5">
        <v>1980</v>
      </c>
      <c r="B2041" s="138">
        <f>'Cap Outlay Deprec 26'!I12</f>
        <v>166453</v>
      </c>
      <c r="D2041" s="2" t="str">
        <f t="shared" si="30"/>
        <v>Error?</v>
      </c>
    </row>
    <row r="2042" spans="1:4" x14ac:dyDescent="0.2">
      <c r="A2042" s="5">
        <v>1981</v>
      </c>
      <c r="B2042" s="138">
        <f>'Cap Outlay Deprec 26'!I13</f>
        <v>2578</v>
      </c>
      <c r="D2042" s="2" t="str">
        <f t="shared" si="30"/>
        <v>Error?</v>
      </c>
    </row>
    <row r="2043" spans="1:4" x14ac:dyDescent="0.2">
      <c r="A2043" s="5">
        <v>1982</v>
      </c>
      <c r="B2043" s="138">
        <f>'Cap Outlay Deprec 26'!I16</f>
        <v>879436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30300696</v>
      </c>
      <c r="C2051" s="2" t="s">
        <v>573</v>
      </c>
      <c r="D2051" s="2" t="str">
        <f t="shared" si="31"/>
        <v>Error?</v>
      </c>
    </row>
    <row r="2052" spans="1:4" x14ac:dyDescent="0.2">
      <c r="A2052" s="5">
        <v>1991</v>
      </c>
      <c r="B2052" s="138">
        <f>'Cap Outlay Deprec 26'!K10</f>
        <v>261095</v>
      </c>
      <c r="C2052" s="2" t="s">
        <v>573</v>
      </c>
      <c r="D2052" s="2" t="str">
        <f t="shared" si="31"/>
        <v>Error?</v>
      </c>
    </row>
    <row r="2053" spans="1:4" x14ac:dyDescent="0.2">
      <c r="A2053" s="5">
        <v>1992</v>
      </c>
      <c r="B2053" s="138">
        <f>'Cap Outlay Deprec 26'!K12</f>
        <v>1992693</v>
      </c>
      <c r="C2053" s="2" t="s">
        <v>573</v>
      </c>
      <c r="D2053" s="2" t="str">
        <f t="shared" si="31"/>
        <v>Error?</v>
      </c>
    </row>
    <row r="2054" spans="1:4" x14ac:dyDescent="0.2">
      <c r="A2054" s="5">
        <v>1993</v>
      </c>
      <c r="B2054" s="138">
        <f>'Cap Outlay Deprec 26'!K13</f>
        <v>52657</v>
      </c>
      <c r="C2054" s="2" t="s">
        <v>573</v>
      </c>
      <c r="D2054" s="2" t="str">
        <f t="shared" si="31"/>
        <v>Error?</v>
      </c>
    </row>
    <row r="2055" spans="1:4" x14ac:dyDescent="0.2">
      <c r="A2055" s="5">
        <v>1994</v>
      </c>
      <c r="B2055" s="138">
        <f>'Cap Outlay Deprec 26'!K16</f>
        <v>32607141</v>
      </c>
      <c r="C2055" s="2" t="s">
        <v>573</v>
      </c>
      <c r="D2055" s="2" t="str">
        <f t="shared" si="31"/>
        <v>Error?</v>
      </c>
    </row>
    <row r="2056" spans="1:4" x14ac:dyDescent="0.2">
      <c r="A2056" s="5">
        <v>1995</v>
      </c>
      <c r="B2056" s="138">
        <f>'Cap Outlay Deprec 26'!L5</f>
        <v>967984</v>
      </c>
      <c r="C2056" s="2" t="s">
        <v>573</v>
      </c>
      <c r="D2056" s="2" t="str">
        <f t="shared" si="31"/>
        <v>Error?</v>
      </c>
    </row>
    <row r="2057" spans="1:4" x14ac:dyDescent="0.2">
      <c r="A2057" s="5">
        <v>1996</v>
      </c>
      <c r="B2057" s="138">
        <f>'Cap Outlay Deprec 26'!L8</f>
        <v>21937790</v>
      </c>
      <c r="C2057" s="2" t="s">
        <v>573</v>
      </c>
      <c r="D2057" s="2" t="str">
        <f t="shared" si="31"/>
        <v>Error?</v>
      </c>
    </row>
    <row r="2058" spans="1:4" x14ac:dyDescent="0.2">
      <c r="A2058" s="5">
        <v>1997</v>
      </c>
      <c r="B2058" s="138">
        <f>'Cap Outlay Deprec 26'!L10</f>
        <v>329299</v>
      </c>
      <c r="C2058" s="2" t="s">
        <v>573</v>
      </c>
      <c r="D2058" s="2" t="str">
        <f t="shared" si="31"/>
        <v>Error?</v>
      </c>
    </row>
    <row r="2059" spans="1:4" x14ac:dyDescent="0.2">
      <c r="A2059" s="5">
        <v>1998</v>
      </c>
      <c r="B2059" s="138">
        <f>'Cap Outlay Deprec 26'!L12</f>
        <v>513164</v>
      </c>
      <c r="C2059" s="2" t="s">
        <v>573</v>
      </c>
      <c r="D2059" s="2" t="str">
        <f t="shared" si="31"/>
        <v>Error?</v>
      </c>
    </row>
    <row r="2060" spans="1:4" x14ac:dyDescent="0.2">
      <c r="A2060" s="5">
        <v>1999</v>
      </c>
      <c r="B2060" s="138">
        <f>'Cap Outlay Deprec 26'!L13</f>
        <v>23204</v>
      </c>
      <c r="C2060" s="2" t="s">
        <v>573</v>
      </c>
      <c r="D2060" s="2" t="str">
        <f t="shared" si="31"/>
        <v>Error?</v>
      </c>
    </row>
    <row r="2061" spans="1:4" x14ac:dyDescent="0.2">
      <c r="A2061" s="5">
        <v>2000</v>
      </c>
      <c r="B2061" s="138">
        <f>'Cap Outlay Deprec 26'!L16</f>
        <v>23771441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1406551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1406551</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13076975</v>
      </c>
      <c r="C2551" s="2" t="s">
        <v>573</v>
      </c>
      <c r="D2551" s="2" t="str">
        <f t="shared" si="38"/>
        <v>Error?</v>
      </c>
    </row>
    <row r="2552" spans="1:4" x14ac:dyDescent="0.2">
      <c r="A2552" s="10">
        <v>2491</v>
      </c>
      <c r="D2552" s="2" t="str">
        <f t="shared" si="38"/>
        <v>OK</v>
      </c>
    </row>
    <row r="2553" spans="1:4" x14ac:dyDescent="0.2">
      <c r="A2553" s="5">
        <v>2492</v>
      </c>
      <c r="B2553" s="138">
        <f>'Acct Summary 7-8'!C6</f>
        <v>10890377</v>
      </c>
      <c r="C2553" s="2" t="s">
        <v>573</v>
      </c>
      <c r="D2553" s="2" t="str">
        <f t="shared" si="38"/>
        <v>Error?</v>
      </c>
    </row>
    <row r="2554" spans="1:4" x14ac:dyDescent="0.2">
      <c r="A2554" s="5">
        <v>2493</v>
      </c>
      <c r="B2554" s="138">
        <f>'Acct Summary 7-8'!C7</f>
        <v>1838418</v>
      </c>
      <c r="C2554" s="2" t="s">
        <v>573</v>
      </c>
      <c r="D2554" s="2" t="str">
        <f t="shared" si="38"/>
        <v>Error?</v>
      </c>
    </row>
    <row r="2555" spans="1:4" x14ac:dyDescent="0.2">
      <c r="A2555" s="5">
        <v>2494</v>
      </c>
      <c r="B2555" s="138">
        <f>'Acct Summary 7-8'!C8</f>
        <v>25805770</v>
      </c>
      <c r="C2555" s="2" t="s">
        <v>573</v>
      </c>
      <c r="D2555" s="2" t="str">
        <f t="shared" si="38"/>
        <v>Error?</v>
      </c>
    </row>
    <row r="2556" spans="1:4" x14ac:dyDescent="0.2">
      <c r="A2556" s="5">
        <v>2495</v>
      </c>
      <c r="B2556" s="138">
        <f>'Acct Summary 7-8'!C12</f>
        <v>15888311</v>
      </c>
      <c r="C2556" s="2" t="s">
        <v>573</v>
      </c>
      <c r="D2556" s="2" t="str">
        <f t="shared" si="38"/>
        <v>Error?</v>
      </c>
    </row>
    <row r="2557" spans="1:4" x14ac:dyDescent="0.2">
      <c r="A2557" s="5">
        <v>2496</v>
      </c>
      <c r="B2557" s="138">
        <f>'Acct Summary 7-8'!C13</f>
        <v>5763700</v>
      </c>
      <c r="C2557" s="2" t="s">
        <v>573</v>
      </c>
      <c r="D2557" s="2" t="str">
        <f t="shared" si="38"/>
        <v>Error?</v>
      </c>
    </row>
    <row r="2558" spans="1:4" x14ac:dyDescent="0.2">
      <c r="A2558" s="5">
        <v>2497</v>
      </c>
      <c r="B2558" s="138">
        <f>'Acct Summary 7-8'!C14</f>
        <v>68677</v>
      </c>
      <c r="C2558" s="2" t="s">
        <v>573</v>
      </c>
      <c r="D2558" s="2" t="str">
        <f t="shared" si="38"/>
        <v>Error?</v>
      </c>
    </row>
    <row r="2559" spans="1:4" x14ac:dyDescent="0.2">
      <c r="A2559" s="5">
        <v>2498</v>
      </c>
      <c r="B2559" s="138">
        <f>'Acct Summary 7-8'!C15</f>
        <v>1406551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23127239</v>
      </c>
      <c r="C2561" s="2" t="s">
        <v>573</v>
      </c>
      <c r="D2561" s="2" t="str">
        <f t="shared" si="39"/>
        <v>Error?</v>
      </c>
    </row>
    <row r="2562" spans="1:4" x14ac:dyDescent="0.2">
      <c r="A2562" s="5">
        <v>2501</v>
      </c>
      <c r="B2562" s="138">
        <f>'Acct Summary 7-8'!C20</f>
        <v>2678531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1753554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1753554</v>
      </c>
      <c r="C2568" s="2" t="s">
        <v>573</v>
      </c>
      <c r="D2568" s="2" t="str">
        <f t="shared" si="39"/>
        <v>Error?</v>
      </c>
    </row>
    <row r="2569" spans="1:4" x14ac:dyDescent="0.2">
      <c r="A2569" s="5">
        <v>2508</v>
      </c>
      <c r="B2569" s="138">
        <f>'Acct Summary 7-8'!D13</f>
        <v>1920590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1920590</v>
      </c>
      <c r="C2573" s="2" t="s">
        <v>573</v>
      </c>
      <c r="D2573" s="2" t="str">
        <f t="shared" si="39"/>
        <v>Error?</v>
      </c>
    </row>
    <row r="2574" spans="1:4" x14ac:dyDescent="0.2">
      <c r="A2574" s="5">
        <v>2513</v>
      </c>
      <c r="B2574" s="138">
        <f>'Acct Summary 7-8'!D20</f>
        <v>-167036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1200346</v>
      </c>
      <c r="C2591" s="2" t="s">
        <v>573</v>
      </c>
      <c r="D2591" s="2" t="str">
        <f t="shared" si="39"/>
        <v>Error?</v>
      </c>
    </row>
    <row r="2592" spans="1:4" x14ac:dyDescent="0.2">
      <c r="A2592" s="10">
        <v>2531</v>
      </c>
      <c r="D2592" s="2" t="str">
        <f t="shared" si="39"/>
        <v>OK</v>
      </c>
    </row>
    <row r="2593" spans="1:4" x14ac:dyDescent="0.2">
      <c r="A2593" s="5">
        <v>2532</v>
      </c>
      <c r="B2593" s="138">
        <f>'Acct Summary 7-8'!F6</f>
        <v>1476392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2676738</v>
      </c>
      <c r="C2595" s="2" t="s">
        <v>573</v>
      </c>
      <c r="D2595" s="2" t="str">
        <f t="shared" si="39"/>
        <v>Error?</v>
      </c>
    </row>
    <row r="2596" spans="1:4" x14ac:dyDescent="0.2">
      <c r="A2596" s="5">
        <v>2535</v>
      </c>
      <c r="B2596" s="138">
        <f>'Acct Summary 7-8'!F13</f>
        <v>2241748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2241748</v>
      </c>
      <c r="C2600" s="2" t="s">
        <v>573</v>
      </c>
      <c r="D2600" s="2" t="str">
        <f t="shared" si="39"/>
        <v>Error?</v>
      </c>
    </row>
    <row r="2601" spans="1:4" x14ac:dyDescent="0.2">
      <c r="A2601" s="5">
        <v>2540</v>
      </c>
      <c r="B2601" s="138">
        <f>'Acct Summary 7-8'!F20</f>
        <v>434990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797304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797304</v>
      </c>
      <c r="C2606" s="2" t="s">
        <v>573</v>
      </c>
      <c r="D2606" s="2" t="str">
        <f t="shared" si="39"/>
        <v>Error?</v>
      </c>
    </row>
    <row r="2607" spans="1:4" x14ac:dyDescent="0.2">
      <c r="A2607" s="5">
        <v>2546</v>
      </c>
      <c r="B2607" s="138">
        <f>'Acct Summary 7-8'!G12</f>
        <v>344221</v>
      </c>
      <c r="C2607" s="2" t="s">
        <v>573</v>
      </c>
      <c r="D2607" s="2" t="str">
        <f t="shared" si="39"/>
        <v>Error?</v>
      </c>
    </row>
    <row r="2608" spans="1:4" x14ac:dyDescent="0.2">
      <c r="A2608" s="5">
        <v>2547</v>
      </c>
      <c r="B2608" s="138">
        <f>'Acct Summary 7-8'!G13</f>
        <v>318931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663152</v>
      </c>
      <c r="C2612" s="2" t="s">
        <v>573</v>
      </c>
      <c r="D2612" s="2" t="str">
        <f t="shared" si="39"/>
        <v>Error?</v>
      </c>
    </row>
    <row r="2613" spans="1:4" x14ac:dyDescent="0.2">
      <c r="A2613" s="5">
        <v>2552</v>
      </c>
      <c r="B2613" s="138">
        <f>'Acct Summary 7-8'!G20</f>
        <v>134152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2976323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2976323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3058522</v>
      </c>
      <c r="C2634" s="2" t="s">
        <v>573</v>
      </c>
      <c r="D2634" s="2" t="str">
        <f t="shared" si="40"/>
        <v>Error?</v>
      </c>
    </row>
    <row r="2635" spans="1:4" x14ac:dyDescent="0.2">
      <c r="A2635" s="5">
        <v>2574</v>
      </c>
      <c r="B2635" s="138">
        <f>'Acct Summary 7-8'!E17</f>
        <v>3058522</v>
      </c>
      <c r="C2635" s="2" t="s">
        <v>573</v>
      </c>
      <c r="D2635" s="2" t="str">
        <f t="shared" si="40"/>
        <v>Error?</v>
      </c>
    </row>
    <row r="2636" spans="1:4" x14ac:dyDescent="0.2">
      <c r="A2636" s="5">
        <v>2575</v>
      </c>
      <c r="B2636" s="138">
        <f>'Acct Summary 7-8'!E20</f>
        <v>-82199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151848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94120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151848</v>
      </c>
      <c r="D2912" s="2" t="str">
        <f t="shared" si="44"/>
        <v>Error?</v>
      </c>
    </row>
    <row r="2913" spans="1:4" x14ac:dyDescent="0.2">
      <c r="A2913" s="5">
        <v>2852</v>
      </c>
      <c r="B2913" s="138">
        <f>'Assets-Liab 5-6'!I41</f>
        <v>151848</v>
      </c>
      <c r="C2913" s="2" t="s">
        <v>573</v>
      </c>
      <c r="D2913" s="2" t="str">
        <f t="shared" si="44"/>
        <v>Error?</v>
      </c>
    </row>
    <row r="2914" spans="1:4" x14ac:dyDescent="0.2">
      <c r="A2914" s="5">
        <v>2853</v>
      </c>
      <c r="B2914" s="138">
        <f>'Assets-Liab 5-6'!L33</f>
        <v>94120</v>
      </c>
      <c r="D2914" s="2" t="str">
        <f t="shared" si="44"/>
        <v>Error?</v>
      </c>
    </row>
    <row r="2915" spans="1:4" x14ac:dyDescent="0.2">
      <c r="A2915" s="10">
        <v>2854</v>
      </c>
      <c r="D2915" s="2" t="str">
        <f t="shared" si="44"/>
        <v>OK</v>
      </c>
    </row>
    <row r="2916" spans="1:4" x14ac:dyDescent="0.2">
      <c r="A2916" s="5">
        <v>2855</v>
      </c>
      <c r="B2916" s="138">
        <f>'Assets-Liab 5-6'!L34</f>
        <v>94120</v>
      </c>
      <c r="C2916" s="2" t="s">
        <v>573</v>
      </c>
      <c r="D2916" s="2" t="str">
        <f t="shared" si="44"/>
        <v>Error?</v>
      </c>
    </row>
    <row r="2917" spans="1:4" x14ac:dyDescent="0.2">
      <c r="A2917" s="5">
        <v>2856</v>
      </c>
      <c r="B2917" s="138">
        <f>'Assets-Liab 5-6'!L41</f>
        <v>94120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1406551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1406551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32463</v>
      </c>
      <c r="C3225" s="2" t="s">
        <v>573</v>
      </c>
      <c r="D3225" s="2" t="str">
        <f t="shared" si="49"/>
        <v>Error?</v>
      </c>
    </row>
    <row r="3226" spans="1:4" x14ac:dyDescent="0.2">
      <c r="A3226" s="5">
        <v>3165</v>
      </c>
      <c r="B3226" s="138">
        <f>'Acct Summary 7-8'!I8</f>
        <v>32463</v>
      </c>
      <c r="C3226" s="2" t="s">
        <v>573</v>
      </c>
      <c r="D3226" s="2" t="str">
        <f t="shared" si="49"/>
        <v>Error?</v>
      </c>
    </row>
    <row r="3227" spans="1:4" x14ac:dyDescent="0.2">
      <c r="A3227" s="5">
        <v>3166</v>
      </c>
      <c r="B3227" s="138">
        <f>'Acct Summary 7-8'!I20</f>
        <v>32463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24259</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63522</v>
      </c>
      <c r="C3231" s="2" t="s">
        <v>573</v>
      </c>
      <c r="D3231" s="2" t="str">
        <f t="shared" si="49"/>
        <v>Error?</v>
      </c>
    </row>
    <row r="3232" spans="1:4" x14ac:dyDescent="0.2">
      <c r="A3232" s="5">
        <v>3171</v>
      </c>
      <c r="B3232" s="138">
        <f>'Acct Summary 7-8'!C77</f>
        <v>-39263</v>
      </c>
      <c r="C3232" s="2" t="s">
        <v>573</v>
      </c>
      <c r="D3232" s="2" t="str">
        <f t="shared" si="49"/>
        <v>Error?</v>
      </c>
    </row>
    <row r="3233" spans="1:4" x14ac:dyDescent="0.2">
      <c r="A3233" s="5">
        <v>3172</v>
      </c>
      <c r="B3233" s="138">
        <f>'Acct Summary 7-8'!C78</f>
        <v>2639268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-167036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434990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134152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63522</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63522</v>
      </c>
      <c r="C3277" s="2" t="s">
        <v>573</v>
      </c>
      <c r="D3277" s="2" t="str">
        <f t="shared" si="50"/>
        <v>Error?</v>
      </c>
    </row>
    <row r="3278" spans="1:4" x14ac:dyDescent="0.2">
      <c r="A3278" s="5">
        <v>3217</v>
      </c>
      <c r="B3278" s="138">
        <f>'Acct Summary 7-8'!E78</f>
        <v>-18677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32463</v>
      </c>
      <c r="C3320" s="2" t="s">
        <v>573</v>
      </c>
      <c r="D3320" s="2" t="str">
        <f t="shared" si="50"/>
        <v>Error?</v>
      </c>
    </row>
    <row r="3321" spans="1:4" x14ac:dyDescent="0.2">
      <c r="A3321" s="5">
        <v>3260</v>
      </c>
      <c r="B3321" s="138">
        <f>'Acct Summary 7-8'!I79</f>
        <v>119385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151848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1893661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526649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33811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8254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2462375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218686</v>
      </c>
      <c r="D3387" s="2" t="str">
        <f t="shared" si="51"/>
        <v>Error?</v>
      </c>
    </row>
    <row r="3388" spans="1:4" x14ac:dyDescent="0.2">
      <c r="A3388" s="5">
        <v>3327</v>
      </c>
      <c r="B3388" s="138">
        <f>'Expenditures 15-22'!D217</f>
        <v>115794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218686</v>
      </c>
      <c r="C3390" s="2" t="s">
        <v>573</v>
      </c>
      <c r="D3390" s="2" t="str">
        <f t="shared" si="51"/>
        <v>Error?</v>
      </c>
    </row>
    <row r="3391" spans="1:4" x14ac:dyDescent="0.2">
      <c r="A3391" s="5">
        <v>3330</v>
      </c>
      <c r="B3391" s="138">
        <f>'Expenditures 15-22'!K217</f>
        <v>115794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6169220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2896713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1877798</v>
      </c>
      <c r="D3417" s="2" t="str">
        <f t="shared" si="52"/>
        <v>Error?</v>
      </c>
    </row>
    <row r="3418" spans="1:4" x14ac:dyDescent="0.2">
      <c r="A3418" s="10">
        <v>3357</v>
      </c>
      <c r="D3418" s="2" t="str">
        <f t="shared" si="52"/>
        <v>OK</v>
      </c>
    </row>
    <row r="3419" spans="1:4" x14ac:dyDescent="0.2">
      <c r="A3419" s="5">
        <v>3358</v>
      </c>
      <c r="B3419" s="138">
        <f>'Assets-Liab 5-6'!F4</f>
        <v>4876397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623003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81055</v>
      </c>
      <c r="D3425" s="2" t="str">
        <f t="shared" si="52"/>
        <v>Error?</v>
      </c>
    </row>
    <row r="3426" spans="1:4" x14ac:dyDescent="0.2">
      <c r="A3426" s="10">
        <v>3365</v>
      </c>
      <c r="D3426" s="2" t="str">
        <f t="shared" si="52"/>
        <v>OK</v>
      </c>
    </row>
    <row r="3427" spans="1:4" x14ac:dyDescent="0.2">
      <c r="A3427" s="5">
        <v>3366</v>
      </c>
      <c r="B3427" s="138">
        <f>'Assets-Liab 5-6'!I4</f>
        <v>151848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94120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760900</v>
      </c>
      <c r="C3446" s="2" t="s">
        <v>573</v>
      </c>
      <c r="D3446" s="2" t="str">
        <f t="shared" si="52"/>
        <v>Error?</v>
      </c>
    </row>
    <row r="3447" spans="1:4" x14ac:dyDescent="0.2">
      <c r="A3447" s="5">
        <v>3386</v>
      </c>
      <c r="B3447" s="138">
        <f>'Tax Sched 23'!D16</f>
        <v>373039</v>
      </c>
      <c r="C3447" s="2" t="s">
        <v>573</v>
      </c>
      <c r="D3447" s="2" t="str">
        <f t="shared" si="52"/>
        <v>Error?</v>
      </c>
    </row>
    <row r="3448" spans="1:4" x14ac:dyDescent="0.2">
      <c r="A3448" s="5">
        <v>3387</v>
      </c>
      <c r="B3448" s="138">
        <f>'Tax Sched 23'!C16</f>
        <v>387861</v>
      </c>
      <c r="D3448" s="2" t="str">
        <f t="shared" si="52"/>
        <v>Error?</v>
      </c>
    </row>
    <row r="3449" spans="1:4" x14ac:dyDescent="0.2">
      <c r="A3449" s="5">
        <v>3388</v>
      </c>
      <c r="B3449" s="138">
        <f>'Tax Sched 23'!F16</f>
        <v>395590</v>
      </c>
      <c r="C3449" s="2" t="s">
        <v>573</v>
      </c>
      <c r="D3449" s="2" t="str">
        <f t="shared" si="52"/>
        <v>Error?</v>
      </c>
    </row>
    <row r="3450" spans="1:4" x14ac:dyDescent="0.2">
      <c r="A3450" s="5">
        <v>3389</v>
      </c>
      <c r="B3450" s="138">
        <f>'Tax Sched 23'!E16</f>
        <v>783451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94403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94403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94403</v>
      </c>
      <c r="D3567" s="2" t="str">
        <f t="shared" si="54"/>
        <v>Error?</v>
      </c>
    </row>
    <row r="3568" spans="1:4" x14ac:dyDescent="0.2">
      <c r="A3568" s="5">
        <v>3507</v>
      </c>
      <c r="B3568" s="138">
        <f>'Assets-Liab 5-6'!K41</f>
        <v>94403</v>
      </c>
      <c r="C3568" s="2" t="s">
        <v>573</v>
      </c>
      <c r="D3568" s="2" t="str">
        <f t="shared" si="54"/>
        <v>Error?</v>
      </c>
    </row>
    <row r="3569" spans="1:4" x14ac:dyDescent="0.2">
      <c r="A3569" s="5">
        <v>3508</v>
      </c>
      <c r="B3569" s="138">
        <f>'Acct Summary 7-8'!K4</f>
        <v>32082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32082</v>
      </c>
      <c r="C3571" s="2" t="s">
        <v>573</v>
      </c>
      <c r="D3571" s="2" t="str">
        <f t="shared" si="54"/>
        <v>Error?</v>
      </c>
    </row>
    <row r="3572" spans="1:4" x14ac:dyDescent="0.2">
      <c r="A3572" s="5">
        <v>3511</v>
      </c>
      <c r="B3572" s="138">
        <f>'Acct Summary 7-8'!K13</f>
        <v>48708</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48708</v>
      </c>
      <c r="C3575" s="2" t="s">
        <v>573</v>
      </c>
      <c r="D3575" s="2" t="str">
        <f t="shared" si="54"/>
        <v>Error?</v>
      </c>
    </row>
    <row r="3576" spans="1:4" x14ac:dyDescent="0.2">
      <c r="A3576" s="5">
        <v>3515</v>
      </c>
      <c r="B3576" s="138">
        <f>'Acct Summary 7-8'!K20</f>
        <v>-16626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-16626</v>
      </c>
      <c r="C3588" s="2" t="s">
        <v>573</v>
      </c>
      <c r="D3588" s="2" t="str">
        <f t="shared" si="55"/>
        <v>Error?</v>
      </c>
    </row>
    <row r="3589" spans="1:4" x14ac:dyDescent="0.2">
      <c r="A3589" s="5">
        <v>3528</v>
      </c>
      <c r="B3589" s="138">
        <f>'Acct Summary 7-8'!K79</f>
        <v>111029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94403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45134</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45134</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45134</v>
      </c>
      <c r="C3636" s="2" t="s">
        <v>573</v>
      </c>
      <c r="D3636" s="2" t="str">
        <f t="shared" si="55"/>
        <v>Error?</v>
      </c>
    </row>
    <row r="3637" spans="1:4" x14ac:dyDescent="0.2">
      <c r="A3637" s="10">
        <v>3576</v>
      </c>
      <c r="D3637" s="2" t="str">
        <f t="shared" si="55"/>
        <v>OK</v>
      </c>
    </row>
    <row r="3638" spans="1:4" x14ac:dyDescent="0.2">
      <c r="A3638" s="5">
        <v>3577</v>
      </c>
      <c r="B3638" s="138">
        <f>'Expenditures 15-22'!F348</f>
        <v>3574</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3574</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3574</v>
      </c>
      <c r="C3642" s="2" t="s">
        <v>573</v>
      </c>
      <c r="D3642" s="2" t="str">
        <f t="shared" si="55"/>
        <v>Error?</v>
      </c>
    </row>
    <row r="3643" spans="1:4" x14ac:dyDescent="0.2">
      <c r="A3643" s="5">
        <v>3582</v>
      </c>
      <c r="B3643" s="138">
        <f>'Expenditures 15-22'!F367</f>
        <v>3574</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48708</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48708</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48708</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48708</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-16626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843458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23471</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11564</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11907</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12144</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24051</v>
      </c>
      <c r="D4111" s="2" t="str">
        <f t="shared" si="63"/>
        <v>Error?</v>
      </c>
    </row>
    <row r="4112" spans="1:4" x14ac:dyDescent="0.2">
      <c r="A4112" s="10">
        <v>4051</v>
      </c>
      <c r="D4112" s="2" t="str">
        <f t="shared" si="63"/>
        <v>OK</v>
      </c>
    </row>
    <row r="4113" spans="1:4" x14ac:dyDescent="0.2">
      <c r="A4113" s="5">
        <v>4052</v>
      </c>
      <c r="B4113" s="138">
        <f>'Acct Summary 7-8'!C9</f>
        <v>8306734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34112504</v>
      </c>
      <c r="C4122" s="2" t="s">
        <v>573</v>
      </c>
      <c r="D4122" s="2" t="str">
        <f t="shared" si="63"/>
        <v>Error?</v>
      </c>
    </row>
    <row r="4123" spans="1:4" x14ac:dyDescent="0.2">
      <c r="A4123" s="5">
        <v>4062</v>
      </c>
      <c r="B4123" s="138">
        <f>'Acct Summary 7-8'!D10</f>
        <v>1753554</v>
      </c>
      <c r="C4123" s="2" t="s">
        <v>573</v>
      </c>
      <c r="D4123" s="2" t="str">
        <f t="shared" si="63"/>
        <v>Error?</v>
      </c>
    </row>
    <row r="4124" spans="1:4" x14ac:dyDescent="0.2">
      <c r="A4124" s="5">
        <v>4063</v>
      </c>
      <c r="B4124" s="138">
        <f>'Acct Summary 7-8'!E10</f>
        <v>2976323</v>
      </c>
      <c r="C4124" s="2" t="s">
        <v>573</v>
      </c>
      <c r="D4124" s="2" t="str">
        <f t="shared" si="63"/>
        <v>Error?</v>
      </c>
    </row>
    <row r="4125" spans="1:4" x14ac:dyDescent="0.2">
      <c r="A4125" s="5">
        <v>4064</v>
      </c>
      <c r="B4125" s="138">
        <f>'Acct Summary 7-8'!F10</f>
        <v>2676738</v>
      </c>
      <c r="C4125" s="2" t="s">
        <v>573</v>
      </c>
      <c r="D4125" s="2" t="str">
        <f t="shared" si="63"/>
        <v>Error?</v>
      </c>
    </row>
    <row r="4126" spans="1:4" x14ac:dyDescent="0.2">
      <c r="A4126" s="5">
        <v>4065</v>
      </c>
      <c r="B4126" s="138">
        <f>'Acct Summary 7-8'!G10</f>
        <v>797304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32463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32082</v>
      </c>
      <c r="C4130" s="2" t="s">
        <v>573</v>
      </c>
      <c r="D4130" s="2" t="str">
        <f t="shared" si="63"/>
        <v>Error?</v>
      </c>
    </row>
    <row r="4131" spans="1:4" x14ac:dyDescent="0.2">
      <c r="A4131" s="5">
        <v>4070</v>
      </c>
      <c r="B4131" s="138">
        <f>'Acct Summary 7-8'!C18</f>
        <v>8306734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31433973</v>
      </c>
      <c r="C4136" s="2" t="s">
        <v>573</v>
      </c>
      <c r="D4136" s="2" t="str">
        <f t="shared" si="63"/>
        <v>Error?</v>
      </c>
    </row>
    <row r="4137" spans="1:4" x14ac:dyDescent="0.2">
      <c r="A4137" s="5">
        <v>4076</v>
      </c>
      <c r="B4137" s="138">
        <f>'Acct Summary 7-8'!D19</f>
        <v>1920590</v>
      </c>
      <c r="C4137" s="2" t="s">
        <v>573</v>
      </c>
      <c r="D4137" s="2" t="str">
        <f t="shared" si="63"/>
        <v>Error?</v>
      </c>
    </row>
    <row r="4138" spans="1:4" x14ac:dyDescent="0.2">
      <c r="A4138" s="5">
        <v>4077</v>
      </c>
      <c r="B4138" s="138">
        <f>'Acct Summary 7-8'!E19</f>
        <v>3058522</v>
      </c>
      <c r="C4138" s="2" t="s">
        <v>573</v>
      </c>
      <c r="D4138" s="2" t="str">
        <f t="shared" si="63"/>
        <v>Error?</v>
      </c>
    </row>
    <row r="4139" spans="1:4" x14ac:dyDescent="0.2">
      <c r="A4139" s="5">
        <v>4078</v>
      </c>
      <c r="B4139" s="138">
        <f>'Acct Summary 7-8'!F19</f>
        <v>2241748</v>
      </c>
      <c r="C4139" s="2" t="s">
        <v>573</v>
      </c>
      <c r="D4139" s="2" t="str">
        <f t="shared" si="63"/>
        <v>Error?</v>
      </c>
    </row>
    <row r="4140" spans="1:4" x14ac:dyDescent="0.2">
      <c r="A4140" s="5">
        <v>4079</v>
      </c>
      <c r="B4140" s="138">
        <f>'Acct Summary 7-8'!G19</f>
        <v>663152</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48708</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1572074</v>
      </c>
      <c r="C4171" s="2" t="s">
        <v>573</v>
      </c>
      <c r="D4171" s="2" t="str">
        <f t="shared" si="64"/>
        <v>Error?</v>
      </c>
    </row>
    <row r="4172" spans="1:4" x14ac:dyDescent="0.2">
      <c r="A4172" s="5">
        <v>4111</v>
      </c>
      <c r="B4172" s="138">
        <f>'Short-Term Long-Term Debt 24'!J49</f>
        <v>-305724</v>
      </c>
      <c r="C4172" s="2" t="s">
        <v>573</v>
      </c>
      <c r="D4172" s="2" t="str">
        <f t="shared" si="64"/>
        <v>Error?</v>
      </c>
    </row>
    <row r="4173" spans="1:4" x14ac:dyDescent="0.2">
      <c r="A4173" s="5">
        <v>4112</v>
      </c>
      <c r="B4173" s="138">
        <f>'Short-Term Long-Term Debt 24'!H49</f>
        <v>888428</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3317.4080000000004</v>
      </c>
      <c r="C4265" s="2" t="s">
        <v>573</v>
      </c>
      <c r="D4265" s="2" t="str">
        <f t="shared" si="65"/>
        <v>Error?</v>
      </c>
      <c r="E4265" s="128"/>
    </row>
    <row r="4266" spans="1:5" x14ac:dyDescent="0.2">
      <c r="A4266" s="12">
        <v>4205</v>
      </c>
      <c r="B4266" s="138">
        <f>('FP Info 3'!F10)*100000</f>
        <v>472.4</v>
      </c>
      <c r="C4266" s="2" t="s">
        <v>573</v>
      </c>
      <c r="D4266" s="2" t="str">
        <f t="shared" si="65"/>
        <v>Error?</v>
      </c>
      <c r="E4266" s="128"/>
    </row>
    <row r="4267" spans="1:5" x14ac:dyDescent="0.2">
      <c r="A4267" s="12">
        <v>4206</v>
      </c>
      <c r="B4267" s="138">
        <f>('FP Info 3'!H10)*100000</f>
        <v>339.505</v>
      </c>
      <c r="C4267" s="2" t="s">
        <v>573</v>
      </c>
      <c r="D4267" s="2" t="str">
        <f t="shared" si="65"/>
        <v>Error?</v>
      </c>
      <c r="E4267" s="128"/>
    </row>
    <row r="4268" spans="1:5" x14ac:dyDescent="0.2">
      <c r="A4268" s="12">
        <v>4207</v>
      </c>
      <c r="B4268" s="138">
        <f>('FP Info 3'!J10)*100000</f>
        <v>4129</v>
      </c>
      <c r="C4268" s="2" t="s">
        <v>573</v>
      </c>
      <c r="D4268" s="2" t="str">
        <f t="shared" si="65"/>
        <v>Error?</v>
      </c>
    </row>
    <row r="4269" spans="1:5" x14ac:dyDescent="0.2">
      <c r="A4269" s="12">
        <v>4208</v>
      </c>
      <c r="B4269" s="138">
        <f>'FP Info 3'!J16</f>
        <v>14095396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81417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181142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13769</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49903</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77697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9.4510000000000005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1582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353685003</v>
      </c>
      <c r="D4995" s="2" t="str">
        <f t="shared" si="77"/>
        <v>Error?</v>
      </c>
    </row>
    <row r="4996" spans="1:4" x14ac:dyDescent="0.2">
      <c r="A4996" s="12">
        <v>4935</v>
      </c>
      <c r="B4996" s="138">
        <f>'FP Info 3'!H31</f>
        <v>24404265.207000002</v>
      </c>
      <c r="D4996" s="2" t="str">
        <f t="shared" si="77"/>
        <v>Error?</v>
      </c>
    </row>
    <row r="4997" spans="1:4" x14ac:dyDescent="0.2">
      <c r="A4997" s="12">
        <v>4936</v>
      </c>
      <c r="B4997" s="138">
        <f>'FP Info 3'!H37</f>
        <v>1572074</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11395483</v>
      </c>
      <c r="D5061" s="2" t="str">
        <f t="shared" si="78"/>
        <v>Error?</v>
      </c>
    </row>
    <row r="5062" spans="1:4" x14ac:dyDescent="0.2">
      <c r="A5062" s="10">
        <v>5001</v>
      </c>
      <c r="D5062" s="2" t="str">
        <f t="shared" si="78"/>
        <v>OK</v>
      </c>
    </row>
    <row r="5063" spans="1:4" x14ac:dyDescent="0.2">
      <c r="A5063" s="5">
        <v>5002</v>
      </c>
      <c r="B5063" s="138">
        <f>'Revenues 9-14'!C7</f>
        <v>1226162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12621645</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97617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97617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140532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140532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19688</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97684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97684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68190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27144</v>
      </c>
      <c r="D5119" s="2" t="str">
        <f t="shared" ref="D5119:D5182" si="79">IF(ISBLANK(B5119),"OK",IF(A5119-B5119=0,"OK","Error?"))</f>
        <v>Error?</v>
      </c>
    </row>
    <row r="5120" spans="1:4" x14ac:dyDescent="0.2">
      <c r="A5120" s="5">
        <v>5059</v>
      </c>
      <c r="B5120" s="138">
        <f>'Revenues 9-14'!C108</f>
        <v>99809</v>
      </c>
      <c r="C5120" s="2" t="s">
        <v>573</v>
      </c>
      <c r="D5120" s="2" t="str">
        <f t="shared" si="79"/>
        <v>Error?</v>
      </c>
    </row>
    <row r="5121" spans="1:4" x14ac:dyDescent="0.2">
      <c r="A5121" s="5">
        <v>5060</v>
      </c>
      <c r="B5121" s="138">
        <f>'Revenues 9-14'!C109</f>
        <v>13076975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10642693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10642693</v>
      </c>
      <c r="C5132" s="2" t="s">
        <v>573</v>
      </c>
      <c r="D5132" s="2" t="str">
        <f t="shared" si="79"/>
        <v>Error?</v>
      </c>
    </row>
    <row r="5133" spans="1:4" x14ac:dyDescent="0.2">
      <c r="A5133" s="5">
        <v>5072</v>
      </c>
      <c r="B5133" s="138">
        <f>'Revenues 9-14'!C125</f>
        <v>72175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150933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223108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22994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247684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10890377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643809</v>
      </c>
      <c r="D5239" s="2" t="str">
        <f t="shared" si="80"/>
        <v>Error?</v>
      </c>
    </row>
    <row r="5240" spans="1:4" x14ac:dyDescent="0.2">
      <c r="A5240" s="5">
        <v>5179</v>
      </c>
      <c r="B5240" s="138">
        <f>'Revenues 9-14'!C192</f>
        <v>163</v>
      </c>
      <c r="D5240" s="2" t="str">
        <f t="shared" si="80"/>
        <v>Error?</v>
      </c>
    </row>
    <row r="5241" spans="1:4" x14ac:dyDescent="0.2">
      <c r="A5241" s="5">
        <v>5180</v>
      </c>
      <c r="B5241" s="138">
        <f>'Revenues 9-14'!C193</f>
        <v>290852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934824</v>
      </c>
      <c r="C5246" s="2" t="s">
        <v>573</v>
      </c>
      <c r="D5246" s="2" t="str">
        <f t="shared" si="80"/>
        <v>Error?</v>
      </c>
    </row>
    <row r="5247" spans="1:4" x14ac:dyDescent="0.2">
      <c r="A5247" s="5">
        <v>5186</v>
      </c>
      <c r="B5247" s="138">
        <f>'Revenues 9-14'!C200</f>
        <v>360007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13769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360007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7391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97860</v>
      </c>
      <c r="D5278" s="2" t="str">
        <f t="shared" si="81"/>
        <v>Error?</v>
      </c>
    </row>
    <row r="5279" spans="1:4" x14ac:dyDescent="0.2">
      <c r="A5279" s="5">
        <v>5218</v>
      </c>
      <c r="B5279" s="138">
        <f>'Revenues 9-14'!C214</f>
        <v>34118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139369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290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1838418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1838418</v>
      </c>
      <c r="C5326" s="2" t="s">
        <v>573</v>
      </c>
      <c r="D5326" s="2" t="str">
        <f t="shared" si="82"/>
        <v>Error?</v>
      </c>
    </row>
    <row r="5327" spans="1:5" x14ac:dyDescent="0.2">
      <c r="A5327" s="5">
        <v>5266</v>
      </c>
      <c r="B5327" s="138">
        <f>'Revenues 9-14'!C268</f>
        <v>25805770</v>
      </c>
      <c r="C5327" s="2" t="s">
        <v>573</v>
      </c>
      <c r="D5327" s="2" t="str">
        <f t="shared" si="82"/>
        <v>Error?</v>
      </c>
    </row>
    <row r="5328" spans="1:5" x14ac:dyDescent="0.2">
      <c r="A5328" s="5">
        <v>5267</v>
      </c>
      <c r="B5328" s="138">
        <f>'Revenues 9-14'!D5</f>
        <v>1622985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1622985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21346</v>
      </c>
      <c r="D5349" s="2" t="str">
        <f t="shared" si="82"/>
        <v>Error?</v>
      </c>
    </row>
    <row r="5350" spans="1:4" x14ac:dyDescent="0.2">
      <c r="A5350" s="5">
        <v>5289</v>
      </c>
      <c r="B5350" s="138">
        <f>'Revenues 9-14'!D96</f>
        <v>80334</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28889</v>
      </c>
      <c r="D5354" s="2" t="str">
        <f t="shared" si="82"/>
        <v>Error?</v>
      </c>
    </row>
    <row r="5355" spans="1:4" x14ac:dyDescent="0.2">
      <c r="A5355" s="5">
        <v>5294</v>
      </c>
      <c r="B5355" s="138">
        <f>'Revenues 9-14'!D108</f>
        <v>130569</v>
      </c>
      <c r="C5355" s="2" t="s">
        <v>573</v>
      </c>
      <c r="D5355" s="2" t="str">
        <f t="shared" si="82"/>
        <v>Error?</v>
      </c>
    </row>
    <row r="5356" spans="1:4" x14ac:dyDescent="0.2">
      <c r="A5356" s="5">
        <v>5295</v>
      </c>
      <c r="B5356" s="138">
        <f>'Revenues 9-14'!D109</f>
        <v>1753554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1753554</v>
      </c>
      <c r="C5508" s="2" t="s">
        <v>573</v>
      </c>
      <c r="D5508" s="2" t="str">
        <f t="shared" si="85"/>
        <v>Error?</v>
      </c>
    </row>
    <row r="5509" spans="1:4" x14ac:dyDescent="0.2">
      <c r="A5509" s="5">
        <v>5448</v>
      </c>
      <c r="B5509" s="138">
        <f>'Revenues 9-14'!E5</f>
        <v>2976323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2976323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2976323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2976323</v>
      </c>
      <c r="C5552" s="2" t="s">
        <v>573</v>
      </c>
      <c r="D5552" s="2" t="str">
        <f t="shared" si="85"/>
        <v>Error?</v>
      </c>
    </row>
    <row r="5553" spans="1:4" x14ac:dyDescent="0.2">
      <c r="A5553" s="5">
        <v>5492</v>
      </c>
      <c r="B5553" s="138">
        <f>'Revenues 9-14'!F5</f>
        <v>1166117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1166117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18459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18459</v>
      </c>
      <c r="C5582" s="2" t="s">
        <v>573</v>
      </c>
      <c r="D5582" s="2" t="str">
        <f t="shared" si="86"/>
        <v>Error?</v>
      </c>
    </row>
    <row r="5583" spans="1:4" x14ac:dyDescent="0.2">
      <c r="A5583" s="5">
        <v>5522</v>
      </c>
      <c r="B5583" s="138">
        <f>'Revenues 9-14'!F96</f>
        <v>15770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15770</v>
      </c>
      <c r="C5587" s="2" t="s">
        <v>573</v>
      </c>
      <c r="D5587" s="2" t="str">
        <f t="shared" si="86"/>
        <v>Error?</v>
      </c>
    </row>
    <row r="5588" spans="1:4" x14ac:dyDescent="0.2">
      <c r="A5588" s="5">
        <v>5527</v>
      </c>
      <c r="B5588" s="138">
        <f>'Revenues 9-14'!F109</f>
        <v>1200346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700986</v>
      </c>
      <c r="D5615" s="2" t="str">
        <f t="shared" si="86"/>
        <v>Error?</v>
      </c>
    </row>
    <row r="5616" spans="1:4" x14ac:dyDescent="0.2">
      <c r="A5616" s="10">
        <v>5555</v>
      </c>
      <c r="D5616" s="2" t="str">
        <f t="shared" si="86"/>
        <v>OK</v>
      </c>
    </row>
    <row r="5617" spans="1:5" x14ac:dyDescent="0.2">
      <c r="A5617" s="5">
        <v>5556</v>
      </c>
      <c r="B5617" s="138">
        <f>'Revenues 9-14'!F153</f>
        <v>775406</v>
      </c>
      <c r="D5617" s="2" t="str">
        <f t="shared" si="86"/>
        <v>Error?</v>
      </c>
    </row>
    <row r="5618" spans="1:5" x14ac:dyDescent="0.2">
      <c r="A5618" s="5">
        <v>5557</v>
      </c>
      <c r="B5618" s="138">
        <f>'Revenues 9-14'!F155</f>
        <v>1476392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1476392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1476392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2676738</v>
      </c>
      <c r="C5720" s="2" t="s">
        <v>573</v>
      </c>
      <c r="D5720" s="2" t="str">
        <f t="shared" si="88"/>
        <v>Error?</v>
      </c>
    </row>
    <row r="5721" spans="1:4" x14ac:dyDescent="0.2">
      <c r="A5721" s="5">
        <v>5660</v>
      </c>
      <c r="B5721" s="138">
        <f>'Revenues 9-14'!G5</f>
        <v>11933</v>
      </c>
      <c r="D5721" s="2" t="str">
        <f t="shared" si="88"/>
        <v>Error?</v>
      </c>
    </row>
    <row r="5722" spans="1:4" x14ac:dyDescent="0.2">
      <c r="A5722" s="5">
        <v>5661</v>
      </c>
      <c r="B5722" s="138">
        <f>'Revenues 9-14'!G7</f>
        <v>0</v>
      </c>
      <c r="D5722" s="2" t="str">
        <f t="shared" si="88"/>
        <v>Error?</v>
      </c>
    </row>
    <row r="5723" spans="1:4" x14ac:dyDescent="0.2">
      <c r="A5723" s="5">
        <v>5662</v>
      </c>
      <c r="B5723" s="138">
        <f>'Revenues 9-14'!G8</f>
        <v>760900</v>
      </c>
      <c r="D5723" s="2" t="str">
        <f t="shared" si="88"/>
        <v>Error?</v>
      </c>
    </row>
    <row r="5724" spans="1:4" x14ac:dyDescent="0.2">
      <c r="A5724" s="5">
        <v>5663</v>
      </c>
      <c r="B5724" s="138">
        <f>'Revenues 9-14'!G11</f>
        <v>23471</v>
      </c>
      <c r="D5724" s="2" t="str">
        <f t="shared" si="88"/>
        <v>Error?</v>
      </c>
    </row>
    <row r="5725" spans="1:4" x14ac:dyDescent="0.2">
      <c r="A5725" s="5">
        <v>5664</v>
      </c>
      <c r="B5725" s="138">
        <f>'Revenues 9-14'!G12</f>
        <v>796304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797304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32463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32463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32463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32082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32082</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32082</v>
      </c>
      <c r="C6023" s="2" t="s">
        <v>573</v>
      </c>
      <c r="D6023" s="2" t="str">
        <f t="shared" si="93"/>
        <v>Error?</v>
      </c>
    </row>
    <row r="6024" spans="1:5" x14ac:dyDescent="0.2">
      <c r="A6024" s="5">
        <v>5963</v>
      </c>
      <c r="B6024" s="138">
        <f>'Revenues 9-14'!G109</f>
        <v>797304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32463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32082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19688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98923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1962.4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198826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198826</v>
      </c>
      <c r="D6215" s="2" t="str">
        <f t="shared" si="96"/>
        <v>Error?</v>
      </c>
      <c r="E6215" s="2" t="s">
        <v>190</v>
      </c>
    </row>
    <row r="6216" spans="1:5" x14ac:dyDescent="0.2">
      <c r="A6216">
        <v>6155</v>
      </c>
      <c r="B6216" s="138">
        <f>'Assets-Liab 5-6'!J41</f>
        <v>198826</v>
      </c>
      <c r="D6216" s="2" t="str">
        <f t="shared" si="96"/>
        <v>Error?</v>
      </c>
      <c r="E6216" s="2" t="s">
        <v>190</v>
      </c>
    </row>
    <row r="6217" spans="1:5" x14ac:dyDescent="0.2">
      <c r="A6217">
        <v>6156</v>
      </c>
      <c r="B6217" s="138">
        <f>'Assets-Liab 5-6'!J4</f>
        <v>198826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296247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296247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296247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251408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251408</v>
      </c>
      <c r="D6229" s="2" t="str">
        <f t="shared" si="96"/>
        <v>Error?</v>
      </c>
      <c r="E6229" s="2" t="s">
        <v>190</v>
      </c>
    </row>
    <row r="6230" spans="1:5" x14ac:dyDescent="0.2">
      <c r="A6230">
        <v>6169</v>
      </c>
      <c r="B6230" s="138">
        <f>'Acct Summary 7-8'!J20</f>
        <v>44839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44839</v>
      </c>
      <c r="D6263" s="2" t="str">
        <f t="shared" si="96"/>
        <v>Error?</v>
      </c>
      <c r="E6263" s="2" t="s">
        <v>190</v>
      </c>
    </row>
    <row r="6264" spans="1:5" x14ac:dyDescent="0.2">
      <c r="A6264">
        <v>6203</v>
      </c>
      <c r="B6264" s="138">
        <f>'Acct Summary 7-8'!J79</f>
        <v>153987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198826</v>
      </c>
      <c r="D6266" s="2" t="str">
        <f t="shared" si="96"/>
        <v>Error?</v>
      </c>
      <c r="E6266" s="2" t="s">
        <v>190</v>
      </c>
    </row>
    <row r="6267" spans="1:5" x14ac:dyDescent="0.2">
      <c r="A6267">
        <v>6206</v>
      </c>
      <c r="B6267" s="138">
        <f>'Acct Summary 7-8'!C82</f>
        <v>2639268</v>
      </c>
      <c r="D6267" s="2" t="str">
        <f t="shared" si="96"/>
        <v>Error?</v>
      </c>
      <c r="E6267" s="2" t="s">
        <v>190</v>
      </c>
    </row>
    <row r="6268" spans="1:5" x14ac:dyDescent="0.2">
      <c r="A6268">
        <v>6207</v>
      </c>
      <c r="B6268" s="138">
        <f>'Acct Summary 7-8'!D82</f>
        <v>-167036</v>
      </c>
      <c r="D6268" s="2" t="str">
        <f t="shared" si="96"/>
        <v>Error?</v>
      </c>
      <c r="E6268" s="2" t="s">
        <v>190</v>
      </c>
    </row>
    <row r="6269" spans="1:5" x14ac:dyDescent="0.2">
      <c r="A6269">
        <v>6208</v>
      </c>
      <c r="B6269" s="138">
        <f>'Acct Summary 7-8'!E82</f>
        <v>-18677</v>
      </c>
      <c r="D6269" s="2" t="str">
        <f t="shared" si="96"/>
        <v>Error?</v>
      </c>
      <c r="E6269" s="2" t="s">
        <v>190</v>
      </c>
    </row>
    <row r="6270" spans="1:5" x14ac:dyDescent="0.2">
      <c r="A6270">
        <v>6209</v>
      </c>
      <c r="B6270" s="138">
        <f>'Acct Summary 7-8'!F82</f>
        <v>434990</v>
      </c>
      <c r="D6270" s="2" t="str">
        <f t="shared" si="96"/>
        <v>Error?</v>
      </c>
      <c r="E6270" s="2" t="s">
        <v>190</v>
      </c>
    </row>
    <row r="6271" spans="1:5" x14ac:dyDescent="0.2">
      <c r="A6271">
        <v>6210</v>
      </c>
      <c r="B6271" s="138">
        <f>'Acct Summary 7-8'!G82</f>
        <v>134152</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32463</v>
      </c>
      <c r="D6273" s="2" t="str">
        <f t="shared" si="97"/>
        <v>Error?</v>
      </c>
      <c r="E6273" s="2" t="s">
        <v>190</v>
      </c>
    </row>
    <row r="6274" spans="1:5" x14ac:dyDescent="0.2">
      <c r="A6274">
        <v>6213</v>
      </c>
      <c r="B6274" s="138">
        <f>'Acct Summary 7-8'!J82</f>
        <v>44839</v>
      </c>
      <c r="D6274" s="2" t="str">
        <f t="shared" si="97"/>
        <v>Error?</v>
      </c>
      <c r="E6274" s="2" t="s">
        <v>190</v>
      </c>
    </row>
    <row r="6275" spans="1:5" x14ac:dyDescent="0.2">
      <c r="A6275">
        <v>6214</v>
      </c>
      <c r="B6275" s="138">
        <f>'Acct Summary 7-8'!K82</f>
        <v>-16626</v>
      </c>
      <c r="D6275" s="2" t="str">
        <f t="shared" si="97"/>
        <v>Error?</v>
      </c>
      <c r="E6275" s="2" t="s">
        <v>190</v>
      </c>
    </row>
    <row r="6276" spans="1:5" x14ac:dyDescent="0.2">
      <c r="A6276">
        <v>6215</v>
      </c>
      <c r="B6276" s="138">
        <f>'Acct Summary 7-8'!C83</f>
        <v>0.42772782094237072</v>
      </c>
      <c r="D6276" s="2" t="str">
        <f t="shared" si="97"/>
        <v>Error?</v>
      </c>
      <c r="E6276" s="2" t="s">
        <v>190</v>
      </c>
    </row>
    <row r="6277" spans="1:5" x14ac:dyDescent="0.2">
      <c r="A6277">
        <v>6216</v>
      </c>
      <c r="B6277" s="138">
        <f>'Acct Summary 7-8'!D83</f>
        <v>-5.7663979828170758E-2</v>
      </c>
      <c r="D6277" s="2" t="str">
        <f t="shared" si="97"/>
        <v>Error?</v>
      </c>
      <c r="E6277" s="2" t="s">
        <v>190</v>
      </c>
    </row>
    <row r="6278" spans="1:5" x14ac:dyDescent="0.2">
      <c r="A6278">
        <v>6217</v>
      </c>
      <c r="B6278" s="138">
        <f>'Acct Summary 7-8'!E83</f>
        <v>-9.9462242477625397E-3</v>
      </c>
      <c r="D6278" s="2" t="str">
        <f t="shared" si="97"/>
        <v>Error?</v>
      </c>
      <c r="E6278" s="2" t="s">
        <v>190</v>
      </c>
    </row>
    <row r="6279" spans="1:5" x14ac:dyDescent="0.2">
      <c r="A6279">
        <v>6218</v>
      </c>
      <c r="B6279" s="138">
        <f>'Acct Summary 7-8'!F83</f>
        <v>8.9203155526508607E-2</v>
      </c>
      <c r="D6279" s="2" t="str">
        <f t="shared" si="97"/>
        <v>Error?</v>
      </c>
      <c r="E6279" s="2" t="s">
        <v>190</v>
      </c>
    </row>
    <row r="6280" spans="1:5" x14ac:dyDescent="0.2">
      <c r="A6280">
        <v>6219</v>
      </c>
      <c r="B6280" s="138">
        <f>'Acct Summary 7-8'!G83</f>
        <v>0.21533122633438362</v>
      </c>
      <c r="D6280" s="2" t="str">
        <f t="shared" si="97"/>
        <v>Error?</v>
      </c>
      <c r="E6280" s="2" t="s">
        <v>190</v>
      </c>
    </row>
    <row r="6281" spans="1:5" x14ac:dyDescent="0.2">
      <c r="A6281">
        <v>6220</v>
      </c>
      <c r="B6281" s="138">
        <f>'Acct Summary 7-8'!H83</f>
        <v>0</v>
      </c>
      <c r="D6281" s="2" t="str">
        <f t="shared" si="97"/>
        <v>Error?</v>
      </c>
      <c r="E6281" s="2" t="s">
        <v>190</v>
      </c>
    </row>
    <row r="6282" spans="1:5" x14ac:dyDescent="0.2">
      <c r="A6282">
        <v>6221</v>
      </c>
      <c r="B6282" s="138">
        <f>'Acct Summary 7-8'!I83</f>
        <v>0.21378615457562827</v>
      </c>
      <c r="D6282" s="2" t="str">
        <f t="shared" si="97"/>
        <v>Error?</v>
      </c>
      <c r="E6282" s="2" t="s">
        <v>190</v>
      </c>
    </row>
    <row r="6283" spans="1:5" x14ac:dyDescent="0.2">
      <c r="A6283">
        <v>6222</v>
      </c>
      <c r="B6283" s="138">
        <f>'Acct Summary 7-8'!J83</f>
        <v>0.22551879532857877</v>
      </c>
      <c r="D6283" s="2" t="str">
        <f t="shared" si="97"/>
        <v>Error?</v>
      </c>
      <c r="E6283" s="2" t="s">
        <v>190</v>
      </c>
    </row>
    <row r="6284" spans="1:5" x14ac:dyDescent="0.2">
      <c r="A6284">
        <v>6223</v>
      </c>
      <c r="B6284" s="138">
        <f>'Acct Summary 7-8'!K83</f>
        <v>-0.17611728440833449</v>
      </c>
      <c r="D6284" s="2" t="str">
        <f t="shared" si="97"/>
        <v>Error?</v>
      </c>
      <c r="E6284" s="2" t="s">
        <v>190</v>
      </c>
    </row>
    <row r="6285" spans="1:5" x14ac:dyDescent="0.2">
      <c r="A6285">
        <v>6224</v>
      </c>
      <c r="B6285" s="138">
        <f>'Acct Summary 7-8'!E37</f>
        <v>57675</v>
      </c>
      <c r="D6285" s="2" t="str">
        <f t="shared" si="97"/>
        <v>Error?</v>
      </c>
      <c r="E6285" s="2" t="s">
        <v>190</v>
      </c>
    </row>
    <row r="6286" spans="1:5" x14ac:dyDescent="0.2">
      <c r="A6286">
        <v>6225</v>
      </c>
      <c r="B6286" s="138">
        <f>'Acct Summary 7-8'!E38</f>
        <v>5847</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285934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285934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10313</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4475</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10313</v>
      </c>
      <c r="D6351" s="2" t="str">
        <f t="shared" si="98"/>
        <v>Error?</v>
      </c>
      <c r="E6351" s="2" t="s">
        <v>190</v>
      </c>
    </row>
    <row r="6352" spans="1:5" x14ac:dyDescent="0.2">
      <c r="A6352">
        <v>6291</v>
      </c>
      <c r="B6352" s="138">
        <f>'Revenues 9-14'!J109</f>
        <v>296247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66282</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239685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615394</v>
      </c>
      <c r="D6880" s="2" t="str">
        <f t="shared" si="106"/>
        <v>Error?</v>
      </c>
    </row>
    <row r="6881" spans="1:4" x14ac:dyDescent="0.2">
      <c r="A6881">
        <v>6820</v>
      </c>
      <c r="B6881" s="138">
        <f>'Expenditures 15-22'!K22</f>
        <v>615394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66282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66282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5050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5050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5050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251408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5050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296247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8744</v>
      </c>
      <c r="D7075" s="2" t="str">
        <f t="shared" si="109"/>
        <v>Error?</v>
      </c>
    </row>
    <row r="7076" spans="1:4" x14ac:dyDescent="0.2">
      <c r="A7076">
        <v>7015</v>
      </c>
      <c r="B7076" s="138">
        <f>'Expenditures 15-22'!K218</f>
        <v>8744</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3252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3252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113543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113543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80313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80313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54300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54300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251408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251408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251408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251408</v>
      </c>
      <c r="D7224" s="2" t="str">
        <f t="shared" si="111"/>
        <v>Error?</v>
      </c>
    </row>
    <row r="7225" spans="1:4" x14ac:dyDescent="0.2">
      <c r="A7225">
        <v>7164</v>
      </c>
      <c r="B7225" s="138">
        <f>'Expenditures 15-22'!K343</f>
        <v>44839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191497</v>
      </c>
      <c r="D7251" s="2" t="str">
        <f t="shared" si="112"/>
        <v>Error?</v>
      </c>
    </row>
    <row r="7252" spans="1:4" x14ac:dyDescent="0.2">
      <c r="A7252">
        <f t="shared" si="113"/>
        <v>7191</v>
      </c>
      <c r="B7252" s="138">
        <f>'Expenditures 15-22'!D9</f>
        <v>47908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280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71332</v>
      </c>
      <c r="D7624" s="2" t="str">
        <f t="shared" si="124"/>
        <v>Error?</v>
      </c>
      <c r="E7624" s="2" t="s">
        <v>19</v>
      </c>
    </row>
    <row r="7625" spans="1:5" x14ac:dyDescent="0.2">
      <c r="A7625">
        <f t="shared" si="123"/>
        <v>7564</v>
      </c>
      <c r="B7625" s="138">
        <f>'Cap Outlay Deprec 26'!I17</f>
        <v>7133.2</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886569.2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57675</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5847</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3796000</v>
      </c>
      <c r="D7797" s="2" t="str">
        <f t="shared" si="127"/>
        <v>Error?</v>
      </c>
      <c r="E7797" s="4" t="s">
        <v>1901</v>
      </c>
    </row>
    <row r="7798" spans="1:5" x14ac:dyDescent="0.2">
      <c r="A7798">
        <v>7737</v>
      </c>
      <c r="B7798" s="138">
        <f>'Contracts Paid in CY 29'!F141</f>
        <v>200000</v>
      </c>
      <c r="D7798" s="2" t="str">
        <f t="shared" si="127"/>
        <v>Error?</v>
      </c>
      <c r="E7798" s="4" t="s">
        <v>1901</v>
      </c>
    </row>
    <row r="7799" spans="1:5" x14ac:dyDescent="0.2">
      <c r="A7799">
        <v>7738</v>
      </c>
      <c r="B7799" s="138">
        <f>'Contracts Paid in CY 29'!G141</f>
        <v>3546000</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1986</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Beach Park CCSD 3</v>
      </c>
      <c r="B7" s="2384"/>
      <c r="C7" s="2384"/>
      <c r="D7" s="2421"/>
      <c r="E7" s="2422">
        <f>COVER!A13</f>
        <v>34049003004</v>
      </c>
      <c r="F7" s="2423"/>
      <c r="G7" s="2390" t="str">
        <f>COVER!T23</f>
        <v>060-003973</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Evans, Marshall and Pease, P.C.</v>
      </c>
      <c r="H9" s="2397"/>
      <c r="I9" s="2397"/>
      <c r="J9" s="2397"/>
      <c r="K9" s="2397"/>
      <c r="L9" s="2398"/>
    </row>
    <row r="10" spans="1:29" ht="13.5" customHeight="1" x14ac:dyDescent="0.2">
      <c r="A10" s="2380">
        <f>COVER!A38</f>
        <v>0</v>
      </c>
      <c r="B10" s="2381"/>
      <c r="C10" s="2381"/>
      <c r="D10" s="2381"/>
      <c r="E10" s="2381"/>
      <c r="F10" s="2382"/>
      <c r="G10" s="2396" t="str">
        <f>COVER!T17</f>
        <v>1875 Hicks Road</v>
      </c>
      <c r="H10" s="2409"/>
      <c r="I10" s="2409"/>
      <c r="J10" s="2409"/>
      <c r="K10" s="2409"/>
      <c r="L10" s="2410"/>
    </row>
    <row r="11" spans="1:29" ht="13.5" customHeight="1" x14ac:dyDescent="0.2">
      <c r="A11" s="1184" t="s">
        <v>1519</v>
      </c>
      <c r="B11" s="1185"/>
      <c r="C11" s="1186"/>
      <c r="D11" s="1191"/>
      <c r="E11" s="1186"/>
      <c r="F11" s="1190"/>
      <c r="G11" s="2396" t="str">
        <f>COVER!T19</f>
        <v>Rolling Meadows</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jeff@empcpa.com</v>
      </c>
      <c r="J13" s="2418"/>
      <c r="K13" s="2418"/>
      <c r="L13" s="2419"/>
    </row>
    <row r="14" spans="1:29" ht="13.5" customHeight="1" x14ac:dyDescent="0.2">
      <c r="A14" s="2396" t="str">
        <f>COVER!A19</f>
        <v>11315 W. Wadsworth Road</v>
      </c>
      <c r="B14" s="2409"/>
      <c r="C14" s="2409"/>
      <c r="D14" s="2409"/>
      <c r="E14" s="2409"/>
      <c r="F14" s="2410"/>
      <c r="G14" s="1195" t="s">
        <v>1185</v>
      </c>
      <c r="H14" s="1193"/>
      <c r="I14" s="1193"/>
      <c r="J14" s="1193"/>
      <c r="K14" s="1193"/>
      <c r="L14" s="1194"/>
    </row>
    <row r="15" spans="1:29" ht="13.5" customHeight="1" x14ac:dyDescent="0.2">
      <c r="A15" s="2396" t="str">
        <f>COVER!A21</f>
        <v>Beach Park</v>
      </c>
      <c r="B15" s="2409"/>
      <c r="C15" s="2409"/>
      <c r="D15" s="2409"/>
      <c r="E15" s="2409"/>
      <c r="F15" s="2410"/>
      <c r="G15" s="2406" t="str">
        <f>COVER!T15</f>
        <v>Jeffery M. Rollefson, CPA</v>
      </c>
      <c r="H15" s="2407"/>
      <c r="I15" s="2407"/>
      <c r="J15" s="2407"/>
      <c r="K15" s="2407"/>
      <c r="L15" s="2408"/>
    </row>
    <row r="16" spans="1:29" ht="12.2" customHeight="1" x14ac:dyDescent="0.2">
      <c r="A16" s="2386">
        <f>COVER!A25</f>
        <v>60099</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847-221-5700</v>
      </c>
      <c r="H18" s="2384"/>
      <c r="I18" s="2384"/>
      <c r="J18" s="2384"/>
      <c r="K18" s="2383" t="str">
        <f>COVER!X21</f>
        <v>847-221-5701</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Beach Park CCSD 3</v>
      </c>
      <c r="B1" s="2420"/>
      <c r="C1" s="2420"/>
      <c r="D1" s="2420"/>
    </row>
    <row r="2" spans="1:11" s="1212" customFormat="1" ht="12.75" x14ac:dyDescent="0.2">
      <c r="A2" s="2425">
        <f>'Single Audit Cover'!E7</f>
        <v>34049003004</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6"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Beach Park CCSD 3</v>
      </c>
      <c r="B1" s="2428"/>
      <c r="C1" s="2428"/>
      <c r="D1" s="2428"/>
      <c r="E1" s="2428"/>
    </row>
    <row r="2" spans="1:5" x14ac:dyDescent="0.2">
      <c r="A2" s="2429">
        <f>'Single Audit Cover'!E7</f>
        <v>34049003004</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1838418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98923</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-181142</v>
      </c>
    </row>
    <row r="19" spans="1:4" ht="13.5" thickBot="1" x14ac:dyDescent="0.25">
      <c r="A19" s="1262" t="s">
        <v>1235</v>
      </c>
      <c r="D19" s="1263">
        <f>SUM(D10:D17)</f>
        <v>1756199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1756199</v>
      </c>
    </row>
    <row r="33" spans="1:4" x14ac:dyDescent="0.2">
      <c r="D33" s="1266"/>
    </row>
    <row r="34" spans="1:4" x14ac:dyDescent="0.2">
      <c r="A34" s="317" t="s">
        <v>1232</v>
      </c>
    </row>
    <row r="35" spans="1:4" x14ac:dyDescent="0.2">
      <c r="A35" s="317" t="s">
        <v>1231</v>
      </c>
      <c r="B35" s="1255" t="s">
        <v>1230</v>
      </c>
      <c r="D35" s="1267">
        <v>1756199</v>
      </c>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1756199</v>
      </c>
    </row>
    <row r="49" spans="2:4" x14ac:dyDescent="0.2">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7" zoomScaleNormal="100" workbookViewId="0">
      <selection activeCell="I13" sqref="I1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Beach Park CCSD 3</v>
      </c>
      <c r="C1" s="2432"/>
      <c r="D1" s="2432"/>
      <c r="E1" s="2432"/>
      <c r="F1" s="2432"/>
      <c r="G1" s="2432"/>
      <c r="H1" s="2432"/>
      <c r="I1" s="2432"/>
      <c r="J1" s="2432"/>
      <c r="K1" s="2432"/>
      <c r="L1" s="2432"/>
      <c r="M1" s="2432"/>
    </row>
    <row r="2" spans="2:14" ht="15" x14ac:dyDescent="0.2">
      <c r="B2" s="2433">
        <f>'Single Audit Cover'!E7</f>
        <v>34049003004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2078</v>
      </c>
      <c r="C11" s="1335"/>
      <c r="D11" s="1336"/>
      <c r="E11" s="1337"/>
      <c r="F11" s="1337"/>
      <c r="G11" s="1337"/>
      <c r="H11" s="1337"/>
      <c r="I11" s="1337"/>
      <c r="J11" s="1337"/>
      <c r="K11" s="1337"/>
      <c r="L11" s="1337"/>
      <c r="M11" s="1337"/>
    </row>
    <row r="12" spans="2:14" ht="20.100000000000001" customHeight="1" x14ac:dyDescent="0.2">
      <c r="B12" s="1334" t="s">
        <v>2079</v>
      </c>
      <c r="C12" s="1338"/>
      <c r="D12" s="1339"/>
      <c r="E12" s="1340"/>
      <c r="F12" s="1340"/>
      <c r="G12" s="1340"/>
      <c r="H12" s="1340"/>
      <c r="I12" s="1340"/>
      <c r="J12" s="1340"/>
      <c r="K12" s="1340"/>
      <c r="L12" s="1337"/>
      <c r="M12" s="1340"/>
    </row>
    <row r="13" spans="2:14" ht="20.100000000000001" customHeight="1" x14ac:dyDescent="0.2">
      <c r="B13" s="1334" t="s">
        <v>2097</v>
      </c>
      <c r="C13" s="1338">
        <v>84.01</v>
      </c>
      <c r="D13" s="1339" t="s">
        <v>2080</v>
      </c>
      <c r="E13" s="1340">
        <v>323158</v>
      </c>
      <c r="F13" s="1340">
        <v>41820</v>
      </c>
      <c r="G13" s="1340">
        <v>364978</v>
      </c>
      <c r="H13" s="1340"/>
      <c r="I13" s="1340"/>
      <c r="J13" s="1340"/>
      <c r="K13" s="1340"/>
      <c r="L13" s="1337">
        <f t="shared" ref="L13:L27" si="0">+G13+I13+K13</f>
        <v>364978</v>
      </c>
      <c r="M13" s="1340">
        <v>387908</v>
      </c>
    </row>
    <row r="14" spans="2:14" ht="20.100000000000001" customHeight="1" x14ac:dyDescent="0.2">
      <c r="B14" s="1334" t="s">
        <v>2097</v>
      </c>
      <c r="C14" s="1338">
        <v>84.01</v>
      </c>
      <c r="D14" s="1339" t="s">
        <v>2081</v>
      </c>
      <c r="E14" s="1340"/>
      <c r="F14" s="1340">
        <v>302688</v>
      </c>
      <c r="G14" s="1340"/>
      <c r="H14" s="1340"/>
      <c r="I14" s="1340">
        <v>422272</v>
      </c>
      <c r="J14" s="1340"/>
      <c r="K14" s="1340"/>
      <c r="L14" s="1337" t="s">
        <v>2082</v>
      </c>
      <c r="M14" s="1340">
        <v>462617</v>
      </c>
    </row>
    <row r="15" spans="2:14" ht="20.100000000000001" customHeight="1" x14ac:dyDescent="0.2">
      <c r="B15" s="1334" t="s">
        <v>2083</v>
      </c>
      <c r="C15" s="1338">
        <v>84.01</v>
      </c>
      <c r="D15" s="1339" t="s">
        <v>2084</v>
      </c>
      <c r="E15" s="1340"/>
      <c r="F15" s="1340">
        <v>15499</v>
      </c>
      <c r="G15" s="1340"/>
      <c r="H15" s="1340"/>
      <c r="I15" s="1340">
        <v>80334</v>
      </c>
      <c r="J15" s="1340"/>
      <c r="K15" s="1340"/>
      <c r="L15" s="1337" t="s">
        <v>2082</v>
      </c>
      <c r="M15" s="1340">
        <v>105661</v>
      </c>
    </row>
    <row r="16" spans="2:14" ht="20.100000000000001" customHeight="1" x14ac:dyDescent="0.2">
      <c r="B16" s="1334" t="s">
        <v>2085</v>
      </c>
      <c r="C16" s="1338">
        <v>84.367000000000004</v>
      </c>
      <c r="D16" s="1339" t="s">
        <v>2086</v>
      </c>
      <c r="E16" s="1340">
        <v>47232</v>
      </c>
      <c r="F16" s="1340">
        <v>16866</v>
      </c>
      <c r="G16" s="1340">
        <v>64098</v>
      </c>
      <c r="H16" s="1340"/>
      <c r="I16" s="1340"/>
      <c r="J16" s="1340"/>
      <c r="K16" s="1340"/>
      <c r="L16" s="1337">
        <f t="shared" si="0"/>
        <v>64098</v>
      </c>
      <c r="M16" s="1340">
        <v>81166</v>
      </c>
    </row>
    <row r="17" spans="2:14" ht="20.100000000000001" customHeight="1" x14ac:dyDescent="0.2">
      <c r="B17" s="1334" t="s">
        <v>2085</v>
      </c>
      <c r="C17" s="1338">
        <v>84.367000000000004</v>
      </c>
      <c r="D17" s="1339" t="s">
        <v>2087</v>
      </c>
      <c r="E17" s="1340"/>
      <c r="F17" s="1340">
        <v>60831</v>
      </c>
      <c r="G17" s="1340"/>
      <c r="H17" s="1340"/>
      <c r="I17" s="1340">
        <v>91524</v>
      </c>
      <c r="J17" s="1340"/>
      <c r="K17" s="1340"/>
      <c r="L17" s="1337">
        <f t="shared" si="0"/>
        <v>91524</v>
      </c>
      <c r="M17" s="1340">
        <v>95838</v>
      </c>
    </row>
    <row r="18" spans="2:14" ht="20.100000000000001" customHeight="1" x14ac:dyDescent="0.2">
      <c r="B18" s="1334" t="s">
        <v>2088</v>
      </c>
      <c r="C18" s="1338">
        <v>84.364999999999995</v>
      </c>
      <c r="D18" s="1339" t="s">
        <v>2089</v>
      </c>
      <c r="E18" s="1340">
        <v>1618</v>
      </c>
      <c r="F18" s="1340">
        <v>67</v>
      </c>
      <c r="G18" s="1340">
        <v>1685</v>
      </c>
      <c r="H18" s="1340"/>
      <c r="I18" s="1340"/>
      <c r="J18" s="1340"/>
      <c r="K18" s="1340"/>
      <c r="L18" s="1337">
        <f t="shared" si="0"/>
        <v>1685</v>
      </c>
      <c r="M18" s="1340">
        <v>1908</v>
      </c>
    </row>
    <row r="19" spans="2:14" ht="20.100000000000001" customHeight="1" x14ac:dyDescent="0.2">
      <c r="B19" s="1334" t="s">
        <v>2088</v>
      </c>
      <c r="C19" s="1338">
        <v>84.364999999999995</v>
      </c>
      <c r="D19" s="1339" t="s">
        <v>2090</v>
      </c>
      <c r="E19" s="1340"/>
      <c r="F19" s="1340">
        <v>223</v>
      </c>
      <c r="G19" s="1340"/>
      <c r="H19" s="1340"/>
      <c r="I19" s="1340">
        <v>223</v>
      </c>
      <c r="J19" s="1340"/>
      <c r="K19" s="1340"/>
      <c r="L19" s="1337" t="s">
        <v>2082</v>
      </c>
      <c r="M19" s="1340">
        <v>223</v>
      </c>
    </row>
    <row r="20" spans="2:14" ht="20.100000000000001" customHeight="1" x14ac:dyDescent="0.2">
      <c r="B20" s="1334" t="s">
        <v>2091</v>
      </c>
      <c r="C20" s="1338">
        <v>84.364999999999995</v>
      </c>
      <c r="D20" s="1339" t="s">
        <v>2092</v>
      </c>
      <c r="E20" s="1340">
        <f>22180-2193</f>
        <v>19987</v>
      </c>
      <c r="F20" s="1340"/>
      <c r="G20" s="1340">
        <v>19987</v>
      </c>
      <c r="H20" s="1340"/>
      <c r="I20" s="1340"/>
      <c r="J20" s="1340"/>
      <c r="K20" s="1340"/>
      <c r="L20" s="1337">
        <f t="shared" si="0"/>
        <v>19987</v>
      </c>
      <c r="M20" s="1340">
        <v>41502</v>
      </c>
    </row>
    <row r="21" spans="2:14" ht="20.100000000000001" customHeight="1" x14ac:dyDescent="0.2">
      <c r="B21" s="1334" t="s">
        <v>2091</v>
      </c>
      <c r="C21" s="1338">
        <v>84.364999999999995</v>
      </c>
      <c r="D21" s="1339" t="s">
        <v>2093</v>
      </c>
      <c r="E21" s="1340">
        <v>2193</v>
      </c>
      <c r="F21" s="1340">
        <v>49903</v>
      </c>
      <c r="G21" s="1340"/>
      <c r="H21" s="1340"/>
      <c r="I21" s="1340">
        <v>57595</v>
      </c>
      <c r="J21" s="1340"/>
      <c r="K21" s="1340"/>
      <c r="L21" s="1337" t="s">
        <v>2101</v>
      </c>
      <c r="M21" s="1340">
        <v>65115</v>
      </c>
    </row>
    <row r="22" spans="2:14" ht="20.100000000000001" customHeight="1" x14ac:dyDescent="0.2">
      <c r="B22" s="1334" t="s">
        <v>2094</v>
      </c>
      <c r="C22" s="1338">
        <v>84.027000000000001</v>
      </c>
      <c r="D22" s="1339" t="s">
        <v>2095</v>
      </c>
      <c r="E22" s="1340"/>
      <c r="F22" s="1340">
        <v>34118</v>
      </c>
      <c r="G22" s="1340"/>
      <c r="H22" s="1340"/>
      <c r="I22" s="1340">
        <v>34118</v>
      </c>
      <c r="J22" s="1340"/>
      <c r="K22" s="1340"/>
      <c r="L22" s="1337">
        <f t="shared" si="0"/>
        <v>34118</v>
      </c>
      <c r="M22" s="1340" t="s">
        <v>2096</v>
      </c>
    </row>
    <row r="23" spans="2:14" ht="20.100000000000001" customHeight="1" x14ac:dyDescent="0.2">
      <c r="B23" s="1334" t="s">
        <v>2098</v>
      </c>
      <c r="C23" s="1338">
        <v>84.424000000000007</v>
      </c>
      <c r="D23" s="1339" t="s">
        <v>2099</v>
      </c>
      <c r="E23" s="1340">
        <v>15072</v>
      </c>
      <c r="F23" s="1340"/>
      <c r="G23" s="1340">
        <v>15072</v>
      </c>
      <c r="H23" s="1340"/>
      <c r="I23" s="1340"/>
      <c r="J23" s="1340"/>
      <c r="K23" s="1340"/>
      <c r="L23" s="1337">
        <f t="shared" si="0"/>
        <v>15072</v>
      </c>
      <c r="M23" s="1340">
        <v>15877</v>
      </c>
    </row>
    <row r="24" spans="2:14" ht="20.100000000000001" customHeight="1" x14ac:dyDescent="0.2">
      <c r="B24" s="1334" t="s">
        <v>2098</v>
      </c>
      <c r="C24" s="1338">
        <v>84.424000000000007</v>
      </c>
      <c r="D24" s="1339" t="s">
        <v>2100</v>
      </c>
      <c r="E24" s="1340"/>
      <c r="F24" s="1340">
        <v>13769</v>
      </c>
      <c r="G24" s="1340"/>
      <c r="H24" s="1340"/>
      <c r="I24" s="1340">
        <v>27840</v>
      </c>
      <c r="J24" s="1340"/>
      <c r="K24" s="1340"/>
      <c r="L24" s="1337">
        <f t="shared" si="0"/>
        <v>27840</v>
      </c>
      <c r="M24" s="1340">
        <v>28483</v>
      </c>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t="s">
        <v>2102</v>
      </c>
      <c r="C26" s="1338"/>
      <c r="D26" s="1339"/>
      <c r="E26" s="1340"/>
      <c r="F26" s="1340"/>
      <c r="G26" s="1340"/>
      <c r="H26" s="1340"/>
      <c r="I26" s="1340"/>
      <c r="J26" s="1340"/>
      <c r="K26" s="1340"/>
      <c r="L26" s="1337">
        <f t="shared" si="0"/>
        <v>0</v>
      </c>
      <c r="M26" s="1340"/>
    </row>
    <row r="27" spans="2:14" ht="20.100000000000001" customHeight="1" x14ac:dyDescent="0.2">
      <c r="B27" s="1334" t="s">
        <v>2103</v>
      </c>
      <c r="C27" s="1338">
        <v>84.173000000000002</v>
      </c>
      <c r="D27" s="1339" t="s">
        <v>2104</v>
      </c>
      <c r="E27" s="1340">
        <v>17245</v>
      </c>
      <c r="F27" s="1340"/>
      <c r="G27" s="1340">
        <v>17245</v>
      </c>
      <c r="H27" s="1340"/>
      <c r="I27" s="1340"/>
      <c r="J27" s="1340"/>
      <c r="K27" s="1340"/>
      <c r="L27" s="1337">
        <f t="shared" si="0"/>
        <v>17245</v>
      </c>
      <c r="M27" s="1340" t="s">
        <v>2096</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A2C4A-69F8-4BA3-B6A7-611BEA06C3E1}">
  <dimension ref="B1:N152"/>
  <sheetViews>
    <sheetView showGridLines="0" topLeftCell="A7" zoomScaleNormal="100" workbookViewId="0">
      <selection activeCell="I23" sqref="I23:I2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Beach Park CCSD 3</v>
      </c>
      <c r="C1" s="2432"/>
      <c r="D1" s="2432"/>
      <c r="E1" s="2432"/>
      <c r="F1" s="2432"/>
      <c r="G1" s="2432"/>
      <c r="H1" s="2432"/>
      <c r="I1" s="2432"/>
      <c r="J1" s="2432"/>
      <c r="K1" s="2432"/>
      <c r="L1" s="2432"/>
      <c r="M1" s="2432"/>
    </row>
    <row r="2" spans="2:14" ht="15" x14ac:dyDescent="0.2">
      <c r="B2" s="2433">
        <f>'Single Audit Cover'!E7</f>
        <v>34049003004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2103</v>
      </c>
      <c r="C11" s="1335">
        <v>84.173000000000002</v>
      </c>
      <c r="D11" s="1336" t="s">
        <v>2105</v>
      </c>
      <c r="E11" s="1337"/>
      <c r="F11" s="1337">
        <v>7391</v>
      </c>
      <c r="G11" s="1337"/>
      <c r="H11" s="1337"/>
      <c r="I11" s="1337">
        <v>21602</v>
      </c>
      <c r="J11" s="1337"/>
      <c r="K11" s="1337"/>
      <c r="L11" s="1337">
        <f>+G11+I11+K11</f>
        <v>21602</v>
      </c>
      <c r="M11" s="1337" t="s">
        <v>2096</v>
      </c>
    </row>
    <row r="12" spans="2:14" ht="20.100000000000001" customHeight="1" x14ac:dyDescent="0.2">
      <c r="B12" s="1334" t="s">
        <v>2106</v>
      </c>
      <c r="C12" s="1338">
        <v>84.027000000000001</v>
      </c>
      <c r="D12" s="1339" t="s">
        <v>2107</v>
      </c>
      <c r="E12" s="1340">
        <v>318203</v>
      </c>
      <c r="F12" s="1340"/>
      <c r="G12" s="1340">
        <v>318203</v>
      </c>
      <c r="H12" s="1340"/>
      <c r="I12" s="1340"/>
      <c r="J12" s="1340"/>
      <c r="K12" s="1340"/>
      <c r="L12" s="1337">
        <f t="shared" ref="L12:L25" si="0">+G12+I12+K12</f>
        <v>318203</v>
      </c>
      <c r="M12" s="1340" t="s">
        <v>2096</v>
      </c>
    </row>
    <row r="13" spans="2:14" ht="20.100000000000001" customHeight="1" x14ac:dyDescent="0.2">
      <c r="B13" s="1334" t="s">
        <v>2106</v>
      </c>
      <c r="C13" s="1338">
        <v>84.027000000000001</v>
      </c>
      <c r="D13" s="1339" t="s">
        <v>2108</v>
      </c>
      <c r="E13" s="1340"/>
      <c r="F13" s="1340">
        <v>97860</v>
      </c>
      <c r="G13" s="1340"/>
      <c r="H13" s="1340"/>
      <c r="I13" s="1340">
        <v>340506</v>
      </c>
      <c r="J13" s="1340"/>
      <c r="K13" s="1340"/>
      <c r="L13" s="1337">
        <f t="shared" si="0"/>
        <v>340506</v>
      </c>
      <c r="M13" s="1340" t="s">
        <v>2096</v>
      </c>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334" t="s">
        <v>2109</v>
      </c>
      <c r="C15" s="1338"/>
      <c r="D15" s="1339"/>
      <c r="E15" s="1340"/>
      <c r="F15" s="1340">
        <v>641035</v>
      </c>
      <c r="G15" s="1340"/>
      <c r="H15" s="1340"/>
      <c r="I15" s="1340">
        <v>1076014</v>
      </c>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t="s">
        <v>2110</v>
      </c>
      <c r="C17" s="1338"/>
      <c r="D17" s="1339"/>
      <c r="E17" s="1340"/>
      <c r="F17" s="1340"/>
      <c r="G17" s="1340"/>
      <c r="H17" s="1340"/>
      <c r="I17" s="1340"/>
      <c r="J17" s="1340"/>
      <c r="K17" s="1340"/>
      <c r="L17" s="1337"/>
      <c r="M17" s="1340"/>
    </row>
    <row r="18" spans="2:14" ht="20.100000000000001" customHeight="1" x14ac:dyDescent="0.2">
      <c r="B18" s="1334" t="s">
        <v>2079</v>
      </c>
      <c r="C18" s="1338"/>
      <c r="D18" s="1339"/>
      <c r="E18" s="1340"/>
      <c r="F18" s="1340"/>
      <c r="G18" s="1340"/>
      <c r="H18" s="1340"/>
      <c r="I18" s="1340"/>
      <c r="J18" s="1340"/>
      <c r="K18" s="1340"/>
      <c r="L18" s="1337"/>
      <c r="M18" s="1340"/>
    </row>
    <row r="19" spans="2:14" ht="20.100000000000001" customHeight="1" x14ac:dyDescent="0.2">
      <c r="B19" s="1334" t="s">
        <v>2112</v>
      </c>
      <c r="C19" s="1338">
        <v>10.555</v>
      </c>
      <c r="D19" s="1339" t="s">
        <v>2113</v>
      </c>
      <c r="E19" s="1340">
        <v>653754</v>
      </c>
      <c r="F19" s="1340">
        <v>112268</v>
      </c>
      <c r="G19" s="1340">
        <v>653754</v>
      </c>
      <c r="H19" s="1340"/>
      <c r="I19" s="1340">
        <v>112268</v>
      </c>
      <c r="J19" s="1340"/>
      <c r="K19" s="1340"/>
      <c r="L19" s="1337">
        <f t="shared" si="0"/>
        <v>766022</v>
      </c>
      <c r="M19" s="1340" t="s">
        <v>2096</v>
      </c>
    </row>
    <row r="20" spans="2:14" ht="20.100000000000001" customHeight="1" x14ac:dyDescent="0.2">
      <c r="B20" s="1334" t="s">
        <v>2112</v>
      </c>
      <c r="C20" s="1338">
        <v>10.555</v>
      </c>
      <c r="D20" s="1339" t="s">
        <v>2114</v>
      </c>
      <c r="E20" s="1340"/>
      <c r="F20" s="1340">
        <v>531622</v>
      </c>
      <c r="G20" s="1340"/>
      <c r="H20" s="1340"/>
      <c r="I20" s="1340">
        <v>531622</v>
      </c>
      <c r="J20" s="1340"/>
      <c r="K20" s="1340"/>
      <c r="L20" s="1337" t="s">
        <v>2101</v>
      </c>
      <c r="M20" s="1340" t="s">
        <v>2096</v>
      </c>
    </row>
    <row r="21" spans="2:14" ht="20.100000000000001" customHeight="1" x14ac:dyDescent="0.2">
      <c r="B21" s="1334" t="s">
        <v>2116</v>
      </c>
      <c r="C21" s="1338">
        <v>10.555999999999999</v>
      </c>
      <c r="D21" s="1339" t="s">
        <v>2117</v>
      </c>
      <c r="E21" s="1340">
        <v>134</v>
      </c>
      <c r="F21" s="1340">
        <v>15</v>
      </c>
      <c r="G21" s="1340">
        <v>134</v>
      </c>
      <c r="H21" s="1340"/>
      <c r="I21" s="1340">
        <v>15</v>
      </c>
      <c r="J21" s="1340"/>
      <c r="K21" s="1340"/>
      <c r="L21" s="1337">
        <f t="shared" si="0"/>
        <v>149</v>
      </c>
      <c r="M21" s="1340" t="s">
        <v>2096</v>
      </c>
    </row>
    <row r="22" spans="2:14" ht="20.100000000000001" customHeight="1" x14ac:dyDescent="0.2">
      <c r="B22" s="1334" t="s">
        <v>2116</v>
      </c>
      <c r="C22" s="1338">
        <v>10.555999999999999</v>
      </c>
      <c r="D22" s="1339" t="s">
        <v>2118</v>
      </c>
      <c r="E22" s="1340"/>
      <c r="F22" s="1340">
        <v>67</v>
      </c>
      <c r="G22" s="1340"/>
      <c r="H22" s="1340"/>
      <c r="I22" s="1340">
        <v>67</v>
      </c>
      <c r="J22" s="1340"/>
      <c r="K22" s="1340"/>
      <c r="L22" s="1337" t="s">
        <v>2101</v>
      </c>
      <c r="M22" s="1340" t="s">
        <v>2096</v>
      </c>
    </row>
    <row r="23" spans="2:14" ht="20.100000000000001" customHeight="1" x14ac:dyDescent="0.2">
      <c r="B23" s="1334" t="s">
        <v>2120</v>
      </c>
      <c r="C23" s="1338">
        <v>10.553000000000001</v>
      </c>
      <c r="D23" s="1339" t="s">
        <v>2121</v>
      </c>
      <c r="E23" s="1340">
        <v>308208</v>
      </c>
      <c r="F23" s="1340">
        <v>53183</v>
      </c>
      <c r="G23" s="1340">
        <v>308208</v>
      </c>
      <c r="H23" s="1340"/>
      <c r="I23" s="1340">
        <v>53183</v>
      </c>
      <c r="J23" s="1340"/>
      <c r="K23" s="1340"/>
      <c r="L23" s="1337">
        <f t="shared" si="0"/>
        <v>361391</v>
      </c>
      <c r="M23" s="1340" t="s">
        <v>2096</v>
      </c>
    </row>
    <row r="24" spans="2:14" ht="20.100000000000001" customHeight="1" x14ac:dyDescent="0.2">
      <c r="B24" s="1334" t="s">
        <v>2120</v>
      </c>
      <c r="C24" s="1338">
        <v>10.553000000000001</v>
      </c>
      <c r="D24" s="1339" t="s">
        <v>2122</v>
      </c>
      <c r="E24" s="1340"/>
      <c r="F24" s="1340">
        <v>237669</v>
      </c>
      <c r="G24" s="1340"/>
      <c r="H24" s="1340"/>
      <c r="I24" s="1340">
        <v>237669</v>
      </c>
      <c r="J24" s="1340"/>
      <c r="K24" s="1340"/>
      <c r="L24" s="1337" t="s">
        <v>2101</v>
      </c>
      <c r="M24" s="1340" t="s">
        <v>2096</v>
      </c>
    </row>
    <row r="25" spans="2:14" ht="20.100000000000001" customHeight="1" x14ac:dyDescent="0.2">
      <c r="B25" s="1334" t="s">
        <v>2124</v>
      </c>
      <c r="C25" s="1338">
        <v>10.555</v>
      </c>
      <c r="D25" s="1339" t="s">
        <v>2125</v>
      </c>
      <c r="E25" s="1340"/>
      <c r="F25" s="1340">
        <v>98923</v>
      </c>
      <c r="G25" s="1340"/>
      <c r="H25" s="1340"/>
      <c r="I25" s="1340">
        <v>98923</v>
      </c>
      <c r="J25" s="1340"/>
      <c r="K25" s="1340"/>
      <c r="L25" s="1337">
        <f t="shared" si="0"/>
        <v>98923</v>
      </c>
      <c r="M25" s="1340" t="s">
        <v>2096</v>
      </c>
    </row>
    <row r="26" spans="2:14" ht="20.100000000000001" customHeight="1" x14ac:dyDescent="0.2">
      <c r="B26" s="1334" t="s">
        <v>2123</v>
      </c>
      <c r="C26" s="1338"/>
      <c r="D26" s="1339"/>
      <c r="E26" s="1340"/>
      <c r="F26" s="1340"/>
      <c r="G26" s="1340"/>
      <c r="H26" s="1340"/>
      <c r="I26" s="1340"/>
      <c r="J26" s="1340"/>
      <c r="K26" s="1340"/>
      <c r="L26" s="1337"/>
      <c r="M26" s="1340"/>
    </row>
    <row r="27" spans="2:14" ht="20.100000000000001" customHeight="1" x14ac:dyDescent="0.2">
      <c r="B27" s="1334" t="s">
        <v>2126</v>
      </c>
      <c r="C27" s="1338"/>
      <c r="D27" s="1339"/>
      <c r="E27" s="1340"/>
      <c r="F27" s="1340">
        <v>1033747</v>
      </c>
      <c r="G27" s="1340"/>
      <c r="H27" s="1340"/>
      <c r="I27" s="1340">
        <v>1033747</v>
      </c>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B6" sqref="B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2061</v>
      </c>
      <c r="C53" s="179">
        <v>22</v>
      </c>
      <c r="D53" s="247" t="s">
        <v>1462</v>
      </c>
      <c r="E53" s="248"/>
      <c r="F53" s="249"/>
      <c r="G53" s="249" t="s">
        <v>1461</v>
      </c>
      <c r="H53" s="250">
        <v>33512</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2065</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93BB5-95AE-49AF-8A92-D73C11C40A40}">
  <dimension ref="B1:N152"/>
  <sheetViews>
    <sheetView showGridLines="0" topLeftCell="A7" zoomScaleNormal="100" workbookViewId="0">
      <selection activeCell="J24" sqref="J2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Beach Park CCSD 3</v>
      </c>
      <c r="C1" s="2432"/>
      <c r="D1" s="2432"/>
      <c r="E1" s="2432"/>
      <c r="F1" s="2432"/>
      <c r="G1" s="2432"/>
      <c r="H1" s="2432"/>
      <c r="I1" s="2432"/>
      <c r="J1" s="2432"/>
      <c r="K1" s="2432"/>
      <c r="L1" s="2432"/>
      <c r="M1" s="2432"/>
    </row>
    <row r="2" spans="2:14" ht="15" x14ac:dyDescent="0.2">
      <c r="B2" s="2433">
        <f>'Single Audit Cover'!E7</f>
        <v>34049003004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2127</v>
      </c>
      <c r="C11" s="1335"/>
      <c r="D11" s="1336"/>
      <c r="E11" s="1337"/>
      <c r="F11" s="1337"/>
      <c r="G11" s="1337"/>
      <c r="H11" s="1337"/>
      <c r="I11" s="1337"/>
      <c r="J11" s="1337"/>
      <c r="K11" s="1337"/>
      <c r="L11" s="1337"/>
      <c r="M11" s="1337"/>
    </row>
    <row r="12" spans="2:14" ht="20.100000000000001" customHeight="1" x14ac:dyDescent="0.2">
      <c r="B12" s="1334" t="s">
        <v>2128</v>
      </c>
      <c r="C12" s="1338"/>
      <c r="D12" s="1339"/>
      <c r="E12" s="1340"/>
      <c r="F12" s="1340"/>
      <c r="G12" s="1340"/>
      <c r="H12" s="1340"/>
      <c r="I12" s="1340"/>
      <c r="J12" s="1340"/>
      <c r="K12" s="1340"/>
      <c r="L12" s="1337"/>
      <c r="M12" s="1340"/>
    </row>
    <row r="13" spans="2:14" ht="20.100000000000001" customHeight="1" x14ac:dyDescent="0.2">
      <c r="B13" s="1334" t="s">
        <v>2129</v>
      </c>
      <c r="C13" s="1338">
        <v>93.778000000000006</v>
      </c>
      <c r="D13" s="1339" t="s">
        <v>2130</v>
      </c>
      <c r="E13" s="1340"/>
      <c r="F13" s="1340">
        <v>81417</v>
      </c>
      <c r="G13" s="1340"/>
      <c r="H13" s="1340"/>
      <c r="I13" s="1340">
        <v>81417</v>
      </c>
      <c r="J13" s="1340"/>
      <c r="K13" s="1340"/>
      <c r="L13" s="1337">
        <f t="shared" ref="L13:L17" si="0">+G13+I13+K13</f>
        <v>81417</v>
      </c>
      <c r="M13" s="1340" t="s">
        <v>2096</v>
      </c>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334" t="s">
        <v>2131</v>
      </c>
      <c r="C15" s="1338"/>
      <c r="D15" s="1339"/>
      <c r="E15" s="1340"/>
      <c r="F15" s="1340">
        <v>81417</v>
      </c>
      <c r="G15" s="1340"/>
      <c r="H15" s="1340"/>
      <c r="I15" s="1340">
        <v>81417</v>
      </c>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t="s">
        <v>2132</v>
      </c>
      <c r="C17" s="1338"/>
      <c r="D17" s="1339"/>
      <c r="E17" s="1340"/>
      <c r="F17" s="1340">
        <v>1756199</v>
      </c>
      <c r="G17" s="1340"/>
      <c r="H17" s="1340"/>
      <c r="I17" s="1340">
        <v>2191178</v>
      </c>
      <c r="J17" s="1340"/>
      <c r="K17" s="1340"/>
      <c r="L17" s="1337">
        <f t="shared" si="0"/>
        <v>2191178</v>
      </c>
      <c r="M17" s="1340"/>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0"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Beach Park CCSD 3</v>
      </c>
      <c r="B1" s="2437"/>
      <c r="C1" s="2437"/>
      <c r="D1" s="2437"/>
      <c r="E1" s="2437"/>
      <c r="F1" s="2437"/>
    </row>
    <row r="2" spans="1:7" ht="13.5" customHeight="1" x14ac:dyDescent="0.2">
      <c r="A2" s="2433">
        <f>'Single Audit Cover'!E7</f>
        <v>34049003004</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2134</v>
      </c>
      <c r="B7" s="2436"/>
      <c r="C7" s="2436"/>
      <c r="D7" s="2436"/>
      <c r="E7" s="2436"/>
      <c r="F7" s="2436"/>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6" t="s">
        <v>2135</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t="s">
        <v>2133</v>
      </c>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2136</v>
      </c>
      <c r="B32" s="2444"/>
      <c r="C32" s="2444"/>
      <c r="D32" s="2444"/>
      <c r="E32" s="2444"/>
      <c r="F32" s="2444"/>
    </row>
    <row r="33" spans="1:6" ht="13.5" customHeight="1" x14ac:dyDescent="0.2">
      <c r="A33" s="328" t="s">
        <v>1434</v>
      </c>
      <c r="B33" s="328"/>
      <c r="C33" s="1285">
        <v>98923</v>
      </c>
      <c r="D33" s="1903"/>
      <c r="E33" s="1283"/>
    </row>
    <row r="34" spans="1:6" ht="13.5" customHeight="1" x14ac:dyDescent="0.2">
      <c r="A34" s="328" t="s">
        <v>1835</v>
      </c>
      <c r="B34" s="328"/>
      <c r="C34" s="1286">
        <v>0</v>
      </c>
      <c r="D34" s="1903" t="s">
        <v>1589</v>
      </c>
      <c r="E34" s="2445">
        <f>+C33+C34</f>
        <v>98923</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2137</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8" zoomScale="110" zoomScaleNormal="110" workbookViewId="0">
      <selection activeCell="E52" sqref="E5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Beach Park CCSD 3</v>
      </c>
      <c r="C1" s="2453"/>
      <c r="D1" s="2453"/>
      <c r="E1" s="2453"/>
      <c r="F1" s="2453"/>
      <c r="G1" s="2453"/>
      <c r="H1" s="2453"/>
      <c r="I1" s="2453"/>
      <c r="J1" s="1406"/>
    </row>
    <row r="2" spans="2:10" s="317" customFormat="1" ht="12.75" customHeight="1" x14ac:dyDescent="0.2">
      <c r="B2" s="2454">
        <f>'Single Audit Cover'!E7</f>
        <v>34049003004</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t="s">
        <v>820</v>
      </c>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2138</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2138</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2138</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2138</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2138</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t="s">
        <v>2139</v>
      </c>
      <c r="E29" s="2459"/>
      <c r="F29" s="2459"/>
      <c r="G29" s="2459"/>
      <c r="H29" s="2459"/>
      <c r="I29" s="2459"/>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2138</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0" t="s">
        <v>1748</v>
      </c>
      <c r="D37" s="2461"/>
      <c r="E37" s="2461"/>
      <c r="F37" s="2462"/>
      <c r="G37" s="2460" t="s">
        <v>1592</v>
      </c>
      <c r="H37" s="2461"/>
      <c r="I37" s="2462"/>
    </row>
    <row r="38" spans="2:9" ht="16.5" customHeight="1" x14ac:dyDescent="0.2">
      <c r="B38" s="1428">
        <v>10.555</v>
      </c>
      <c r="C38" s="2448" t="s">
        <v>2111</v>
      </c>
      <c r="D38" s="2449"/>
      <c r="E38" s="2449"/>
      <c r="F38" s="2450"/>
      <c r="G38" s="2463">
        <v>643890</v>
      </c>
      <c r="H38" s="2464"/>
      <c r="I38" s="2465"/>
    </row>
    <row r="39" spans="2:9" ht="16.5" customHeight="1" x14ac:dyDescent="0.2">
      <c r="B39" s="1428">
        <v>10.555</v>
      </c>
      <c r="C39" s="2448" t="s">
        <v>2140</v>
      </c>
      <c r="D39" s="2449"/>
      <c r="E39" s="2449"/>
      <c r="F39" s="2450"/>
      <c r="G39" s="2451">
        <v>98923</v>
      </c>
      <c r="H39" s="2451"/>
      <c r="I39" s="2451"/>
    </row>
    <row r="40" spans="2:9" ht="16.5" customHeight="1" x14ac:dyDescent="0.2">
      <c r="B40" s="1428">
        <v>10.553000000000001</v>
      </c>
      <c r="C40" s="2448" t="s">
        <v>2119</v>
      </c>
      <c r="D40" s="2449"/>
      <c r="E40" s="2449"/>
      <c r="F40" s="2450"/>
      <c r="G40" s="2451">
        <v>290852</v>
      </c>
      <c r="H40" s="2451"/>
      <c r="I40" s="2451"/>
    </row>
    <row r="41" spans="2:9" ht="16.5" customHeight="1" x14ac:dyDescent="0.2">
      <c r="B41" s="1428">
        <v>10.555999999999999</v>
      </c>
      <c r="C41" s="2448" t="s">
        <v>2115</v>
      </c>
      <c r="D41" s="2449"/>
      <c r="E41" s="2449"/>
      <c r="F41" s="2450"/>
      <c r="G41" s="2451">
        <v>82</v>
      </c>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1033747</v>
      </c>
      <c r="H43" s="2469"/>
      <c r="I43" s="2469"/>
    </row>
    <row r="44" spans="2:9" ht="12.75" customHeight="1" x14ac:dyDescent="0.2"/>
    <row r="45" spans="2:9" ht="12.75" customHeight="1" x14ac:dyDescent="0.2">
      <c r="B45" s="1419" t="s">
        <v>1838</v>
      </c>
      <c r="D45" s="2470">
        <v>2191178</v>
      </c>
      <c r="E45" s="2471"/>
    </row>
    <row r="46" spans="2:9" ht="5.25" customHeight="1" x14ac:dyDescent="0.2">
      <c r="B46" s="1429"/>
      <c r="D46" s="1430"/>
      <c r="E46" s="1431"/>
    </row>
    <row r="47" spans="2:9" ht="12.75" customHeight="1" x14ac:dyDescent="0.2">
      <c r="B47" s="1297" t="s">
        <v>1594</v>
      </c>
      <c r="C47" s="1297"/>
      <c r="D47" s="1432">
        <f>+G43/D45</f>
        <v>0.47177682506852481</v>
      </c>
      <c r="E47" s="1433"/>
      <c r="F47" s="1434"/>
      <c r="I47" s="1435"/>
    </row>
    <row r="48" spans="2:9" ht="9.9499999999999993" customHeight="1" x14ac:dyDescent="0.2"/>
    <row r="49" spans="1:9" x14ac:dyDescent="0.2">
      <c r="B49" s="1365" t="s">
        <v>1273</v>
      </c>
      <c r="C49" s="1279"/>
      <c r="D49" s="1279"/>
      <c r="E49" s="2472">
        <v>750000</v>
      </c>
      <c r="F49" s="2472"/>
      <c r="G49" s="2472"/>
      <c r="H49" s="322"/>
    </row>
    <row r="51" spans="1:9" ht="13.5" customHeight="1" x14ac:dyDescent="0.2">
      <c r="B51" s="1365" t="s">
        <v>1272</v>
      </c>
      <c r="C51" s="1279"/>
      <c r="E51" s="1422" t="s">
        <v>2138</v>
      </c>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D1" zoomScale="110" zoomScaleNormal="11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Beach Park CCSD 3</v>
      </c>
      <c r="C1" s="2452"/>
      <c r="D1" s="2452"/>
      <c r="E1" s="2452"/>
      <c r="F1" s="2452"/>
      <c r="G1" s="2452"/>
      <c r="H1" s="2452"/>
      <c r="I1" s="2452"/>
      <c r="J1" s="2452"/>
      <c r="K1" s="2452"/>
      <c r="L1" s="1371"/>
      <c r="M1" s="1371"/>
    </row>
    <row r="2" spans="1:13" ht="12" customHeight="1" x14ac:dyDescent="0.2">
      <c r="B2" s="2454">
        <f>'Single Audit Cover'!E7</f>
        <v>34049003004</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t="s">
        <v>2141</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Beach Park CCSD 3</v>
      </c>
      <c r="C1" s="2479"/>
      <c r="D1" s="2479"/>
      <c r="E1" s="2479"/>
      <c r="F1" s="2479"/>
      <c r="G1" s="2479"/>
      <c r="H1" s="2479"/>
      <c r="I1" s="2479"/>
      <c r="J1" s="2479"/>
      <c r="K1" s="2479"/>
      <c r="L1" s="1449"/>
    </row>
    <row r="2" spans="1:12" ht="12.75" customHeight="1" x14ac:dyDescent="0.2">
      <c r="B2" s="2480">
        <f>'Single Audit Cover'!E7</f>
        <v>34049003004</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t="s">
        <v>2141</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10" sqref="B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Beach Park CCSD 3</v>
      </c>
      <c r="C1" s="2452"/>
      <c r="D1" s="2452"/>
      <c r="E1" s="1469"/>
    </row>
    <row r="2" spans="2:5" s="1279" customFormat="1" ht="12.75" customHeight="1" x14ac:dyDescent="0.2">
      <c r="B2" s="2454">
        <f>'Single Audit Cover'!E7</f>
        <v>34049003004</v>
      </c>
      <c r="C2" s="2454"/>
      <c r="D2" s="2454"/>
      <c r="E2" s="1470"/>
    </row>
    <row r="3" spans="2:5" ht="12.75" customHeight="1" x14ac:dyDescent="0.2">
      <c r="B3" s="2475" t="s">
        <v>1763</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c r="C7" s="324"/>
      <c r="D7" s="324"/>
      <c r="E7" s="324"/>
    </row>
    <row r="8" spans="2:5" ht="13.5" customHeight="1" x14ac:dyDescent="0.2">
      <c r="B8" s="1474" t="s">
        <v>2141</v>
      </c>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6" sqref="B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353685003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3.3174080000000002E-2</v>
      </c>
      <c r="E10" s="356" t="s">
        <v>1005</v>
      </c>
      <c r="F10" s="355">
        <v>4.7239999999999999E-3</v>
      </c>
      <c r="G10" s="356" t="s">
        <v>1005</v>
      </c>
      <c r="H10" s="355">
        <v>3.3950500000000002E-3</v>
      </c>
      <c r="I10" s="356" t="s">
        <v>1006</v>
      </c>
      <c r="J10" s="1732">
        <f>ROUND(D10+F10+H10,5)</f>
        <v>4.129E-2</v>
      </c>
      <c r="K10" s="222"/>
      <c r="L10" s="355">
        <v>9.4510000000000001E-5</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30268525</v>
      </c>
      <c r="E16" s="356"/>
      <c r="F16" s="1733">
        <f>SUM('Acct Summary 7-8'!C17,'Acct Summary 7-8'!D17,'Acct Summary 7-8'!F17)</f>
        <v>27289577</v>
      </c>
      <c r="G16" s="356"/>
      <c r="H16" s="1733">
        <f>SUM(D16-F16)</f>
        <v>2978948</v>
      </c>
      <c r="I16" s="222"/>
      <c r="J16" s="1733">
        <f>SUM('Acct Summary 7-8'!C81,'Acct Summary 7-8'!D81,'Acct Summary 7-8'!F81,'Acct Summary 7-8'!I81)</f>
        <v>14095396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2061</v>
      </c>
      <c r="C31" s="367" t="s">
        <v>586</v>
      </c>
      <c r="D31" s="237" t="s">
        <v>1072</v>
      </c>
      <c r="E31" s="222"/>
      <c r="F31" s="222"/>
      <c r="G31" s="363"/>
      <c r="H31" s="1735">
        <f>IF(B31="X",(J7*0.069),IF(B32="X",(J7*0.138),"Enter x in a.or b."))</f>
        <v>24404265.207000002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1572074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6" sqref="B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Beach Park CCSD 3</v>
      </c>
      <c r="E7" s="391"/>
      <c r="G7" s="252"/>
      <c r="H7" s="387"/>
      <c r="I7" s="387"/>
      <c r="J7" s="387"/>
      <c r="K7" s="387"/>
      <c r="L7" s="329"/>
      <c r="M7" s="329"/>
      <c r="N7" s="329"/>
      <c r="O7" s="329"/>
      <c r="P7" s="329"/>
    </row>
    <row r="8" spans="1:18" ht="12.75" x14ac:dyDescent="0.2">
      <c r="A8" s="329"/>
      <c r="B8" s="329"/>
      <c r="C8" s="389" t="s">
        <v>1125</v>
      </c>
      <c r="D8" s="392">
        <f>COVER!A13</f>
        <v>34049003004</v>
      </c>
      <c r="E8" s="393"/>
      <c r="G8" s="329"/>
      <c r="H8" s="329"/>
      <c r="I8" s="329"/>
      <c r="J8" s="329"/>
      <c r="K8" s="329"/>
      <c r="L8" s="329"/>
      <c r="M8" s="329"/>
      <c r="N8" s="329"/>
      <c r="O8" s="329"/>
      <c r="P8" s="329"/>
    </row>
    <row r="9" spans="1:18" ht="12.75" x14ac:dyDescent="0.2">
      <c r="A9" s="329"/>
      <c r="B9" s="329"/>
      <c r="C9" s="389" t="s">
        <v>713</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14095396</v>
      </c>
      <c r="I12" s="404"/>
      <c r="J12" s="404"/>
      <c r="K12" s="405">
        <f>TRUNC((H12/H13*100000),5)/100000</f>
        <v>0.46665765930000003</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30205003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-63522</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27289577</v>
      </c>
      <c r="I17" s="404"/>
      <c r="J17" s="416"/>
      <c r="K17" s="405">
        <f>TRUNC((H17/H18*100000),5)/100000</f>
        <v>0.90347870509999995</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30205003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-63522</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14094178</v>
      </c>
      <c r="I24" s="422"/>
      <c r="J24" s="422"/>
      <c r="K24" s="423">
        <f>TRUNC(((H24/H25*100000)/100000),2)</f>
        <v>185.92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75804.380560000005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12413105.70779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1572074</v>
      </c>
      <c r="I32" s="420"/>
      <c r="J32" s="420"/>
      <c r="K32" s="423">
        <f>TRUNC(100-((((H32/H33*100))*100)/100),2)</f>
        <v>93.55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24404265.207000002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activeCell="B6" sqref="B6"/>
      <selection pane="bottomLeft" activeCell="B6" sqref="B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6169220</v>
      </c>
      <c r="D4" s="466">
        <v>2896713</v>
      </c>
      <c r="E4" s="466">
        <v>1877798</v>
      </c>
      <c r="F4" s="466">
        <v>4876397</v>
      </c>
      <c r="G4" s="466">
        <v>623003</v>
      </c>
      <c r="H4" s="466">
        <v>81055</v>
      </c>
      <c r="I4" s="466">
        <v>151848</v>
      </c>
      <c r="J4" s="467">
        <v>198826</v>
      </c>
      <c r="K4" s="466">
        <v>94403</v>
      </c>
      <c r="L4" s="466">
        <v>94120</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6169220</v>
      </c>
      <c r="D13" s="1737">
        <f t="shared" ref="D13:L13" si="0">SUM(D4:D12)</f>
        <v>2896713</v>
      </c>
      <c r="E13" s="1737">
        <f t="shared" si="0"/>
        <v>1877798</v>
      </c>
      <c r="F13" s="1737">
        <f t="shared" si="0"/>
        <v>4876397</v>
      </c>
      <c r="G13" s="1737">
        <f t="shared" si="0"/>
        <v>623003</v>
      </c>
      <c r="H13" s="1737">
        <f t="shared" si="0"/>
        <v>81055</v>
      </c>
      <c r="I13" s="1737">
        <f t="shared" si="0"/>
        <v>151848</v>
      </c>
      <c r="J13" s="1737">
        <f t="shared" si="0"/>
        <v>198826</v>
      </c>
      <c r="K13" s="1737">
        <f t="shared" si="0"/>
        <v>94403</v>
      </c>
      <c r="L13" s="1737">
        <f t="shared" si="0"/>
        <v>94120</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967984</v>
      </c>
      <c r="N16" s="484"/>
    </row>
    <row r="17" spans="1:14" s="485" customFormat="1" ht="12.75" customHeight="1" x14ac:dyDescent="0.2">
      <c r="A17" s="482" t="s">
        <v>1403</v>
      </c>
      <c r="B17" s="483">
        <v>230</v>
      </c>
      <c r="C17" s="477"/>
      <c r="D17" s="477"/>
      <c r="E17" s="477"/>
      <c r="F17" s="477"/>
      <c r="G17" s="477"/>
      <c r="H17" s="477"/>
      <c r="I17" s="477"/>
      <c r="J17" s="477"/>
      <c r="K17" s="477"/>
      <c r="L17" s="477"/>
      <c r="M17" s="467">
        <v>52238487</v>
      </c>
      <c r="N17" s="484"/>
    </row>
    <row r="18" spans="1:14" s="485" customFormat="1" ht="12.75" customHeight="1" x14ac:dyDescent="0.2">
      <c r="A18" s="482" t="s">
        <v>1404</v>
      </c>
      <c r="B18" s="483">
        <v>240</v>
      </c>
      <c r="C18" s="477"/>
      <c r="D18" s="477"/>
      <c r="E18" s="477"/>
      <c r="F18" s="477"/>
      <c r="G18" s="477"/>
      <c r="H18" s="477"/>
      <c r="I18" s="477"/>
      <c r="J18" s="477"/>
      <c r="K18" s="477"/>
      <c r="L18" s="477"/>
      <c r="M18" s="467">
        <v>590394</v>
      </c>
      <c r="N18" s="484"/>
    </row>
    <row r="19" spans="1:14" s="485" customFormat="1" ht="12.75" customHeight="1" x14ac:dyDescent="0.2">
      <c r="A19" s="482" t="s">
        <v>1405</v>
      </c>
      <c r="B19" s="483">
        <v>250</v>
      </c>
      <c r="C19" s="477"/>
      <c r="D19" s="477"/>
      <c r="E19" s="477"/>
      <c r="F19" s="477"/>
      <c r="G19" s="477"/>
      <c r="H19" s="477"/>
      <c r="I19" s="477"/>
      <c r="J19" s="477"/>
      <c r="K19" s="477"/>
      <c r="L19" s="477"/>
      <c r="M19" s="467">
        <f>2505856+75861</f>
        <v>2581717</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1877798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-305724</v>
      </c>
    </row>
    <row r="23" spans="1:14" ht="13.5" customHeight="1" thickBot="1" x14ac:dyDescent="0.25">
      <c r="A23" s="1736" t="s">
        <v>643</v>
      </c>
      <c r="B23" s="1741"/>
      <c r="C23" s="468"/>
      <c r="D23" s="468"/>
      <c r="E23" s="468"/>
      <c r="F23" s="468"/>
      <c r="G23" s="468"/>
      <c r="H23" s="468"/>
      <c r="I23" s="468"/>
      <c r="J23" s="468"/>
      <c r="K23" s="468"/>
      <c r="L23" s="468"/>
      <c r="M23" s="1688">
        <f>SUM(M15:M22)</f>
        <v>56378582</v>
      </c>
      <c r="N23" s="1688">
        <f>SUM(N21:N22)</f>
        <v>1572074</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-1218</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94120</v>
      </c>
      <c r="M33" s="468"/>
      <c r="N33" s="469"/>
    </row>
    <row r="34" spans="1:14" ht="13.5" customHeight="1" thickBot="1" x14ac:dyDescent="0.25">
      <c r="A34" s="1738" t="s">
        <v>654</v>
      </c>
      <c r="B34" s="1739"/>
      <c r="C34" s="1740">
        <f>SUM(C25:C33)</f>
        <v>-1218</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94120</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1572074</v>
      </c>
    </row>
    <row r="37" spans="1:14" ht="13.5" thickBot="1" x14ac:dyDescent="0.25">
      <c r="A37" s="1736" t="s">
        <v>653</v>
      </c>
      <c r="B37" s="1741"/>
      <c r="C37" s="477"/>
      <c r="D37" s="477"/>
      <c r="E37" s="477"/>
      <c r="F37" s="477"/>
      <c r="G37" s="477"/>
      <c r="H37" s="477"/>
      <c r="I37" s="477"/>
      <c r="J37" s="477"/>
      <c r="K37" s="477"/>
      <c r="L37" s="480"/>
      <c r="M37" s="468"/>
      <c r="N37" s="1688">
        <f>SUM(N36:N36)</f>
        <v>1572074</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6170438</v>
      </c>
      <c r="D39" s="466">
        <v>2896713</v>
      </c>
      <c r="E39" s="466">
        <v>1877798</v>
      </c>
      <c r="F39" s="466">
        <v>4876397</v>
      </c>
      <c r="G39" s="466">
        <v>623003</v>
      </c>
      <c r="H39" s="466">
        <v>81055</v>
      </c>
      <c r="I39" s="466">
        <v>151848</v>
      </c>
      <c r="J39" s="467">
        <v>198826</v>
      </c>
      <c r="K39" s="466">
        <v>94403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56378582</v>
      </c>
      <c r="N40" s="497"/>
    </row>
    <row r="41" spans="1:14" ht="13.5" customHeight="1" thickBot="1" x14ac:dyDescent="0.25">
      <c r="A41" s="1736" t="s">
        <v>655</v>
      </c>
      <c r="B41" s="1706"/>
      <c r="C41" s="1688">
        <f>(SUM(C34,C37,C38,C39))</f>
        <v>6169220</v>
      </c>
      <c r="D41" s="1688">
        <f t="shared" ref="D41:L41" si="2">SUM(D34,D37,D38:D39)</f>
        <v>2896713</v>
      </c>
      <c r="E41" s="1688">
        <f t="shared" si="2"/>
        <v>1877798</v>
      </c>
      <c r="F41" s="1688">
        <f t="shared" si="2"/>
        <v>4876397</v>
      </c>
      <c r="G41" s="1688">
        <f t="shared" si="2"/>
        <v>623003</v>
      </c>
      <c r="H41" s="1688">
        <f t="shared" si="2"/>
        <v>81055</v>
      </c>
      <c r="I41" s="1688">
        <f t="shared" si="2"/>
        <v>151848</v>
      </c>
      <c r="J41" s="1688">
        <f t="shared" si="2"/>
        <v>198826</v>
      </c>
      <c r="K41" s="1688">
        <f t="shared" si="2"/>
        <v>94403</v>
      </c>
      <c r="L41" s="1688">
        <f t="shared" si="2"/>
        <v>94120</v>
      </c>
      <c r="M41" s="1688">
        <f>SUM(M40)</f>
        <v>56378582</v>
      </c>
      <c r="N41" s="1688">
        <f>SUM(N37)</f>
        <v>1572074</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4" activePane="bottomLeft" state="frozen"/>
      <selection activeCell="B6" sqref="B6"/>
      <selection pane="bottomLeft" activeCell="B6" sqref="B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13076975</v>
      </c>
      <c r="D4" s="1742">
        <f>'Revenues 9-14'!D109</f>
        <v>1753554</v>
      </c>
      <c r="E4" s="1742">
        <f>'Revenues 9-14'!E109</f>
        <v>2976323</v>
      </c>
      <c r="F4" s="1742">
        <f>'Revenues 9-14'!F109</f>
        <v>1200346</v>
      </c>
      <c r="G4" s="1742">
        <f>'Revenues 9-14'!G109</f>
        <v>797304</v>
      </c>
      <c r="H4" s="1742">
        <f>'Revenues 9-14'!H109</f>
        <v>0</v>
      </c>
      <c r="I4" s="1742">
        <f>'Revenues 9-14'!I109</f>
        <v>32463</v>
      </c>
      <c r="J4" s="1742">
        <f>'Revenues 9-14'!J109</f>
        <v>296247</v>
      </c>
      <c r="K4" s="1742">
        <f>'Revenues 9-14'!K109</f>
        <v>32082</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10890377</v>
      </c>
      <c r="D6" s="1743">
        <f>'Revenues 9-14'!D170</f>
        <v>0</v>
      </c>
      <c r="E6" s="1743">
        <f>'Revenues 9-14'!E170</f>
        <v>0</v>
      </c>
      <c r="F6" s="1743">
        <f>'Revenues 9-14'!F170</f>
        <v>1476392</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1838418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25805770</v>
      </c>
      <c r="D8" s="1688">
        <f t="shared" ref="D8:K8" si="0">SUM(D4:D7)</f>
        <v>1753554</v>
      </c>
      <c r="E8" s="1688">
        <f t="shared" si="0"/>
        <v>2976323</v>
      </c>
      <c r="F8" s="1688">
        <f t="shared" si="0"/>
        <v>2676738</v>
      </c>
      <c r="G8" s="1688">
        <f t="shared" si="0"/>
        <v>797304</v>
      </c>
      <c r="H8" s="1688">
        <f t="shared" si="0"/>
        <v>0</v>
      </c>
      <c r="I8" s="1688">
        <f t="shared" si="0"/>
        <v>32463</v>
      </c>
      <c r="J8" s="1688">
        <f t="shared" si="0"/>
        <v>296247</v>
      </c>
      <c r="K8" s="1688">
        <f t="shared" si="0"/>
        <v>32082</v>
      </c>
      <c r="L8" s="347"/>
    </row>
    <row r="9" spans="1:13" ht="15.75" thickTop="1" x14ac:dyDescent="0.2">
      <c r="A9" s="514" t="s">
        <v>1653</v>
      </c>
      <c r="B9" s="515">
        <v>3998</v>
      </c>
      <c r="C9" s="481">
        <v>8306734</v>
      </c>
      <c r="D9" s="516"/>
      <c r="E9" s="481"/>
      <c r="F9" s="481"/>
      <c r="G9" s="517"/>
      <c r="H9" s="481"/>
      <c r="I9" s="509" t="s">
        <v>1169</v>
      </c>
      <c r="J9" s="478"/>
      <c r="K9" s="481"/>
      <c r="L9" s="347"/>
    </row>
    <row r="10" spans="1:13" s="519" customFormat="1" ht="13.5" thickBot="1" x14ac:dyDescent="0.25">
      <c r="A10" s="1736" t="s">
        <v>1173</v>
      </c>
      <c r="B10" s="1709"/>
      <c r="C10" s="1688">
        <f>SUM(C8:C9)</f>
        <v>34112504</v>
      </c>
      <c r="D10" s="1688">
        <f t="shared" ref="D10:K10" si="1">SUM(D8:D9)</f>
        <v>1753554</v>
      </c>
      <c r="E10" s="1688">
        <f t="shared" si="1"/>
        <v>2976323</v>
      </c>
      <c r="F10" s="1688">
        <f t="shared" si="1"/>
        <v>2676738</v>
      </c>
      <c r="G10" s="1688">
        <f t="shared" si="1"/>
        <v>797304</v>
      </c>
      <c r="H10" s="1688">
        <f t="shared" si="1"/>
        <v>0</v>
      </c>
      <c r="I10" s="1688">
        <f t="shared" si="1"/>
        <v>32463</v>
      </c>
      <c r="J10" s="1688">
        <f t="shared" si="1"/>
        <v>296247</v>
      </c>
      <c r="K10" s="1688">
        <f t="shared" si="1"/>
        <v>32082</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15888311</v>
      </c>
      <c r="D12" s="520" t="s">
        <v>1169</v>
      </c>
      <c r="E12" s="468" t="s">
        <v>1169</v>
      </c>
      <c r="F12" s="468" t="s">
        <v>1169</v>
      </c>
      <c r="G12" s="1742">
        <f>'Expenditures 15-22'!K229</f>
        <v>344221</v>
      </c>
      <c r="H12" s="521"/>
      <c r="I12" s="468" t="s">
        <v>1169</v>
      </c>
      <c r="J12" s="468" t="s">
        <v>1169</v>
      </c>
      <c r="K12" s="521" t="s">
        <v>1169</v>
      </c>
      <c r="L12" s="347"/>
    </row>
    <row r="13" spans="1:13" ht="15.75" customHeight="1" x14ac:dyDescent="0.2">
      <c r="A13" s="1576" t="s">
        <v>457</v>
      </c>
      <c r="B13" s="1578">
        <v>2000</v>
      </c>
      <c r="C13" s="1743">
        <f>'Expenditures 15-22'!K74</f>
        <v>5763700</v>
      </c>
      <c r="D13" s="1743">
        <f>'Expenditures 15-22'!K129</f>
        <v>1920590</v>
      </c>
      <c r="E13" s="469" t="s">
        <v>1169</v>
      </c>
      <c r="F13" s="1743">
        <f>'Expenditures 15-22'!K184</f>
        <v>2241748</v>
      </c>
      <c r="G13" s="1743">
        <f>'Expenditures 15-22'!K279</f>
        <v>318931</v>
      </c>
      <c r="H13" s="1743">
        <f>'Expenditures 15-22'!K303</f>
        <v>0</v>
      </c>
      <c r="I13" s="468" t="s">
        <v>1169</v>
      </c>
      <c r="J13" s="1743">
        <f>'Expenditures 15-22'!K330</f>
        <v>251408</v>
      </c>
      <c r="K13" s="1747">
        <f>'Expenditures 15-22'!K352</f>
        <v>48708</v>
      </c>
      <c r="L13" s="347"/>
    </row>
    <row r="14" spans="1:13" ht="15.75" customHeight="1" x14ac:dyDescent="0.2">
      <c r="A14" s="1576" t="s">
        <v>449</v>
      </c>
      <c r="B14" s="1578">
        <v>3000</v>
      </c>
      <c r="C14" s="1743">
        <f>'Expenditures 15-22'!K75</f>
        <v>68677</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1406551</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3058522</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23127239</v>
      </c>
      <c r="D17" s="1688">
        <f t="shared" si="2"/>
        <v>1920590</v>
      </c>
      <c r="E17" s="1688">
        <f t="shared" si="2"/>
        <v>3058522</v>
      </c>
      <c r="F17" s="1688">
        <f t="shared" si="2"/>
        <v>2241748</v>
      </c>
      <c r="G17" s="1688">
        <f t="shared" si="2"/>
        <v>663152</v>
      </c>
      <c r="H17" s="1688">
        <f t="shared" si="2"/>
        <v>0</v>
      </c>
      <c r="I17" s="468"/>
      <c r="J17" s="1688">
        <f>SUM(J12:J16)</f>
        <v>251408</v>
      </c>
      <c r="K17" s="1688">
        <f>SUM(K12:K16)</f>
        <v>48708</v>
      </c>
      <c r="L17" s="347"/>
    </row>
    <row r="18" spans="1:12" ht="15" customHeight="1" thickTop="1" x14ac:dyDescent="0.2">
      <c r="A18" s="1744" t="s">
        <v>1654</v>
      </c>
      <c r="B18" s="1745">
        <v>4180</v>
      </c>
      <c r="C18" s="1742">
        <f t="shared" ref="C18:H18" si="3">C9</f>
        <v>8306734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31433973</v>
      </c>
      <c r="D19" s="1688">
        <f t="shared" si="4"/>
        <v>1920590</v>
      </c>
      <c r="E19" s="1688">
        <f t="shared" si="4"/>
        <v>3058522</v>
      </c>
      <c r="F19" s="1688">
        <f t="shared" si="4"/>
        <v>2241748</v>
      </c>
      <c r="G19" s="1688">
        <f t="shared" si="4"/>
        <v>663152</v>
      </c>
      <c r="H19" s="1688">
        <f t="shared" si="4"/>
        <v>0</v>
      </c>
      <c r="I19" s="468"/>
      <c r="J19" s="1688">
        <f>SUM(J17:J18)</f>
        <v>251408</v>
      </c>
      <c r="K19" s="1688">
        <f>SUM(K17:K18)</f>
        <v>48708</v>
      </c>
      <c r="L19" s="347"/>
    </row>
    <row r="20" spans="1:12" ht="16.5" thickTop="1" thickBot="1" x14ac:dyDescent="0.25">
      <c r="A20" s="2125" t="s">
        <v>1655</v>
      </c>
      <c r="B20" s="2126"/>
      <c r="C20" s="1746">
        <f>C8-C17</f>
        <v>2678531</v>
      </c>
      <c r="D20" s="1746">
        <f t="shared" ref="D20:K20" si="5">D8-D17</f>
        <v>-167036</v>
      </c>
      <c r="E20" s="1746">
        <f t="shared" si="5"/>
        <v>-82199</v>
      </c>
      <c r="F20" s="1746">
        <f t="shared" si="5"/>
        <v>434990</v>
      </c>
      <c r="G20" s="1746">
        <f t="shared" si="5"/>
        <v>134152</v>
      </c>
      <c r="H20" s="1746">
        <f t="shared" si="5"/>
        <v>0</v>
      </c>
      <c r="I20" s="1746">
        <f t="shared" si="5"/>
        <v>32463</v>
      </c>
      <c r="J20" s="1746">
        <f t="shared" si="5"/>
        <v>44839</v>
      </c>
      <c r="K20" s="1746">
        <f t="shared" si="5"/>
        <v>-16626</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v>24259</v>
      </c>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57675</v>
      </c>
      <c r="F37" s="475"/>
      <c r="G37" s="475"/>
      <c r="H37" s="475"/>
      <c r="I37" s="477"/>
      <c r="J37" s="475"/>
      <c r="K37" s="475"/>
      <c r="L37" s="524"/>
    </row>
    <row r="38" spans="1:12" s="485" customFormat="1" x14ac:dyDescent="0.2">
      <c r="A38" s="1489" t="s">
        <v>442</v>
      </c>
      <c r="B38" s="525">
        <v>7500</v>
      </c>
      <c r="C38" s="477"/>
      <c r="D38" s="477"/>
      <c r="E38" s="1743">
        <f>SUM(C58:D61,H58:H61)</f>
        <v>5847</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24259</v>
      </c>
      <c r="D44" s="1703">
        <f t="shared" ref="D44:K44" si="6">SUM(D24:D43)</f>
        <v>0</v>
      </c>
      <c r="E44" s="1703">
        <f t="shared" si="6"/>
        <v>63522</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v>57675</v>
      </c>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v>5847</v>
      </c>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63522</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7" t="s">
        <v>1177</v>
      </c>
      <c r="B77" s="2118"/>
      <c r="C77" s="1703">
        <f t="shared" ref="C77:K77" si="8">C44-C76</f>
        <v>-39263</v>
      </c>
      <c r="D77" s="1703">
        <f t="shared" si="8"/>
        <v>0</v>
      </c>
      <c r="E77" s="1703">
        <f t="shared" si="8"/>
        <v>63522</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1" t="s">
        <v>597</v>
      </c>
      <c r="B78" s="2122"/>
      <c r="C78" s="1702">
        <f t="shared" ref="C78:K78" si="9">C20+C77</f>
        <v>2639268</v>
      </c>
      <c r="D78" s="1702">
        <f t="shared" si="9"/>
        <v>-167036</v>
      </c>
      <c r="E78" s="1702">
        <f t="shared" si="9"/>
        <v>-18677</v>
      </c>
      <c r="F78" s="1702">
        <f t="shared" si="9"/>
        <v>434990</v>
      </c>
      <c r="G78" s="1702">
        <f t="shared" si="9"/>
        <v>134152</v>
      </c>
      <c r="H78" s="1702">
        <f t="shared" si="9"/>
        <v>0</v>
      </c>
      <c r="I78" s="1702">
        <f t="shared" si="9"/>
        <v>32463</v>
      </c>
      <c r="J78" s="1702">
        <f t="shared" si="9"/>
        <v>44839</v>
      </c>
      <c r="K78" s="1702">
        <f t="shared" si="9"/>
        <v>-16626</v>
      </c>
      <c r="L78" s="533"/>
    </row>
    <row r="79" spans="1:12" ht="13.5" thickTop="1" x14ac:dyDescent="0.2">
      <c r="A79" s="1494" t="s">
        <v>1946</v>
      </c>
      <c r="B79" s="534"/>
      <c r="C79" s="478">
        <v>3531170</v>
      </c>
      <c r="D79" s="535">
        <v>3063749</v>
      </c>
      <c r="E79" s="535">
        <v>1896475</v>
      </c>
      <c r="F79" s="535">
        <v>4441407</v>
      </c>
      <c r="G79" s="535">
        <v>488851</v>
      </c>
      <c r="H79" s="535">
        <v>81055</v>
      </c>
      <c r="I79" s="535">
        <v>119385</v>
      </c>
      <c r="J79" s="535">
        <v>153987</v>
      </c>
      <c r="K79" s="535">
        <v>111029</v>
      </c>
      <c r="L79" s="347"/>
    </row>
    <row r="80" spans="1:12" x14ac:dyDescent="0.2">
      <c r="A80" s="2127" t="s">
        <v>1792</v>
      </c>
      <c r="B80" s="2128"/>
      <c r="C80" s="467"/>
      <c r="D80" s="467"/>
      <c r="E80" s="467"/>
      <c r="F80" s="467"/>
      <c r="G80" s="467"/>
      <c r="H80" s="467"/>
      <c r="I80" s="467"/>
      <c r="J80" s="467"/>
      <c r="K80" s="467"/>
      <c r="L80" s="347"/>
    </row>
    <row r="81" spans="1:12" ht="13.5" thickBot="1" x14ac:dyDescent="0.25">
      <c r="A81" s="2119" t="s">
        <v>1947</v>
      </c>
      <c r="B81" s="2120"/>
      <c r="C81" s="1688">
        <f>(SUM(C78:C80))</f>
        <v>6170438</v>
      </c>
      <c r="D81" s="1688">
        <f>SUM(D78:D80)</f>
        <v>2896713</v>
      </c>
      <c r="E81" s="1688">
        <f t="shared" ref="E81:K81" si="10">SUM(E78:E80)</f>
        <v>1877798</v>
      </c>
      <c r="F81" s="1688">
        <f t="shared" si="10"/>
        <v>4876397</v>
      </c>
      <c r="G81" s="1688">
        <f t="shared" si="10"/>
        <v>623003</v>
      </c>
      <c r="H81" s="1688">
        <f t="shared" si="10"/>
        <v>81055</v>
      </c>
      <c r="I81" s="1688">
        <f t="shared" si="10"/>
        <v>151848</v>
      </c>
      <c r="J81" s="1688">
        <f t="shared" si="10"/>
        <v>198826</v>
      </c>
      <c r="K81" s="1688">
        <f t="shared" si="10"/>
        <v>94403</v>
      </c>
      <c r="L81" s="347"/>
    </row>
    <row r="82" spans="1:12" ht="0.75" customHeight="1" thickTop="1" thickBot="1" x14ac:dyDescent="0.25">
      <c r="A82" s="536" t="s">
        <v>343</v>
      </c>
      <c r="B82" s="537"/>
      <c r="C82" s="538">
        <f>(C81-C79)</f>
        <v>2639268</v>
      </c>
      <c r="D82" s="538">
        <f t="shared" ref="D82:K82" si="11">(D81-D79)</f>
        <v>-167036</v>
      </c>
      <c r="E82" s="538">
        <f t="shared" si="11"/>
        <v>-18677</v>
      </c>
      <c r="F82" s="538">
        <f t="shared" si="11"/>
        <v>434990</v>
      </c>
      <c r="G82" s="538">
        <f t="shared" si="11"/>
        <v>134152</v>
      </c>
      <c r="H82" s="538">
        <f t="shared" si="11"/>
        <v>0</v>
      </c>
      <c r="I82" s="538">
        <f t="shared" si="11"/>
        <v>32463</v>
      </c>
      <c r="J82" s="538">
        <f t="shared" si="11"/>
        <v>44839</v>
      </c>
      <c r="K82" s="538">
        <f t="shared" si="11"/>
        <v>-16626</v>
      </c>
    </row>
    <row r="83" spans="1:12" ht="14.25" hidden="1" thickTop="1" thickBot="1" x14ac:dyDescent="0.25">
      <c r="A83" s="539" t="s">
        <v>344</v>
      </c>
      <c r="B83" s="464"/>
      <c r="C83" s="540">
        <f>C82/C81</f>
        <v>0.42772782094237072</v>
      </c>
      <c r="D83" s="540">
        <f t="shared" ref="D83:K83" si="12">D82/D81</f>
        <v>-5.7663979828170758E-2</v>
      </c>
      <c r="E83" s="540">
        <f t="shared" si="12"/>
        <v>-9.9462242477625397E-3</v>
      </c>
      <c r="F83" s="540">
        <f t="shared" si="12"/>
        <v>8.9203155526508607E-2</v>
      </c>
      <c r="G83" s="540">
        <f t="shared" si="12"/>
        <v>0.21533122633438362</v>
      </c>
      <c r="H83" s="540">
        <f t="shared" si="12"/>
        <v>0</v>
      </c>
      <c r="I83" s="540">
        <f t="shared" si="12"/>
        <v>0.21378615457562827</v>
      </c>
      <c r="J83" s="540">
        <f t="shared" si="12"/>
        <v>0.22551879532857877</v>
      </c>
      <c r="K83" s="540">
        <f t="shared" si="12"/>
        <v>-0.17611728440833449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B6" sqref="B6"/>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1799</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11395483</v>
      </c>
      <c r="D5" s="481">
        <v>1622985</v>
      </c>
      <c r="E5" s="466">
        <v>2976323</v>
      </c>
      <c r="F5" s="548">
        <v>1166117</v>
      </c>
      <c r="G5" s="466">
        <v>11933</v>
      </c>
      <c r="H5" s="466"/>
      <c r="I5" s="466">
        <v>32463</v>
      </c>
      <c r="J5" s="467">
        <v>285934</v>
      </c>
      <c r="K5" s="466">
        <v>32082</v>
      </c>
    </row>
    <row r="6" spans="1:12" ht="15" x14ac:dyDescent="0.2">
      <c r="A6" s="463" t="s">
        <v>1662</v>
      </c>
      <c r="B6" s="470">
        <v>1130</v>
      </c>
      <c r="C6" s="466"/>
      <c r="D6" s="466"/>
      <c r="E6" s="475"/>
      <c r="F6" s="475"/>
      <c r="G6" s="468"/>
      <c r="H6" s="468"/>
      <c r="I6" s="468"/>
      <c r="J6" s="468"/>
      <c r="K6" s="468"/>
    </row>
    <row r="7" spans="1:12" x14ac:dyDescent="0.2">
      <c r="A7" s="463" t="s">
        <v>110</v>
      </c>
      <c r="B7" s="549">
        <v>1140</v>
      </c>
      <c r="C7" s="466">
        <v>1226162</v>
      </c>
      <c r="D7" s="466"/>
      <c r="E7" s="468"/>
      <c r="F7" s="467"/>
      <c r="G7" s="467"/>
      <c r="H7" s="467"/>
      <c r="I7" s="468"/>
      <c r="J7" s="468"/>
      <c r="K7" s="468"/>
    </row>
    <row r="8" spans="1:12" x14ac:dyDescent="0.2">
      <c r="A8" s="463" t="s">
        <v>413</v>
      </c>
      <c r="B8" s="470">
        <v>1150</v>
      </c>
      <c r="C8" s="475"/>
      <c r="D8" s="475"/>
      <c r="E8" s="477"/>
      <c r="F8" s="477"/>
      <c r="G8" s="481">
        <v>760900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v>23471</v>
      </c>
      <c r="H11" s="466"/>
      <c r="I11" s="466"/>
      <c r="J11" s="467"/>
      <c r="K11" s="466"/>
      <c r="L11" s="552"/>
    </row>
    <row r="12" spans="1:12" ht="12.75" customHeight="1" thickBot="1" x14ac:dyDescent="0.25">
      <c r="A12" s="1705" t="s">
        <v>29</v>
      </c>
      <c r="B12" s="1706"/>
      <c r="C12" s="1707">
        <f t="shared" ref="C12:K12" si="0">SUM(C5:C11)</f>
        <v>12621645</v>
      </c>
      <c r="D12" s="1707">
        <f t="shared" si="0"/>
        <v>1622985</v>
      </c>
      <c r="E12" s="1707">
        <f t="shared" si="0"/>
        <v>2976323</v>
      </c>
      <c r="F12" s="1707">
        <f t="shared" si="0"/>
        <v>1166117</v>
      </c>
      <c r="G12" s="1707">
        <f t="shared" si="0"/>
        <v>796304</v>
      </c>
      <c r="H12" s="1707">
        <f t="shared" si="0"/>
        <v>0</v>
      </c>
      <c r="I12" s="1707">
        <f t="shared" si="0"/>
        <v>32463</v>
      </c>
      <c r="J12" s="1707">
        <f t="shared" si="0"/>
        <v>285934</v>
      </c>
      <c r="K12" s="1688">
        <f t="shared" si="0"/>
        <v>32082</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97617</v>
      </c>
      <c r="D16" s="466"/>
      <c r="E16" s="466"/>
      <c r="F16" s="466"/>
      <c r="G16" s="466">
        <v>1000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97617</v>
      </c>
      <c r="D18" s="1710">
        <f t="shared" ref="D18:K18" si="1">SUM(D14:D17)</f>
        <v>0</v>
      </c>
      <c r="E18" s="1710">
        <f t="shared" si="1"/>
        <v>0</v>
      </c>
      <c r="F18" s="1710">
        <f t="shared" si="1"/>
        <v>0</v>
      </c>
      <c r="G18" s="1710">
        <f t="shared" si="1"/>
        <v>1000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140532</v>
      </c>
      <c r="D65" s="466"/>
      <c r="E65" s="466"/>
      <c r="F65" s="467">
        <v>18459</v>
      </c>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140532</v>
      </c>
      <c r="D67" s="1688">
        <f t="shared" ref="D67:K67" si="2">SUM(D65:D66)</f>
        <v>0</v>
      </c>
      <c r="E67" s="1688">
        <f t="shared" si="2"/>
        <v>0</v>
      </c>
      <c r="F67" s="1688">
        <f t="shared" si="2"/>
        <v>18459</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19688</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19688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97684</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97684</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21346</v>
      </c>
      <c r="E95" s="521"/>
      <c r="F95" s="521"/>
      <c r="G95" s="521"/>
      <c r="H95" s="521"/>
      <c r="I95" s="521"/>
      <c r="J95" s="521"/>
      <c r="K95" s="521"/>
    </row>
    <row r="96" spans="1:11" ht="12.75" customHeight="1" x14ac:dyDescent="0.2">
      <c r="A96" s="463" t="s">
        <v>391</v>
      </c>
      <c r="B96" s="470">
        <v>1920</v>
      </c>
      <c r="C96" s="551">
        <v>68190</v>
      </c>
      <c r="D96" s="551">
        <v>80334</v>
      </c>
      <c r="E96" s="479"/>
      <c r="F96" s="478">
        <v>15770</v>
      </c>
      <c r="G96" s="478"/>
      <c r="H96" s="478"/>
      <c r="I96" s="478"/>
      <c r="J96" s="478">
        <v>10313</v>
      </c>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v>4475</v>
      </c>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27144</v>
      </c>
      <c r="D107" s="466">
        <v>28889</v>
      </c>
      <c r="E107" s="466"/>
      <c r="F107" s="466"/>
      <c r="G107" s="466"/>
      <c r="H107" s="466"/>
      <c r="I107" s="466"/>
      <c r="J107" s="467"/>
      <c r="K107" s="466"/>
    </row>
    <row r="108" spans="1:12" ht="12.75" customHeight="1" thickBot="1" x14ac:dyDescent="0.25">
      <c r="A108" s="1708" t="s">
        <v>487</v>
      </c>
      <c r="B108" s="1712"/>
      <c r="C108" s="1707">
        <f>SUM(C95:C107)</f>
        <v>99809</v>
      </c>
      <c r="D108" s="1707">
        <f t="shared" ref="D108:K108" si="3">SUM(D95:D107)</f>
        <v>130569</v>
      </c>
      <c r="E108" s="1707">
        <f t="shared" si="3"/>
        <v>0</v>
      </c>
      <c r="F108" s="1707">
        <f t="shared" si="3"/>
        <v>15770</v>
      </c>
      <c r="G108" s="1707">
        <f t="shared" si="3"/>
        <v>0</v>
      </c>
      <c r="H108" s="1707">
        <f t="shared" si="3"/>
        <v>0</v>
      </c>
      <c r="I108" s="1707">
        <f t="shared" si="3"/>
        <v>0</v>
      </c>
      <c r="J108" s="1707">
        <f t="shared" si="3"/>
        <v>10313</v>
      </c>
      <c r="K108" s="1688">
        <f t="shared" si="3"/>
        <v>0</v>
      </c>
    </row>
    <row r="109" spans="1:12" ht="14.25" thickTop="1" thickBot="1" x14ac:dyDescent="0.25">
      <c r="A109" s="1713" t="s">
        <v>248</v>
      </c>
      <c r="B109" s="1714" t="s">
        <v>570</v>
      </c>
      <c r="C109" s="1715">
        <f t="shared" ref="C109:K109" si="4">SUM(C12,C18,C40,C63,C67,C75,C82,C93,C108,)</f>
        <v>13076975</v>
      </c>
      <c r="D109" s="1715">
        <f t="shared" si="4"/>
        <v>1753554</v>
      </c>
      <c r="E109" s="1715">
        <f t="shared" si="4"/>
        <v>2976323</v>
      </c>
      <c r="F109" s="1715">
        <f t="shared" si="4"/>
        <v>1200346</v>
      </c>
      <c r="G109" s="1715">
        <f t="shared" si="4"/>
        <v>797304</v>
      </c>
      <c r="H109" s="1715">
        <f t="shared" si="4"/>
        <v>0</v>
      </c>
      <c r="I109" s="1715">
        <f t="shared" si="4"/>
        <v>32463</v>
      </c>
      <c r="J109" s="1715">
        <f t="shared" si="4"/>
        <v>296247</v>
      </c>
      <c r="K109" s="1702">
        <f t="shared" si="4"/>
        <v>32082</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10642693</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1933</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10642693</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72175</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150933</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223108</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22994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700986</v>
      </c>
      <c r="G152" s="467"/>
      <c r="H152" s="468"/>
      <c r="I152" s="468"/>
      <c r="J152" s="468"/>
      <c r="K152" s="468"/>
    </row>
    <row r="153" spans="1:11" ht="12.75" customHeight="1" x14ac:dyDescent="0.2">
      <c r="A153" s="463" t="s">
        <v>1057</v>
      </c>
      <c r="B153" s="562">
        <v>3510</v>
      </c>
      <c r="C153" s="551"/>
      <c r="D153" s="466"/>
      <c r="E153" s="561"/>
      <c r="F153" s="466">
        <v>775406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1476392</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1582</v>
      </c>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247684</v>
      </c>
      <c r="D169" s="1722">
        <f t="shared" si="6"/>
        <v>0</v>
      </c>
      <c r="E169" s="1722">
        <f t="shared" si="6"/>
        <v>0</v>
      </c>
      <c r="F169" s="1722">
        <f t="shared" si="6"/>
        <v>1476392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10890377</v>
      </c>
      <c r="D170" s="1715">
        <f t="shared" si="7"/>
        <v>0</v>
      </c>
      <c r="E170" s="1715">
        <f t="shared" si="7"/>
        <v>0</v>
      </c>
      <c r="F170" s="1715">
        <f t="shared" si="7"/>
        <v>1476392</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1800</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643809</v>
      </c>
      <c r="D191" s="468"/>
      <c r="E191" s="561"/>
      <c r="F191" s="468"/>
      <c r="G191" s="585"/>
      <c r="H191" s="468"/>
      <c r="I191" s="468"/>
      <c r="J191" s="468"/>
      <c r="K191" s="468"/>
    </row>
    <row r="192" spans="1:11" ht="12.75" customHeight="1" x14ac:dyDescent="0.2">
      <c r="A192" s="463" t="s">
        <v>1047</v>
      </c>
      <c r="B192" s="470">
        <v>4215</v>
      </c>
      <c r="C192" s="551">
        <v>163</v>
      </c>
      <c r="D192" s="468"/>
      <c r="E192" s="561"/>
      <c r="F192" s="468"/>
      <c r="G192" s="585"/>
      <c r="H192" s="468"/>
      <c r="I192" s="468"/>
      <c r="J192" s="468"/>
      <c r="K192" s="468"/>
    </row>
    <row r="193" spans="1:11" ht="12.75" customHeight="1" x14ac:dyDescent="0.2">
      <c r="A193" s="463" t="s">
        <v>1059</v>
      </c>
      <c r="B193" s="470">
        <v>4220</v>
      </c>
      <c r="C193" s="551">
        <v>290852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934824</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360007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360007</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13769</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13769</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7391</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97860</v>
      </c>
      <c r="D213" s="466"/>
      <c r="E213" s="468"/>
      <c r="F213" s="466"/>
      <c r="G213" s="466"/>
      <c r="H213" s="468"/>
      <c r="I213" s="468"/>
      <c r="J213" s="468"/>
      <c r="K213" s="468"/>
    </row>
    <row r="214" spans="1:11" ht="12.75" customHeight="1" x14ac:dyDescent="0.2">
      <c r="A214" s="463" t="s">
        <v>1054</v>
      </c>
      <c r="B214" s="470">
        <v>4625</v>
      </c>
      <c r="C214" s="551">
        <v>34118</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139369</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v>290</v>
      </c>
      <c r="D255" s="468"/>
      <c r="E255" s="468"/>
      <c r="F255" s="578"/>
      <c r="G255" s="573"/>
      <c r="H255" s="468"/>
      <c r="I255" s="468"/>
      <c r="J255" s="468"/>
      <c r="K255" s="468"/>
    </row>
    <row r="256" spans="1:11" ht="12.75" customHeight="1" thickTop="1" thickBot="1" x14ac:dyDescent="0.25">
      <c r="A256" s="463" t="s">
        <v>1457</v>
      </c>
      <c r="B256" s="470">
        <v>4909</v>
      </c>
      <c r="C256" s="576">
        <v>49903</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77697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81417</v>
      </c>
      <c r="D263" s="576"/>
      <c r="E263" s="468"/>
      <c r="F263" s="576"/>
      <c r="G263" s="576"/>
      <c r="H263" s="468"/>
      <c r="I263" s="468"/>
      <c r="J263" s="468"/>
      <c r="K263" s="468"/>
    </row>
    <row r="264" spans="1:11" ht="12.75" customHeight="1" thickTop="1" thickBot="1" x14ac:dyDescent="0.25">
      <c r="A264" s="463" t="s">
        <v>377</v>
      </c>
      <c r="B264" s="470">
        <v>4992</v>
      </c>
      <c r="C264" s="575">
        <v>181142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1838418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1838418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25805770</v>
      </c>
      <c r="D268" s="1715">
        <f t="shared" si="12"/>
        <v>1753554</v>
      </c>
      <c r="E268" s="1715">
        <f t="shared" si="12"/>
        <v>2976323</v>
      </c>
      <c r="F268" s="1715">
        <f t="shared" si="12"/>
        <v>2676738</v>
      </c>
      <c r="G268" s="1715">
        <f t="shared" si="12"/>
        <v>797304</v>
      </c>
      <c r="H268" s="1715">
        <f t="shared" si="12"/>
        <v>0</v>
      </c>
      <c r="I268" s="1715">
        <f t="shared" si="12"/>
        <v>32463</v>
      </c>
      <c r="J268" s="1715">
        <f t="shared" si="12"/>
        <v>296247</v>
      </c>
      <c r="K268" s="1702">
        <f t="shared" si="12"/>
        <v>32082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35" activePane="bottomLeft" state="frozen"/>
      <selection activeCell="B6" sqref="B6"/>
      <selection pane="bottomLeft" activeCell="B6" sqref="B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9770523</v>
      </c>
      <c r="D5" s="466">
        <v>1644397</v>
      </c>
      <c r="E5" s="466">
        <v>318561</v>
      </c>
      <c r="F5" s="466">
        <v>519468</v>
      </c>
      <c r="G5" s="466">
        <v>239430</v>
      </c>
      <c r="H5" s="466">
        <v>414</v>
      </c>
      <c r="I5" s="467">
        <v>66282</v>
      </c>
      <c r="J5" s="467"/>
      <c r="K5" s="1671">
        <f>SUM(C5:J5)</f>
        <v>12559075</v>
      </c>
      <c r="L5" s="466">
        <v>12853069</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1893661</v>
      </c>
      <c r="D8" s="466">
        <v>526649</v>
      </c>
      <c r="E8" s="466">
        <v>33811</v>
      </c>
      <c r="F8" s="466">
        <v>8254</v>
      </c>
      <c r="G8" s="466"/>
      <c r="H8" s="466"/>
      <c r="I8" s="467"/>
      <c r="J8" s="467"/>
      <c r="K8" s="1671">
        <f t="shared" si="0"/>
        <v>2462375</v>
      </c>
      <c r="L8" s="466">
        <v>2602800</v>
      </c>
    </row>
    <row r="9" spans="1:14" x14ac:dyDescent="0.2">
      <c r="A9" s="1504" t="s">
        <v>721</v>
      </c>
      <c r="B9" s="614" t="s">
        <v>968</v>
      </c>
      <c r="C9" s="467">
        <v>191497</v>
      </c>
      <c r="D9" s="467">
        <v>47908</v>
      </c>
      <c r="E9" s="467"/>
      <c r="F9" s="467">
        <v>280</v>
      </c>
      <c r="G9" s="467"/>
      <c r="H9" s="467"/>
      <c r="I9" s="467"/>
      <c r="J9" s="467"/>
      <c r="K9" s="1671">
        <f t="shared" si="0"/>
        <v>239685</v>
      </c>
      <c r="L9" s="466">
        <v>185700</v>
      </c>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v>11679</v>
      </c>
      <c r="D15" s="466">
        <v>103</v>
      </c>
      <c r="E15" s="466"/>
      <c r="F15" s="466"/>
      <c r="G15" s="466"/>
      <c r="H15" s="466"/>
      <c r="I15" s="467"/>
      <c r="J15" s="467"/>
      <c r="K15" s="1671">
        <f t="shared" si="0"/>
        <v>11782</v>
      </c>
      <c r="L15" s="466">
        <v>12680</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615394</v>
      </c>
      <c r="I22" s="616"/>
      <c r="J22" s="477"/>
      <c r="K22" s="1671">
        <f t="shared" si="0"/>
        <v>615394</v>
      </c>
      <c r="L22" s="471">
        <v>350000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11867360</v>
      </c>
      <c r="D33" s="1670">
        <f t="shared" ref="D33:L33" si="1">SUM(D5:D32)</f>
        <v>2219057</v>
      </c>
      <c r="E33" s="1670">
        <f t="shared" si="1"/>
        <v>352372</v>
      </c>
      <c r="F33" s="1670">
        <f t="shared" si="1"/>
        <v>528002</v>
      </c>
      <c r="G33" s="1670">
        <f t="shared" si="1"/>
        <v>239430</v>
      </c>
      <c r="H33" s="1670">
        <f t="shared" si="1"/>
        <v>615808</v>
      </c>
      <c r="I33" s="1670">
        <f t="shared" si="1"/>
        <v>66282</v>
      </c>
      <c r="J33" s="1670">
        <f t="shared" si="1"/>
        <v>0</v>
      </c>
      <c r="K33" s="1670">
        <f t="shared" si="1"/>
        <v>15888311</v>
      </c>
      <c r="L33" s="1670">
        <f t="shared" si="1"/>
        <v>16004249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545921</v>
      </c>
      <c r="D36" s="481">
        <v>89770</v>
      </c>
      <c r="E36" s="481">
        <v>1400</v>
      </c>
      <c r="F36" s="481">
        <v>80</v>
      </c>
      <c r="G36" s="481"/>
      <c r="H36" s="481"/>
      <c r="I36" s="467"/>
      <c r="J36" s="467"/>
      <c r="K36" s="1671">
        <f t="shared" ref="K36:K41" si="2">SUM(C36:J36)</f>
        <v>637171</v>
      </c>
      <c r="L36" s="466">
        <v>632850</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293412</v>
      </c>
      <c r="D38" s="466">
        <v>79346</v>
      </c>
      <c r="E38" s="466">
        <v>60900</v>
      </c>
      <c r="F38" s="466">
        <v>11344</v>
      </c>
      <c r="G38" s="466"/>
      <c r="H38" s="466"/>
      <c r="I38" s="467"/>
      <c r="J38" s="467"/>
      <c r="K38" s="1671">
        <f t="shared" si="2"/>
        <v>445002</v>
      </c>
      <c r="L38" s="466">
        <v>500675</v>
      </c>
    </row>
    <row r="39" spans="1:14" x14ac:dyDescent="0.2">
      <c r="A39" s="1504" t="s">
        <v>199</v>
      </c>
      <c r="B39" s="614">
        <v>2140</v>
      </c>
      <c r="C39" s="466">
        <v>51644</v>
      </c>
      <c r="D39" s="466">
        <v>11219</v>
      </c>
      <c r="E39" s="466">
        <v>125813</v>
      </c>
      <c r="F39" s="466"/>
      <c r="G39" s="466"/>
      <c r="H39" s="466"/>
      <c r="I39" s="467"/>
      <c r="J39" s="467"/>
      <c r="K39" s="1671">
        <f t="shared" si="2"/>
        <v>188676</v>
      </c>
      <c r="L39" s="466">
        <v>278900</v>
      </c>
    </row>
    <row r="40" spans="1:14" x14ac:dyDescent="0.2">
      <c r="A40" s="1504" t="s">
        <v>200</v>
      </c>
      <c r="B40" s="614">
        <v>2150</v>
      </c>
      <c r="C40" s="466">
        <v>285507</v>
      </c>
      <c r="D40" s="466">
        <v>42747</v>
      </c>
      <c r="E40" s="466">
        <v>247397</v>
      </c>
      <c r="F40" s="466"/>
      <c r="G40" s="466">
        <v>1169</v>
      </c>
      <c r="H40" s="466"/>
      <c r="I40" s="467"/>
      <c r="J40" s="467"/>
      <c r="K40" s="1671">
        <f t="shared" si="2"/>
        <v>576820</v>
      </c>
      <c r="L40" s="466">
        <v>620800</v>
      </c>
    </row>
    <row r="41" spans="1:14" x14ac:dyDescent="0.2">
      <c r="A41" s="1504" t="s">
        <v>1669</v>
      </c>
      <c r="B41" s="614">
        <v>2190</v>
      </c>
      <c r="C41" s="466">
        <v>120206</v>
      </c>
      <c r="D41" s="466"/>
      <c r="E41" s="466"/>
      <c r="F41" s="466"/>
      <c r="G41" s="466"/>
      <c r="H41" s="466"/>
      <c r="I41" s="467"/>
      <c r="J41" s="467"/>
      <c r="K41" s="1671">
        <f t="shared" si="2"/>
        <v>120206</v>
      </c>
      <c r="L41" s="466">
        <v>140000</v>
      </c>
    </row>
    <row r="42" spans="1:14" ht="12.75" customHeight="1" thickBot="1" x14ac:dyDescent="0.25">
      <c r="A42" s="1668" t="s">
        <v>560</v>
      </c>
      <c r="B42" s="1669" t="s">
        <v>716</v>
      </c>
      <c r="C42" s="1670">
        <f>SUM(C36:C41)</f>
        <v>1296690</v>
      </c>
      <c r="D42" s="1670">
        <f t="shared" ref="D42:L42" si="3">SUM(D36:D41)</f>
        <v>223082</v>
      </c>
      <c r="E42" s="1670">
        <f t="shared" si="3"/>
        <v>435510</v>
      </c>
      <c r="F42" s="1670">
        <f t="shared" si="3"/>
        <v>11424</v>
      </c>
      <c r="G42" s="1670">
        <f t="shared" si="3"/>
        <v>1169</v>
      </c>
      <c r="H42" s="1670">
        <f t="shared" si="3"/>
        <v>0</v>
      </c>
      <c r="I42" s="1670">
        <f t="shared" si="3"/>
        <v>0</v>
      </c>
      <c r="J42" s="1670">
        <f t="shared" si="3"/>
        <v>0</v>
      </c>
      <c r="K42" s="1670">
        <f t="shared" si="3"/>
        <v>1967875</v>
      </c>
      <c r="L42" s="1670">
        <f t="shared" si="3"/>
        <v>2173225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148566</v>
      </c>
      <c r="D44" s="481">
        <v>35910</v>
      </c>
      <c r="E44" s="481">
        <v>137109</v>
      </c>
      <c r="F44" s="481">
        <v>59764</v>
      </c>
      <c r="G44" s="481"/>
      <c r="H44" s="481"/>
      <c r="I44" s="467"/>
      <c r="J44" s="467"/>
      <c r="K44" s="1672">
        <f>SUM(C44:J44)</f>
        <v>381349</v>
      </c>
      <c r="L44" s="481">
        <v>514250</v>
      </c>
    </row>
    <row r="45" spans="1:14" x14ac:dyDescent="0.2">
      <c r="A45" s="1504" t="s">
        <v>815</v>
      </c>
      <c r="B45" s="614">
        <v>2220</v>
      </c>
      <c r="C45" s="466">
        <v>182698</v>
      </c>
      <c r="D45" s="466">
        <v>56688</v>
      </c>
      <c r="E45" s="466">
        <v>7374</v>
      </c>
      <c r="F45" s="466">
        <v>14421</v>
      </c>
      <c r="G45" s="466"/>
      <c r="H45" s="466"/>
      <c r="I45" s="467"/>
      <c r="J45" s="467"/>
      <c r="K45" s="1672">
        <f>SUM(C45:J45)</f>
        <v>261181</v>
      </c>
      <c r="L45" s="466">
        <v>276120</v>
      </c>
    </row>
    <row r="46" spans="1:14" x14ac:dyDescent="0.2">
      <c r="A46" s="1504" t="s">
        <v>816</v>
      </c>
      <c r="B46" s="614">
        <v>2230</v>
      </c>
      <c r="C46" s="466"/>
      <c r="D46" s="466"/>
      <c r="E46" s="466"/>
      <c r="F46" s="466"/>
      <c r="G46" s="466"/>
      <c r="H46" s="466"/>
      <c r="I46" s="467"/>
      <c r="J46" s="467"/>
      <c r="K46" s="1672">
        <f>SUM(C46:J46)</f>
        <v>0</v>
      </c>
      <c r="L46" s="466">
        <v>44275</v>
      </c>
    </row>
    <row r="47" spans="1:14" ht="12.75" customHeight="1" thickBot="1" x14ac:dyDescent="0.25">
      <c r="A47" s="1668" t="s">
        <v>561</v>
      </c>
      <c r="B47" s="1669" t="s">
        <v>32</v>
      </c>
      <c r="C47" s="1670">
        <f>SUM(C44:C46)</f>
        <v>331264</v>
      </c>
      <c r="D47" s="1670">
        <f t="shared" ref="D47:K47" si="4">SUM(D44:D46)</f>
        <v>92598</v>
      </c>
      <c r="E47" s="1670">
        <f t="shared" si="4"/>
        <v>144483</v>
      </c>
      <c r="F47" s="1670">
        <f t="shared" si="4"/>
        <v>74185</v>
      </c>
      <c r="G47" s="1670">
        <f t="shared" si="4"/>
        <v>0</v>
      </c>
      <c r="H47" s="1670">
        <f t="shared" si="4"/>
        <v>0</v>
      </c>
      <c r="I47" s="1670">
        <f t="shared" si="4"/>
        <v>0</v>
      </c>
      <c r="J47" s="1670">
        <f t="shared" si="4"/>
        <v>0</v>
      </c>
      <c r="K47" s="1670">
        <f t="shared" si="4"/>
        <v>642530</v>
      </c>
      <c r="L47" s="1670">
        <f>SUM(L44:L46)</f>
        <v>834645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5987</v>
      </c>
      <c r="D49" s="481"/>
      <c r="E49" s="481">
        <v>152462</v>
      </c>
      <c r="F49" s="481">
        <v>9439</v>
      </c>
      <c r="G49" s="481"/>
      <c r="H49" s="481">
        <v>11777</v>
      </c>
      <c r="I49" s="467"/>
      <c r="J49" s="467"/>
      <c r="K49" s="1672">
        <f>SUM(C49:J49)</f>
        <v>179665</v>
      </c>
      <c r="L49" s="481">
        <v>205500</v>
      </c>
    </row>
    <row r="50" spans="1:14" x14ac:dyDescent="0.2">
      <c r="A50" s="1504" t="s">
        <v>818</v>
      </c>
      <c r="B50" s="614">
        <v>2320</v>
      </c>
      <c r="C50" s="466">
        <v>240422</v>
      </c>
      <c r="D50" s="466">
        <v>53519</v>
      </c>
      <c r="E50" s="466">
        <v>1689</v>
      </c>
      <c r="F50" s="466">
        <v>4091</v>
      </c>
      <c r="G50" s="466"/>
      <c r="H50" s="466">
        <v>3509</v>
      </c>
      <c r="I50" s="467"/>
      <c r="J50" s="467"/>
      <c r="K50" s="1672">
        <f>SUM(C50:J50)</f>
        <v>303230</v>
      </c>
      <c r="L50" s="466">
        <v>338550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246409</v>
      </c>
      <c r="D53" s="1670">
        <f t="shared" ref="D53:L53" si="5">SUM(D49:D52)</f>
        <v>53519</v>
      </c>
      <c r="E53" s="1670">
        <f t="shared" si="5"/>
        <v>154151</v>
      </c>
      <c r="F53" s="1670">
        <f t="shared" si="5"/>
        <v>13530</v>
      </c>
      <c r="G53" s="1670">
        <f t="shared" si="5"/>
        <v>0</v>
      </c>
      <c r="H53" s="1670">
        <f t="shared" si="5"/>
        <v>15286</v>
      </c>
      <c r="I53" s="1670">
        <f t="shared" si="5"/>
        <v>0</v>
      </c>
      <c r="J53" s="1670">
        <f t="shared" si="5"/>
        <v>0</v>
      </c>
      <c r="K53" s="1670">
        <f t="shared" si="5"/>
        <v>482895</v>
      </c>
      <c r="L53" s="1670">
        <f t="shared" si="5"/>
        <v>544050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787883</v>
      </c>
      <c r="D55" s="481">
        <v>303723</v>
      </c>
      <c r="E55" s="481">
        <v>897</v>
      </c>
      <c r="F55" s="481">
        <v>5893</v>
      </c>
      <c r="G55" s="481"/>
      <c r="H55" s="481"/>
      <c r="I55" s="467"/>
      <c r="J55" s="467"/>
      <c r="K55" s="1672">
        <f>SUM(C55:J55)</f>
        <v>1098396</v>
      </c>
      <c r="L55" s="481">
        <v>1109000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787883</v>
      </c>
      <c r="D57" s="1674">
        <f t="shared" ref="D57:K57" si="6">SUM(D55:D56)</f>
        <v>303723</v>
      </c>
      <c r="E57" s="1674">
        <f t="shared" si="6"/>
        <v>897</v>
      </c>
      <c r="F57" s="1674">
        <f t="shared" si="6"/>
        <v>5893</v>
      </c>
      <c r="G57" s="1674">
        <f t="shared" si="6"/>
        <v>0</v>
      </c>
      <c r="H57" s="1674">
        <f t="shared" si="6"/>
        <v>0</v>
      </c>
      <c r="I57" s="1674">
        <f t="shared" si="6"/>
        <v>0</v>
      </c>
      <c r="J57" s="1674">
        <f t="shared" si="6"/>
        <v>0</v>
      </c>
      <c r="K57" s="1674">
        <f t="shared" si="6"/>
        <v>1098396</v>
      </c>
      <c r="L57" s="1670">
        <f>SUM(L55:L56)</f>
        <v>1109000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107000</v>
      </c>
      <c r="D59" s="481">
        <v>42800</v>
      </c>
      <c r="E59" s="481">
        <v>367</v>
      </c>
      <c r="F59" s="481">
        <v>344</v>
      </c>
      <c r="G59" s="481"/>
      <c r="H59" s="481">
        <v>1260</v>
      </c>
      <c r="I59" s="467"/>
      <c r="J59" s="467"/>
      <c r="K59" s="1672">
        <f t="shared" ref="K59:K64" si="7">SUM(C59:J59)</f>
        <v>151771</v>
      </c>
      <c r="L59" s="481">
        <v>150440</v>
      </c>
      <c r="M59" s="609"/>
      <c r="N59" s="609"/>
    </row>
    <row r="60" spans="1:14" s="343" customFormat="1" x14ac:dyDescent="0.2">
      <c r="A60" s="1504" t="s">
        <v>463</v>
      </c>
      <c r="B60" s="614">
        <v>2520</v>
      </c>
      <c r="C60" s="466">
        <v>223452</v>
      </c>
      <c r="D60" s="466">
        <v>34040</v>
      </c>
      <c r="E60" s="466">
        <v>49455</v>
      </c>
      <c r="F60" s="466">
        <v>30104</v>
      </c>
      <c r="G60" s="466"/>
      <c r="H60" s="466">
        <v>699</v>
      </c>
      <c r="I60" s="467"/>
      <c r="J60" s="467"/>
      <c r="K60" s="1672">
        <f t="shared" si="7"/>
        <v>337750</v>
      </c>
      <c r="L60" s="466">
        <v>395610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194161</v>
      </c>
      <c r="D63" s="466">
        <v>44864</v>
      </c>
      <c r="E63" s="466">
        <v>734907</v>
      </c>
      <c r="F63" s="466">
        <f>-98923+207474</f>
        <v>108551</v>
      </c>
      <c r="G63" s="466"/>
      <c r="H63" s="466"/>
      <c r="I63" s="467"/>
      <c r="J63" s="467"/>
      <c r="K63" s="1672">
        <f t="shared" si="7"/>
        <v>1082483</v>
      </c>
      <c r="L63" s="466">
        <v>1118400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524613</v>
      </c>
      <c r="D65" s="1670">
        <f t="shared" ref="D65:L65" si="8">SUM(D59:D64)</f>
        <v>121704</v>
      </c>
      <c r="E65" s="1670">
        <f t="shared" si="8"/>
        <v>784729</v>
      </c>
      <c r="F65" s="1670">
        <f t="shared" si="8"/>
        <v>138999</v>
      </c>
      <c r="G65" s="1670">
        <f t="shared" si="8"/>
        <v>0</v>
      </c>
      <c r="H65" s="1670">
        <f t="shared" si="8"/>
        <v>1959</v>
      </c>
      <c r="I65" s="1670">
        <f t="shared" si="8"/>
        <v>0</v>
      </c>
      <c r="J65" s="1670">
        <f t="shared" si="8"/>
        <v>0</v>
      </c>
      <c r="K65" s="1670">
        <f t="shared" si="8"/>
        <v>1572004</v>
      </c>
      <c r="L65" s="1670">
        <f t="shared" si="8"/>
        <v>1664450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3186859</v>
      </c>
      <c r="D74" s="1677">
        <f t="shared" ref="D74:K74" si="10">SUM(D42,D47,D53,D57,D65,D72,D73)</f>
        <v>794626</v>
      </c>
      <c r="E74" s="1677">
        <f t="shared" si="10"/>
        <v>1519770</v>
      </c>
      <c r="F74" s="1677">
        <f t="shared" si="10"/>
        <v>244031</v>
      </c>
      <c r="G74" s="1677">
        <f t="shared" si="10"/>
        <v>1169</v>
      </c>
      <c r="H74" s="1677">
        <f t="shared" si="10"/>
        <v>17245</v>
      </c>
      <c r="I74" s="1677">
        <f t="shared" si="10"/>
        <v>0</v>
      </c>
      <c r="J74" s="1677">
        <f t="shared" si="10"/>
        <v>0</v>
      </c>
      <c r="K74" s="1677">
        <f t="shared" si="10"/>
        <v>5763700</v>
      </c>
      <c r="L74" s="1677">
        <f>SUM(L42,L47,L53,L57,L65,L72,L73)</f>
        <v>6325370</v>
      </c>
    </row>
    <row r="75" spans="1:14" s="259" customFormat="1" ht="15.75" customHeight="1" thickTop="1" thickBot="1" x14ac:dyDescent="0.25">
      <c r="A75" s="1610" t="s">
        <v>47</v>
      </c>
      <c r="B75" s="1611" t="s">
        <v>575</v>
      </c>
      <c r="C75" s="573">
        <v>13237</v>
      </c>
      <c r="D75" s="573">
        <v>46</v>
      </c>
      <c r="E75" s="573">
        <f>32184+5250</f>
        <v>37434</v>
      </c>
      <c r="F75" s="573">
        <f>11730+6230</f>
        <v>17960</v>
      </c>
      <c r="G75" s="573"/>
      <c r="H75" s="573"/>
      <c r="I75" s="531"/>
      <c r="J75" s="531"/>
      <c r="K75" s="1670">
        <f>SUM(C75:J75)</f>
        <v>68677</v>
      </c>
      <c r="L75" s="576">
        <v>81040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1406551</v>
      </c>
      <c r="I79" s="477"/>
      <c r="J79" s="477"/>
      <c r="K79" s="1671">
        <f t="shared" si="11"/>
        <v>1406551</v>
      </c>
      <c r="L79" s="466">
        <v>1450000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1406551</v>
      </c>
      <c r="I84" s="477"/>
      <c r="J84" s="477"/>
      <c r="K84" s="1670">
        <f>SUM(K78:K83)</f>
        <v>1406551</v>
      </c>
      <c r="L84" s="1670">
        <f>SUM(L78:L83)</f>
        <v>1450000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1406551</v>
      </c>
      <c r="I102" s="477"/>
      <c r="J102" s="477"/>
      <c r="K102" s="1677">
        <f>SUM(K84,K92,K100,K101)</f>
        <v>1406551</v>
      </c>
      <c r="L102" s="1677">
        <f>SUM(L84,L92,L100,L101)</f>
        <v>1450000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150000</v>
      </c>
      <c r="M113" s="613"/>
      <c r="N113" s="613"/>
    </row>
    <row r="114" spans="1:14" ht="12.75" customHeight="1" thickTop="1" thickBot="1" x14ac:dyDescent="0.25">
      <c r="A114" s="1668" t="s">
        <v>48</v>
      </c>
      <c r="B114" s="1682"/>
      <c r="C114" s="1670">
        <f>SUM(C33,C74,C75,C102,C112,C113)</f>
        <v>15067456</v>
      </c>
      <c r="D114" s="1670">
        <f t="shared" ref="D114:K114" si="13">SUM(D33,D74,D75,D102,D112,D113)</f>
        <v>3013729</v>
      </c>
      <c r="E114" s="1670">
        <f t="shared" si="13"/>
        <v>1909576</v>
      </c>
      <c r="F114" s="1670">
        <f t="shared" si="13"/>
        <v>789993</v>
      </c>
      <c r="G114" s="1670">
        <f t="shared" si="13"/>
        <v>240599</v>
      </c>
      <c r="H114" s="1670">
        <f>SUM(H33,H74,H75,H102,H112,H113)</f>
        <v>2039604</v>
      </c>
      <c r="I114" s="1670">
        <f t="shared" si="13"/>
        <v>66282</v>
      </c>
      <c r="J114" s="1670">
        <f t="shared" si="13"/>
        <v>0</v>
      </c>
      <c r="K114" s="1670">
        <f t="shared" si="13"/>
        <v>23127239</v>
      </c>
      <c r="L114" s="1670">
        <f>SUM(L33,L74,L75,L102,L112,L113)</f>
        <v>24010659</v>
      </c>
    </row>
    <row r="115" spans="1:14" ht="13.5" thickTop="1" x14ac:dyDescent="0.2">
      <c r="A115" s="2155" t="s">
        <v>996</v>
      </c>
      <c r="B115" s="2156"/>
      <c r="C115" s="618"/>
      <c r="D115" s="618"/>
      <c r="E115" s="618"/>
      <c r="F115" s="618"/>
      <c r="G115" s="618"/>
      <c r="H115" s="618"/>
      <c r="I115" s="618"/>
      <c r="J115" s="618"/>
      <c r="K115" s="1684">
        <f>'Revenues 9-14'!C268-'Expenditures 15-22'!K114</f>
        <v>2678531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264650</v>
      </c>
      <c r="D124" s="466">
        <v>87570</v>
      </c>
      <c r="E124" s="466">
        <v>945803</v>
      </c>
      <c r="F124" s="466">
        <v>507313</v>
      </c>
      <c r="G124" s="466">
        <v>110204</v>
      </c>
      <c r="H124" s="466"/>
      <c r="I124" s="467">
        <v>5050</v>
      </c>
      <c r="J124" s="467"/>
      <c r="K124" s="1670">
        <f>SUM(C124:J124)</f>
        <v>1920590</v>
      </c>
      <c r="L124" s="466">
        <v>2212650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264650</v>
      </c>
      <c r="D127" s="1670">
        <f t="shared" ref="D127:L127" si="14">SUM(D122:D126)</f>
        <v>87570</v>
      </c>
      <c r="E127" s="1670">
        <f t="shared" si="14"/>
        <v>945803</v>
      </c>
      <c r="F127" s="1670">
        <f t="shared" si="14"/>
        <v>507313</v>
      </c>
      <c r="G127" s="1670">
        <f t="shared" si="14"/>
        <v>110204</v>
      </c>
      <c r="H127" s="1670">
        <f t="shared" si="14"/>
        <v>0</v>
      </c>
      <c r="I127" s="1670">
        <f t="shared" si="14"/>
        <v>5050</v>
      </c>
      <c r="J127" s="1670">
        <f t="shared" si="14"/>
        <v>0</v>
      </c>
      <c r="K127" s="1670">
        <f t="shared" si="14"/>
        <v>1920590</v>
      </c>
      <c r="L127" s="1670">
        <f t="shared" si="14"/>
        <v>2212650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264650</v>
      </c>
      <c r="D129" s="1677">
        <f t="shared" ref="D129:L129" si="15">SUM(D120,D127,D128)</f>
        <v>87570</v>
      </c>
      <c r="E129" s="1677">
        <f t="shared" si="15"/>
        <v>945803</v>
      </c>
      <c r="F129" s="1677">
        <f t="shared" si="15"/>
        <v>507313</v>
      </c>
      <c r="G129" s="1677">
        <f t="shared" si="15"/>
        <v>110204</v>
      </c>
      <c r="H129" s="1677">
        <f t="shared" si="15"/>
        <v>0</v>
      </c>
      <c r="I129" s="1677">
        <f t="shared" si="15"/>
        <v>5050</v>
      </c>
      <c r="J129" s="1677">
        <f t="shared" si="15"/>
        <v>0</v>
      </c>
      <c r="K129" s="1677">
        <f t="shared" si="15"/>
        <v>1920590</v>
      </c>
      <c r="L129" s="1677">
        <f t="shared" si="15"/>
        <v>2212650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250000</v>
      </c>
    </row>
    <row r="151" spans="1:14" ht="12.75" customHeight="1" thickTop="1" thickBot="1" x14ac:dyDescent="0.25">
      <c r="A151" s="2172" t="s">
        <v>620</v>
      </c>
      <c r="B151" s="2152"/>
      <c r="C151" s="1670">
        <f>SUM(C129,C130,C139,C149,C150)</f>
        <v>264650</v>
      </c>
      <c r="D151" s="1670">
        <f t="shared" ref="D151:K151" si="16">SUM(D129,D130,D139,D149,D150)</f>
        <v>87570</v>
      </c>
      <c r="E151" s="1670">
        <f t="shared" si="16"/>
        <v>945803</v>
      </c>
      <c r="F151" s="1670">
        <f t="shared" si="16"/>
        <v>507313</v>
      </c>
      <c r="G151" s="1670">
        <f t="shared" si="16"/>
        <v>110204</v>
      </c>
      <c r="H151" s="1670">
        <f t="shared" si="16"/>
        <v>0</v>
      </c>
      <c r="I151" s="1670">
        <f t="shared" si="16"/>
        <v>5050</v>
      </c>
      <c r="J151" s="1670">
        <f t="shared" si="16"/>
        <v>0</v>
      </c>
      <c r="K151" s="1670">
        <f t="shared" si="16"/>
        <v>1920590</v>
      </c>
      <c r="L151" s="1670">
        <f>SUM(L129,L130,L139,L149,L150)</f>
        <v>2462650</v>
      </c>
    </row>
    <row r="152" spans="1:14" ht="12.75" customHeight="1" thickTop="1" x14ac:dyDescent="0.2">
      <c r="A152" s="2175" t="s">
        <v>1178</v>
      </c>
      <c r="B152" s="2176"/>
      <c r="C152" s="618"/>
      <c r="D152" s="618"/>
      <c r="E152" s="618"/>
      <c r="F152" s="618"/>
      <c r="G152" s="618"/>
      <c r="H152" s="618"/>
      <c r="I152" s="618"/>
      <c r="J152" s="616"/>
      <c r="K152" s="1684">
        <f>'Revenues 9-14'!D268-'Expenditures 15-22'!K151</f>
        <v>-167036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2170094</v>
      </c>
      <c r="I169" s="616"/>
      <c r="J169" s="616"/>
      <c r="K169" s="1671">
        <f>SUM(C169:H169)</f>
        <v>2170094</v>
      </c>
      <c r="L169" s="656">
        <v>2030000</v>
      </c>
    </row>
    <row r="170" spans="1:14" ht="33.75" customHeight="1" x14ac:dyDescent="0.2">
      <c r="A170" s="669" t="s">
        <v>1670</v>
      </c>
      <c r="B170" s="671" t="s">
        <v>31</v>
      </c>
      <c r="C170" s="616"/>
      <c r="D170" s="616"/>
      <c r="E170" s="616"/>
      <c r="F170" s="616"/>
      <c r="G170" s="616"/>
      <c r="H170" s="569">
        <v>888428</v>
      </c>
      <c r="I170" s="616"/>
      <c r="J170" s="616"/>
      <c r="K170" s="1671">
        <f>SUM(C170:J170)</f>
        <v>888428</v>
      </c>
      <c r="L170" s="569">
        <v>890000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3058522</v>
      </c>
      <c r="I172" s="638"/>
      <c r="J172" s="616"/>
      <c r="K172" s="1677">
        <f>SUM(K168,K169,K170,K171)</f>
        <v>3058522</v>
      </c>
      <c r="L172" s="1677">
        <f>SUM(L168,L169,L170,L171)</f>
        <v>2920000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3058522</v>
      </c>
      <c r="I174" s="638"/>
      <c r="J174" s="616"/>
      <c r="K174" s="1677">
        <f>SUM(K160,K172,K173)</f>
        <v>3058522</v>
      </c>
      <c r="L174" s="1677">
        <f>SUM(L160,L172,L173)</f>
        <v>2920000</v>
      </c>
    </row>
    <row r="175" spans="1:14" ht="13.5" thickTop="1" x14ac:dyDescent="0.2">
      <c r="A175" s="2155" t="s">
        <v>996</v>
      </c>
      <c r="B175" s="2156"/>
      <c r="C175" s="616"/>
      <c r="D175" s="616"/>
      <c r="E175" s="616"/>
      <c r="F175" s="616"/>
      <c r="G175" s="616"/>
      <c r="H175" s="618"/>
      <c r="I175" s="616"/>
      <c r="J175" s="616"/>
      <c r="K175" s="1684">
        <f>'Revenues 9-14'!E268-'Expenditures 15-22'!K174</f>
        <v>-82199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780</v>
      </c>
      <c r="D182" s="466"/>
      <c r="E182" s="466">
        <v>2053404</v>
      </c>
      <c r="F182" s="466">
        <v>187564</v>
      </c>
      <c r="G182" s="466"/>
      <c r="H182" s="466"/>
      <c r="I182" s="467"/>
      <c r="J182" s="467"/>
      <c r="K182" s="1671">
        <f>SUM(C182:J182)</f>
        <v>2241748</v>
      </c>
      <c r="L182" s="466">
        <v>2409500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780</v>
      </c>
      <c r="D184" s="1677">
        <f t="shared" ref="D184:J184" si="17">SUM(D180,D182,D183)</f>
        <v>0</v>
      </c>
      <c r="E184" s="1677">
        <f t="shared" si="17"/>
        <v>2053404</v>
      </c>
      <c r="F184" s="1677">
        <f t="shared" si="17"/>
        <v>187564</v>
      </c>
      <c r="G184" s="1677">
        <f t="shared" si="17"/>
        <v>0</v>
      </c>
      <c r="H184" s="1677">
        <f t="shared" si="17"/>
        <v>0</v>
      </c>
      <c r="I184" s="1677">
        <f t="shared" si="17"/>
        <v>0</v>
      </c>
      <c r="J184" s="1677">
        <f t="shared" si="17"/>
        <v>0</v>
      </c>
      <c r="K184" s="1677">
        <f>SUM(K180,K182,K183)</f>
        <v>2241748</v>
      </c>
      <c r="L184" s="1677">
        <f>SUM(L180, L182:L183)</f>
        <v>2409500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780</v>
      </c>
      <c r="D210" s="1670">
        <f>SUM(D184,D185)</f>
        <v>0</v>
      </c>
      <c r="E210" s="1670">
        <f>SUM(E184,E185,E196)</f>
        <v>2053404</v>
      </c>
      <c r="F210" s="1670">
        <f>SUM(F184,F185)</f>
        <v>187564</v>
      </c>
      <c r="G210" s="1670">
        <f>SUM(G184,G185)</f>
        <v>0</v>
      </c>
      <c r="H210" s="1670">
        <f>SUM(H184,H185,H196,H208,H209)</f>
        <v>0</v>
      </c>
      <c r="I210" s="1670">
        <f>SUM(I184,I185)</f>
        <v>0</v>
      </c>
      <c r="J210" s="1670">
        <f>SUM(J184,J185)</f>
        <v>0</v>
      </c>
      <c r="K210" s="1671">
        <f>SUM(K184,K185,K196,K208,K209)</f>
        <v>2241748</v>
      </c>
      <c r="L210" s="1670">
        <f>SUM(L184,L185,L196,L208,L209)</f>
        <v>2409500</v>
      </c>
    </row>
    <row r="211" spans="1:14" ht="13.5" thickTop="1" x14ac:dyDescent="0.2">
      <c r="A211" s="2155" t="s">
        <v>996</v>
      </c>
      <c r="B211" s="2156"/>
      <c r="C211" s="618"/>
      <c r="D211" s="618"/>
      <c r="E211" s="618"/>
      <c r="F211" s="618"/>
      <c r="G211" s="618"/>
      <c r="H211" s="618"/>
      <c r="I211" s="616"/>
      <c r="J211" s="616"/>
      <c r="K211" s="1684">
        <f>'Revenues 9-14'!F268-'Expenditures 15-22'!K210</f>
        <v>434990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218686</v>
      </c>
      <c r="E215" s="616"/>
      <c r="F215" s="616"/>
      <c r="G215" s="616"/>
      <c r="H215" s="616"/>
      <c r="I215" s="616"/>
      <c r="J215" s="616"/>
      <c r="K215" s="1671">
        <f>D215</f>
        <v>218686</v>
      </c>
      <c r="L215" s="466">
        <v>224750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115794</v>
      </c>
      <c r="E217" s="616"/>
      <c r="F217" s="616"/>
      <c r="G217" s="616"/>
      <c r="H217" s="616"/>
      <c r="I217" s="616"/>
      <c r="J217" s="616"/>
      <c r="K217" s="1671">
        <f t="shared" si="19"/>
        <v>115794</v>
      </c>
      <c r="L217" s="466">
        <v>126000</v>
      </c>
    </row>
    <row r="218" spans="1:14" x14ac:dyDescent="0.2">
      <c r="A218" s="1504" t="s">
        <v>278</v>
      </c>
      <c r="B218" s="614" t="s">
        <v>968</v>
      </c>
      <c r="C218" s="616"/>
      <c r="D218" s="467">
        <v>8744</v>
      </c>
      <c r="E218" s="616"/>
      <c r="F218" s="616"/>
      <c r="G218" s="616"/>
      <c r="H218" s="616"/>
      <c r="I218" s="616"/>
      <c r="J218" s="616"/>
      <c r="K218" s="1671">
        <f t="shared" si="19"/>
        <v>8744</v>
      </c>
      <c r="L218" s="466">
        <v>8500</v>
      </c>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v>997</v>
      </c>
      <c r="E224" s="616"/>
      <c r="F224" s="616"/>
      <c r="G224" s="616"/>
      <c r="H224" s="616"/>
      <c r="I224" s="616"/>
      <c r="J224" s="616"/>
      <c r="K224" s="1671">
        <f t="shared" si="19"/>
        <v>997</v>
      </c>
      <c r="L224" s="466">
        <v>900</v>
      </c>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344221</v>
      </c>
      <c r="E229" s="616"/>
      <c r="F229" s="616"/>
      <c r="G229" s="616"/>
      <c r="H229" s="616"/>
      <c r="I229" s="616"/>
      <c r="J229" s="616"/>
      <c r="K229" s="1670">
        <f>SUM(K215:K228)</f>
        <v>344221</v>
      </c>
      <c r="L229" s="1670">
        <f>SUM(L215:L228)</f>
        <v>360150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7730</v>
      </c>
      <c r="E232" s="616"/>
      <c r="F232" s="616"/>
      <c r="G232" s="616"/>
      <c r="H232" s="616"/>
      <c r="I232" s="616"/>
      <c r="J232" s="616"/>
      <c r="K232" s="1671">
        <f t="shared" ref="K232:K237" si="20">D232</f>
        <v>7730</v>
      </c>
      <c r="L232" s="466">
        <v>8000</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55059</v>
      </c>
      <c r="E234" s="616"/>
      <c r="F234" s="616"/>
      <c r="G234" s="616"/>
      <c r="H234" s="616"/>
      <c r="I234" s="616"/>
      <c r="J234" s="616"/>
      <c r="K234" s="1671">
        <f t="shared" si="20"/>
        <v>55059</v>
      </c>
      <c r="L234" s="466">
        <v>65000</v>
      </c>
    </row>
    <row r="235" spans="1:12" x14ac:dyDescent="0.2">
      <c r="A235" s="1504" t="s">
        <v>199</v>
      </c>
      <c r="B235" s="614">
        <v>2140</v>
      </c>
      <c r="C235" s="616"/>
      <c r="D235" s="466">
        <v>749</v>
      </c>
      <c r="E235" s="616"/>
      <c r="F235" s="616"/>
      <c r="G235" s="616"/>
      <c r="H235" s="616"/>
      <c r="I235" s="616"/>
      <c r="J235" s="616"/>
      <c r="K235" s="1671">
        <f t="shared" si="20"/>
        <v>749</v>
      </c>
      <c r="L235" s="466">
        <v>3800</v>
      </c>
    </row>
    <row r="236" spans="1:12" x14ac:dyDescent="0.2">
      <c r="A236" s="1504" t="s">
        <v>200</v>
      </c>
      <c r="B236" s="614">
        <v>2150</v>
      </c>
      <c r="C236" s="616"/>
      <c r="D236" s="466">
        <v>4097</v>
      </c>
      <c r="E236" s="616"/>
      <c r="F236" s="616"/>
      <c r="G236" s="616"/>
      <c r="H236" s="616"/>
      <c r="I236" s="616"/>
      <c r="J236" s="616"/>
      <c r="K236" s="1671">
        <f t="shared" si="20"/>
        <v>4097</v>
      </c>
      <c r="L236" s="466"/>
    </row>
    <row r="237" spans="1:12" x14ac:dyDescent="0.2">
      <c r="A237" s="1504" t="s">
        <v>165</v>
      </c>
      <c r="B237" s="614">
        <v>2190</v>
      </c>
      <c r="C237" s="616"/>
      <c r="D237" s="466">
        <v>9196</v>
      </c>
      <c r="E237" s="616"/>
      <c r="F237" s="616"/>
      <c r="G237" s="616"/>
      <c r="H237" s="616"/>
      <c r="I237" s="616"/>
      <c r="J237" s="616"/>
      <c r="K237" s="1671">
        <f t="shared" si="20"/>
        <v>9196</v>
      </c>
      <c r="L237" s="466">
        <v>10500</v>
      </c>
    </row>
    <row r="238" spans="1:12" ht="12.75" customHeight="1" thickBot="1" x14ac:dyDescent="0.25">
      <c r="A238" s="1668" t="s">
        <v>560</v>
      </c>
      <c r="B238" s="1675" t="s">
        <v>716</v>
      </c>
      <c r="C238" s="616"/>
      <c r="D238" s="1670">
        <f>SUM(D232:D237)</f>
        <v>76831</v>
      </c>
      <c r="E238" s="616"/>
      <c r="F238" s="616"/>
      <c r="G238" s="616"/>
      <c r="H238" s="616"/>
      <c r="I238" s="616"/>
      <c r="J238" s="616"/>
      <c r="K238" s="1670">
        <f>SUM(K232:K237)</f>
        <v>76831</v>
      </c>
      <c r="L238" s="1670">
        <f>SUM(L232:L237)</f>
        <v>87300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9979</v>
      </c>
      <c r="E240" s="616"/>
      <c r="F240" s="616"/>
      <c r="G240" s="616"/>
      <c r="H240" s="616"/>
      <c r="I240" s="616"/>
      <c r="J240" s="616"/>
      <c r="K240" s="1672">
        <f>D240</f>
        <v>9979</v>
      </c>
      <c r="L240" s="481">
        <v>10475</v>
      </c>
    </row>
    <row r="241" spans="1:12" x14ac:dyDescent="0.2">
      <c r="A241" s="1504" t="s">
        <v>815</v>
      </c>
      <c r="B241" s="614">
        <v>2220</v>
      </c>
      <c r="C241" s="616"/>
      <c r="D241" s="466">
        <v>19253</v>
      </c>
      <c r="E241" s="616"/>
      <c r="F241" s="616"/>
      <c r="G241" s="616"/>
      <c r="H241" s="616"/>
      <c r="I241" s="616"/>
      <c r="J241" s="616"/>
      <c r="K241" s="1672">
        <f>D241</f>
        <v>19253</v>
      </c>
      <c r="L241" s="466">
        <v>22000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29232</v>
      </c>
      <c r="E243" s="616"/>
      <c r="F243" s="616"/>
      <c r="G243" s="616"/>
      <c r="H243" s="616"/>
      <c r="I243" s="616"/>
      <c r="J243" s="616"/>
      <c r="K243" s="1670">
        <f>SUM(K240:K242)</f>
        <v>29232</v>
      </c>
      <c r="L243" s="1670">
        <f>SUM(L240:L242)</f>
        <v>32475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25495</v>
      </c>
      <c r="E245" s="616"/>
      <c r="F245" s="616"/>
      <c r="G245" s="616"/>
      <c r="H245" s="616"/>
      <c r="I245" s="616"/>
      <c r="J245" s="616"/>
      <c r="K245" s="1672">
        <f>D245</f>
        <v>25495</v>
      </c>
      <c r="L245" s="481">
        <v>25000</v>
      </c>
    </row>
    <row r="246" spans="1:12" x14ac:dyDescent="0.2">
      <c r="A246" s="1504" t="s">
        <v>818</v>
      </c>
      <c r="B246" s="614">
        <v>2320</v>
      </c>
      <c r="C246" s="616"/>
      <c r="D246" s="466">
        <v>19075</v>
      </c>
      <c r="E246" s="616"/>
      <c r="F246" s="616"/>
      <c r="G246" s="616"/>
      <c r="H246" s="616"/>
      <c r="I246" s="616"/>
      <c r="J246" s="616"/>
      <c r="K246" s="1672">
        <f t="shared" ref="K246:K256" si="21">D246</f>
        <v>19075</v>
      </c>
      <c r="L246" s="466">
        <v>18700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44570</v>
      </c>
      <c r="E257" s="616"/>
      <c r="F257" s="616"/>
      <c r="G257" s="616"/>
      <c r="H257" s="616"/>
      <c r="I257" s="616"/>
      <c r="J257" s="616"/>
      <c r="K257" s="1670">
        <f>SUM(K245:K256)</f>
        <v>44570</v>
      </c>
      <c r="L257" s="1670">
        <f>SUM(L245:L256)</f>
        <v>43700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40018</v>
      </c>
      <c r="E259" s="616"/>
      <c r="F259" s="616"/>
      <c r="G259" s="616"/>
      <c r="H259" s="616"/>
      <c r="I259" s="616"/>
      <c r="J259" s="616"/>
      <c r="K259" s="1672">
        <f>D259</f>
        <v>40018</v>
      </c>
      <c r="L259" s="481">
        <v>45500</v>
      </c>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40018</v>
      </c>
      <c r="E261" s="616"/>
      <c r="F261" s="616"/>
      <c r="G261" s="616"/>
      <c r="H261" s="616"/>
      <c r="I261" s="616"/>
      <c r="J261" s="616"/>
      <c r="K261" s="1670">
        <f>SUM(K259:K260)</f>
        <v>40018</v>
      </c>
      <c r="L261" s="1670">
        <f>SUM(L259:L260)</f>
        <v>45500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1707</v>
      </c>
      <c r="E263" s="616"/>
      <c r="F263" s="616"/>
      <c r="G263" s="616"/>
      <c r="H263" s="616"/>
      <c r="I263" s="616"/>
      <c r="J263" s="616"/>
      <c r="K263" s="1672">
        <f>D263</f>
        <v>1707</v>
      </c>
      <c r="L263" s="481">
        <v>1700</v>
      </c>
    </row>
    <row r="264" spans="1:14" x14ac:dyDescent="0.2">
      <c r="A264" s="1504" t="s">
        <v>463</v>
      </c>
      <c r="B264" s="685">
        <v>2520</v>
      </c>
      <c r="C264" s="616"/>
      <c r="D264" s="466">
        <v>36992</v>
      </c>
      <c r="E264" s="616"/>
      <c r="F264" s="616"/>
      <c r="G264" s="616"/>
      <c r="H264" s="616"/>
      <c r="I264" s="616"/>
      <c r="J264" s="616"/>
      <c r="K264" s="1672">
        <f t="shared" ref="K264:K269" si="22">D264</f>
        <v>36992</v>
      </c>
      <c r="L264" s="466">
        <v>38700</v>
      </c>
    </row>
    <row r="265" spans="1:14" x14ac:dyDescent="0.2">
      <c r="A265" s="1504" t="s">
        <v>4</v>
      </c>
      <c r="B265" s="614">
        <v>2530</v>
      </c>
      <c r="C265" s="616"/>
      <c r="D265" s="466">
        <v>13124</v>
      </c>
      <c r="E265" s="616"/>
      <c r="F265" s="616"/>
      <c r="G265" s="616"/>
      <c r="H265" s="616"/>
      <c r="I265" s="616"/>
      <c r="J265" s="616"/>
      <c r="K265" s="1672">
        <f t="shared" si="22"/>
        <v>13124</v>
      </c>
      <c r="L265" s="466">
        <v>13250</v>
      </c>
    </row>
    <row r="266" spans="1:14" x14ac:dyDescent="0.2">
      <c r="A266" s="1504" t="s">
        <v>197</v>
      </c>
      <c r="B266" s="614">
        <v>2540</v>
      </c>
      <c r="C266" s="616"/>
      <c r="D266" s="466">
        <v>47191</v>
      </c>
      <c r="E266" s="616"/>
      <c r="F266" s="616"/>
      <c r="G266" s="616"/>
      <c r="H266" s="616"/>
      <c r="I266" s="616"/>
      <c r="J266" s="616"/>
      <c r="K266" s="1672">
        <f t="shared" si="22"/>
        <v>47191</v>
      </c>
      <c r="L266" s="466">
        <v>47000</v>
      </c>
    </row>
    <row r="267" spans="1:14" x14ac:dyDescent="0.2">
      <c r="A267" s="1504" t="s">
        <v>953</v>
      </c>
      <c r="B267" s="614">
        <v>2550</v>
      </c>
      <c r="C267" s="616"/>
      <c r="D267" s="466">
        <v>157</v>
      </c>
      <c r="E267" s="616"/>
      <c r="F267" s="616"/>
      <c r="G267" s="616"/>
      <c r="H267" s="616"/>
      <c r="I267" s="616"/>
      <c r="J267" s="616"/>
      <c r="K267" s="1672">
        <f t="shared" si="22"/>
        <v>157</v>
      </c>
      <c r="L267" s="466">
        <v>1950</v>
      </c>
    </row>
    <row r="268" spans="1:14" x14ac:dyDescent="0.2">
      <c r="A268" s="1504" t="s">
        <v>100</v>
      </c>
      <c r="B268" s="614">
        <v>2560</v>
      </c>
      <c r="C268" s="616"/>
      <c r="D268" s="466">
        <v>29109</v>
      </c>
      <c r="E268" s="616"/>
      <c r="F268" s="616"/>
      <c r="G268" s="616"/>
      <c r="H268" s="616"/>
      <c r="I268" s="616"/>
      <c r="J268" s="616"/>
      <c r="K268" s="1672">
        <f t="shared" si="22"/>
        <v>29109</v>
      </c>
      <c r="L268" s="466">
        <v>29800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128280</v>
      </c>
      <c r="E270" s="616"/>
      <c r="F270" s="616"/>
      <c r="G270" s="616"/>
      <c r="H270" s="616"/>
      <c r="I270" s="616"/>
      <c r="J270" s="616"/>
      <c r="K270" s="1670">
        <f>SUM(K263:K269)</f>
        <v>128280</v>
      </c>
      <c r="L270" s="1670">
        <f>SUM(L263:L269)</f>
        <v>132400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318931</v>
      </c>
      <c r="E279" s="616"/>
      <c r="F279" s="616"/>
      <c r="G279" s="616"/>
      <c r="H279" s="616"/>
      <c r="I279" s="616"/>
      <c r="J279" s="616"/>
      <c r="K279" s="1677">
        <f>SUM(K238,K243,K257,K261,K270,K277,K278)</f>
        <v>318931</v>
      </c>
      <c r="L279" s="1677">
        <f>SUM(L238,L243,L257,L261,L270,L277,L278)</f>
        <v>341375</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663152</v>
      </c>
      <c r="E295" s="616"/>
      <c r="F295" s="616"/>
      <c r="G295" s="616"/>
      <c r="H295" s="1670">
        <f>H293</f>
        <v>0</v>
      </c>
      <c r="I295" s="616"/>
      <c r="J295" s="616"/>
      <c r="K295" s="1670">
        <f>SUM(K229,K279,K280,K285,K293,K294)</f>
        <v>663152</v>
      </c>
      <c r="L295" s="1670">
        <f>SUM(L229,L279,L280,L285,L293,L294)</f>
        <v>701525</v>
      </c>
    </row>
    <row r="296" spans="1:14" ht="13.5" thickTop="1" x14ac:dyDescent="0.2">
      <c r="A296" s="2155" t="s">
        <v>996</v>
      </c>
      <c r="B296" s="2156"/>
      <c r="C296" s="616"/>
      <c r="D296" s="618"/>
      <c r="E296" s="616"/>
      <c r="F296" s="616"/>
      <c r="G296" s="616"/>
      <c r="H296" s="687"/>
      <c r="I296" s="616"/>
      <c r="J296" s="616"/>
      <c r="K296" s="1684">
        <f>'Revenues 9-14'!G268-'Expenditures 15-22'!K295</f>
        <v>134152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v>7500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7500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7500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v>3252</v>
      </c>
      <c r="F320" s="467"/>
      <c r="G320" s="467"/>
      <c r="H320" s="467"/>
      <c r="I320" s="467"/>
      <c r="J320" s="467"/>
      <c r="K320" s="1671">
        <f t="shared" ref="K320:K327" si="24">SUM(C320:J320)</f>
        <v>3252</v>
      </c>
      <c r="L320" s="467">
        <v>114000</v>
      </c>
      <c r="M320" s="665"/>
      <c r="N320" s="665"/>
    </row>
    <row r="321" spans="1:14" s="674" customFormat="1" x14ac:dyDescent="0.2">
      <c r="A321" s="1519" t="s">
        <v>300</v>
      </c>
      <c r="B321" s="697" t="s">
        <v>283</v>
      </c>
      <c r="C321" s="467"/>
      <c r="D321" s="467"/>
      <c r="E321" s="467">
        <v>113543</v>
      </c>
      <c r="F321" s="467"/>
      <c r="G321" s="467"/>
      <c r="H321" s="467"/>
      <c r="I321" s="467"/>
      <c r="J321" s="467"/>
      <c r="K321" s="1671">
        <f t="shared" si="24"/>
        <v>113543</v>
      </c>
      <c r="L321" s="467">
        <v>35000</v>
      </c>
      <c r="M321" s="665"/>
      <c r="N321" s="665"/>
    </row>
    <row r="322" spans="1:14" s="674" customFormat="1" x14ac:dyDescent="0.2">
      <c r="A322" s="1519" t="s">
        <v>238</v>
      </c>
      <c r="B322" s="697" t="s">
        <v>284</v>
      </c>
      <c r="C322" s="467"/>
      <c r="D322" s="467"/>
      <c r="E322" s="467">
        <v>80313</v>
      </c>
      <c r="F322" s="467"/>
      <c r="G322" s="467"/>
      <c r="H322" s="467"/>
      <c r="I322" s="467"/>
      <c r="J322" s="467"/>
      <c r="K322" s="1671">
        <f t="shared" si="24"/>
        <v>80313</v>
      </c>
      <c r="L322" s="467">
        <v>78500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54300</v>
      </c>
      <c r="F327" s="467"/>
      <c r="G327" s="467"/>
      <c r="H327" s="467"/>
      <c r="I327" s="467"/>
      <c r="J327" s="467"/>
      <c r="K327" s="1671">
        <f t="shared" si="24"/>
        <v>54300</v>
      </c>
      <c r="L327" s="467">
        <v>90000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251408</v>
      </c>
      <c r="F330" s="1670">
        <f t="shared" si="25"/>
        <v>0</v>
      </c>
      <c r="G330" s="1670">
        <f t="shared" si="25"/>
        <v>0</v>
      </c>
      <c r="H330" s="1670">
        <f t="shared" si="25"/>
        <v>0</v>
      </c>
      <c r="I330" s="1670">
        <f t="shared" si="25"/>
        <v>0</v>
      </c>
      <c r="J330" s="1670">
        <f t="shared" si="25"/>
        <v>0</v>
      </c>
      <c r="K330" s="1670">
        <f>SUM(K319:K329)</f>
        <v>251408</v>
      </c>
      <c r="L330" s="1670">
        <f>SUM(L319:L329)</f>
        <v>317500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251408</v>
      </c>
      <c r="F342" s="1670">
        <f>SUM(F330)</f>
        <v>0</v>
      </c>
      <c r="G342" s="1670">
        <f>SUM(G330)</f>
        <v>0</v>
      </c>
      <c r="H342" s="1670">
        <f>SUM(H330,H334,H340)</f>
        <v>0</v>
      </c>
      <c r="I342" s="1670">
        <f>SUM(I330)</f>
        <v>0</v>
      </c>
      <c r="J342" s="1670">
        <f>SUM(J330)</f>
        <v>0</v>
      </c>
      <c r="K342" s="1670">
        <f>SUM(K330,K334,K340)</f>
        <v>251408</v>
      </c>
      <c r="L342" s="1677">
        <f>SUM(L330,L340,L341)</f>
        <v>317500</v>
      </c>
    </row>
    <row r="343" spans="1:14" ht="12.75" customHeight="1" thickTop="1" x14ac:dyDescent="0.2">
      <c r="A343" s="2168" t="s">
        <v>996</v>
      </c>
      <c r="B343" s="2169"/>
      <c r="C343" s="616"/>
      <c r="D343" s="616"/>
      <c r="E343" s="616"/>
      <c r="F343" s="616"/>
      <c r="G343" s="616"/>
      <c r="H343" s="616"/>
      <c r="I343" s="616"/>
      <c r="J343" s="616"/>
      <c r="K343" s="1684">
        <f>'Revenues 9-14'!J268-'Expenditures 15-22'!K342</f>
        <v>44839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45134</v>
      </c>
      <c r="F348" s="466">
        <v>3574</v>
      </c>
      <c r="G348" s="466"/>
      <c r="H348" s="466"/>
      <c r="I348" s="467"/>
      <c r="J348" s="467"/>
      <c r="K348" s="1671">
        <f>SUM(C348:J348)</f>
        <v>48708</v>
      </c>
      <c r="L348" s="466">
        <v>50000</v>
      </c>
    </row>
    <row r="349" spans="1:14" x14ac:dyDescent="0.2">
      <c r="A349" s="1504" t="s">
        <v>197</v>
      </c>
      <c r="B349" s="614">
        <v>2540</v>
      </c>
      <c r="C349" s="466"/>
      <c r="D349" s="466"/>
      <c r="E349" s="466"/>
      <c r="F349" s="466"/>
      <c r="G349" s="466"/>
      <c r="H349" s="466"/>
      <c r="I349" s="467"/>
      <c r="J349" s="467"/>
      <c r="K349" s="1671">
        <f>SUM(C349:J349)</f>
        <v>0</v>
      </c>
      <c r="L349" s="466">
        <v>50000</v>
      </c>
    </row>
    <row r="350" spans="1:14" ht="12.75" customHeight="1" thickBot="1" x14ac:dyDescent="0.25">
      <c r="A350" s="1668" t="s">
        <v>719</v>
      </c>
      <c r="B350" s="1669" t="s">
        <v>35</v>
      </c>
      <c r="C350" s="1670">
        <f>SUM(C348:C349)</f>
        <v>0</v>
      </c>
      <c r="D350" s="1670">
        <f t="shared" ref="D350:L350" si="26">SUM(D348:D349)</f>
        <v>0</v>
      </c>
      <c r="E350" s="1670">
        <f t="shared" si="26"/>
        <v>45134</v>
      </c>
      <c r="F350" s="1670">
        <f t="shared" si="26"/>
        <v>3574</v>
      </c>
      <c r="G350" s="1670">
        <f t="shared" si="26"/>
        <v>0</v>
      </c>
      <c r="H350" s="1670">
        <f t="shared" si="26"/>
        <v>0</v>
      </c>
      <c r="I350" s="1670">
        <f t="shared" si="26"/>
        <v>0</v>
      </c>
      <c r="J350" s="1670">
        <f t="shared" si="26"/>
        <v>0</v>
      </c>
      <c r="K350" s="1670">
        <f t="shared" si="26"/>
        <v>48708</v>
      </c>
      <c r="L350" s="1670">
        <f t="shared" si="26"/>
        <v>100000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45134</v>
      </c>
      <c r="F352" s="1670">
        <f t="shared" si="27"/>
        <v>3574</v>
      </c>
      <c r="G352" s="1670">
        <f t="shared" si="27"/>
        <v>0</v>
      </c>
      <c r="H352" s="1670">
        <f t="shared" si="27"/>
        <v>0</v>
      </c>
      <c r="I352" s="1670">
        <f t="shared" si="27"/>
        <v>0</v>
      </c>
      <c r="J352" s="1670">
        <f t="shared" si="27"/>
        <v>0</v>
      </c>
      <c r="K352" s="1670">
        <f t="shared" si="27"/>
        <v>48708</v>
      </c>
      <c r="L352" s="1670">
        <f t="shared" si="27"/>
        <v>100000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45134</v>
      </c>
      <c r="F367" s="1670">
        <f t="shared" si="28"/>
        <v>3574</v>
      </c>
      <c r="G367" s="1670">
        <f t="shared" si="28"/>
        <v>0</v>
      </c>
      <c r="H367" s="1670">
        <f t="shared" si="28"/>
        <v>0</v>
      </c>
      <c r="I367" s="1670">
        <f t="shared" si="28"/>
        <v>0</v>
      </c>
      <c r="J367" s="1670">
        <f t="shared" si="28"/>
        <v>0</v>
      </c>
      <c r="K367" s="1670">
        <f t="shared" si="28"/>
        <v>48708</v>
      </c>
      <c r="L367" s="1670">
        <f t="shared" si="28"/>
        <v>100000</v>
      </c>
    </row>
    <row r="368" spans="1:14" ht="13.5" thickTop="1" x14ac:dyDescent="0.2">
      <c r="A368" s="2155" t="s">
        <v>996</v>
      </c>
      <c r="B368" s="2156"/>
      <c r="C368" s="654"/>
      <c r="D368" s="654"/>
      <c r="E368" s="626"/>
      <c r="F368" s="626"/>
      <c r="G368" s="626"/>
      <c r="H368" s="626"/>
      <c r="I368" s="626"/>
      <c r="J368" s="623"/>
      <c r="K368" s="1671">
        <f>'Revenues 9-14'!K268-'Expenditures 15-22'!K367</f>
        <v>-16626</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www.w3.org/XML/1998/namespace"/>
    <ds:schemaRef ds:uri="http://purl.org/dc/dcmitype/"/>
    <ds:schemaRef ds:uri="6ce3111e-7420-4802-b50a-75d4e9a0b980"/>
    <ds:schemaRef ds:uri="http://purl.org/dc/terms/"/>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4d435f69-8686-490b-bd6d-b153bf22ab50"/>
    <ds:schemaRef ds:uri="d21dc803-237d-4c68-8692-8d731fd29118"/>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2019-09-28T20:10:55Z</cp:lastPrinted>
  <dcterms:created xsi:type="dcterms:W3CDTF">2003-10-29T19:06:34Z</dcterms:created>
  <dcterms:modified xsi:type="dcterms:W3CDTF">2019-12-02T20:30:10Z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Other deliverables</vt:lpwstr>
  </property>
  <property fmtid="{D5CDD505-2E9C-101B-9397-08002B2CF9AE}" pid="5" name="tabIndex">
    <vt:lpwstr>140</vt:lpwstr>
  </property>
  <property fmtid="{D5CDD505-2E9C-101B-9397-08002B2CF9AE}" pid="6" name="workpaperIndex">
    <vt:lpwstr/>
  </property>
</Properties>
</file>