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194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G39" i="108"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B6999" i="106" s="1"/>
  <c r="D6999" i="106" s="1"/>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B7088" i="106" s="1"/>
  <c r="D7088" i="106" s="1"/>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30" i="108"/>
  <c r="D31" i="108"/>
  <c r="D36" i="108"/>
  <c r="D37" i="108"/>
  <c r="E31" i="108"/>
  <c r="G31" i="108"/>
  <c r="E33" i="108"/>
  <c r="G33" i="108"/>
  <c r="E34" i="108"/>
  <c r="G34" i="108"/>
  <c r="E35"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H28" i="118"/>
  <c r="H33" i="118"/>
  <c r="J22" i="37"/>
  <c r="L22" i="37"/>
  <c r="B5752" i="106"/>
  <c r="D5752" i="106" s="1"/>
  <c r="D17" i="7"/>
  <c r="B4104" i="106" s="1"/>
  <c r="D4104" i="106" s="1"/>
  <c r="J367" i="29" l="1"/>
  <c r="B7245" i="106" s="1"/>
  <c r="D7245" i="106" s="1"/>
  <c r="B7235" i="106"/>
  <c r="D7235" i="106" s="1"/>
  <c r="D22" i="37"/>
  <c r="D11" i="37"/>
  <c r="L367" i="29"/>
  <c r="F62" i="34"/>
  <c r="G38" i="108"/>
  <c r="B7231" i="106"/>
  <c r="D7231" i="106" s="1"/>
  <c r="H342" i="29"/>
  <c r="J129" i="29"/>
  <c r="B7038" i="106" s="1"/>
  <c r="D7038" i="106" s="1"/>
  <c r="B6238" i="106"/>
  <c r="D6238" i="106" s="1"/>
  <c r="D6103" i="106"/>
  <c r="B2836" i="106"/>
  <c r="D2836" i="106" s="1"/>
  <c r="F72" i="34"/>
  <c r="E30" i="108"/>
  <c r="C352" i="29"/>
  <c r="K76" i="4"/>
  <c r="B3586" i="106" s="1"/>
  <c r="D3586" i="106" s="1"/>
  <c r="G210" i="29"/>
  <c r="D9" i="7"/>
  <c r="B1767" i="106" s="1"/>
  <c r="D1767" i="106" s="1"/>
  <c r="F14" i="4"/>
  <c r="B2597" i="106" s="1"/>
  <c r="D2597" i="106" s="1"/>
  <c r="D24" i="37"/>
  <c r="B4270" i="106" s="1"/>
  <c r="D4270" i="106" s="1"/>
  <c r="F71" i="34"/>
  <c r="F44" i="34"/>
  <c r="G15" i="145"/>
  <c r="G14" i="4"/>
  <c r="B2609" i="106" s="1"/>
  <c r="D2609" i="106" s="1"/>
  <c r="J41" i="3"/>
  <c r="B3647" i="106"/>
  <c r="D3647" i="106" s="1"/>
  <c r="L13" i="11"/>
  <c r="B2060" i="106" s="1"/>
  <c r="D2060" i="106" s="1"/>
  <c r="F46" i="34"/>
  <c r="C342" i="29"/>
  <c r="B7216" i="106" s="1"/>
  <c r="D7216" i="106" s="1"/>
  <c r="B6995" i="106"/>
  <c r="D6995" i="106" s="1"/>
  <c r="B3254" i="106"/>
  <c r="D3254" i="106" s="1"/>
  <c r="I24" i="12"/>
  <c r="K184" i="29"/>
  <c r="F13" i="4" s="1"/>
  <c r="B2596" i="106" s="1"/>
  <c r="D2596" i="106" s="1"/>
  <c r="G29" i="108"/>
  <c r="B1308" i="106"/>
  <c r="D1308" i="106" s="1"/>
  <c r="E174" i="29"/>
  <c r="B1309" i="106" s="1"/>
  <c r="D1309" i="106" s="1"/>
  <c r="C129" i="29"/>
  <c r="B1225" i="106" s="1"/>
  <c r="D1225" i="106" s="1"/>
  <c r="L5" i="11"/>
  <c r="B2056" i="106" s="1"/>
  <c r="D2056" i="106" s="1"/>
  <c r="F19" i="7"/>
  <c r="B1807" i="106" s="1"/>
  <c r="D1807" i="106" s="1"/>
  <c r="D31" i="36"/>
  <c r="H29" i="118"/>
  <c r="K28" i="118" s="1"/>
  <c r="O27" i="118" s="1"/>
  <c r="O29" i="118" s="1"/>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2031" i="106"/>
  <c r="D203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778" i="106" l="1"/>
  <c r="D5778" i="106" s="1"/>
  <c r="G6" i="4"/>
  <c r="B2604" i="106" s="1"/>
  <c r="D2604" i="106" s="1"/>
  <c r="K342" i="29"/>
  <c r="F13" i="34" s="1"/>
  <c r="C151" i="29"/>
  <c r="B1226" i="106" s="1"/>
  <c r="D1226" i="106" s="1"/>
  <c r="B5770" i="106"/>
  <c r="D5770" i="106" s="1"/>
  <c r="I7" i="4"/>
  <c r="B4444" i="106" s="1"/>
  <c r="D4444" i="106" s="1"/>
  <c r="B1365" i="106"/>
  <c r="D1365" i="106" s="1"/>
  <c r="F65" i="34"/>
  <c r="B1996" i="106"/>
  <c r="D1996" i="106" s="1"/>
  <c r="I26" i="12"/>
  <c r="B7741" i="106" s="1"/>
  <c r="D7741" i="106" s="1"/>
  <c r="B1317" i="106"/>
  <c r="D1317" i="106" s="1"/>
  <c r="C114" i="29"/>
  <c r="B757" i="106" s="1"/>
  <c r="D757" i="106" s="1"/>
  <c r="B5527" i="106"/>
  <c r="D5527" i="106" s="1"/>
  <c r="F174" i="34"/>
  <c r="L16" i="11"/>
  <c r="B2061" i="106" s="1"/>
  <c r="D2061" i="106" s="1"/>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K17"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<sst xmlns="http://schemas.openxmlformats.org/spreadsheetml/2006/main" count="5100" uniqueCount="2115">
  <si>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</si>
  <si>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</si>
  <si>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</si>
  <si>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</si>
  <si>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</si>
  <si>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</si>
  <si>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</si>
  <si>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</si>
  <si>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</si>
  <si>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</si>
  <si>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</si>
  <si>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</si>
  <si>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</si>
  <si>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</si>
  <si>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</si>
  <si>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</si>
  <si>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</si>
  <si>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</si>
  <si>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</si>
  <si>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</si>
  <si>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</si>
  <si>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</si>
  <si>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</si>
  <si>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</si>
  <si>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</si>
  <si>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</si>
  <si>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</si>
  <si>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</si>
  <si>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</si>
  <si>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</si>
  <si>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</si>
  <si>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</si>
  <si>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</si>
  <si>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</si>
  <si>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</si>
  <si>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</si>
  <si>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</si>
  <si>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</si>
  <si>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</si>
  <si>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</si>
  <si>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</si>
  <si>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</si>
  <si>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</si>
  <si>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</si>
  <si>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</si>
  <si>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</si>
  <si>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</si>
  <si>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</si>
  <si>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</si>
  <si>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</si>
  <si>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</si>
  <si>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</si>
  <si>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</si>
  <si>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</si>
  <si>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</si>
  <si>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</si>
  <si>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</si>
  <si>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</si>
  <si>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</si>
  <si>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</si>
  <si>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</si>
  <si>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</si>
  <si>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</si>
  <si>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</si>
  <si>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</si>
  <si>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</si>
  <si>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</si>
  <si>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</si>
  <si>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</si>
  <si>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</si>
  <si>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</si>
  <si>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</si>
  <si>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</si>
  <si>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</si>
  <si>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</si>
  <si>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</si>
  <si>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</si>
  <si>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</si>
  <si>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</si>
  <si>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</si>
  <si>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</si>
  <si>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</si>
  <si>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</si>
  <si>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</si>
  <si>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</si>
  <si>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</si>
  <si>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</si>
  <si>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</si>
  <si>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</si>
  <si>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</si>
  <si>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</si>
  <si>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</si>
  <si>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</si>
  <si>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</si>
  <si>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</si>
  <si>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</si>
  <si>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</si>
  <si>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</si>
  <si>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</si>
  <si>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</si>
  <si>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</si>
  <si>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</si>
  <si>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</si>
  <si>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</si>
  <si>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</si>
  <si>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</si>
  <si>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</si>
  <si>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</si>
  <si>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</si>
  <si>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</si>
  <si>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</si>
  <si>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</si>
  <si>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</si>
  <si>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</si>
  <si>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</si>
  <si>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</si>
  <si>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</si>
  <si>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</si>
  <si>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</si>
  <si>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</si>
  <si>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</si>
  <si>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</si>
  <si>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</si>
  <si>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</si>
  <si>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</si>
  <si>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</si>
  <si>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</si>
  <si>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</si>
  <si>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</si>
  <si>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</si>
  <si>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</si>
  <si>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</si>
  <si>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</si>
  <si>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</si>
  <si>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</si>
  <si>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</si>
  <si>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</si>
  <si>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</si>
  <si>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</si>
  <si>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</si>
  <si>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</si>
  <si>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</si>
  <si>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</si>
  <si>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</si>
  <si>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</si>
  <si>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</si>
  <si>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</si>
  <si>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</si>
  <si>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</si>
  <si>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</si>
  <si>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</si>
  <si>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</si>
  <si>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</si>
  <si>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</si>
  <si>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</si>
  <si>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</si>
  <si>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</si>
  <si>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</si>
  <si>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</si>
  <si>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</si>
  <si>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</si>
  <si>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</si>
  <si>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</si>
  <si>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</si>
  <si>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</si>
  <si>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</si>
  <si>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</si>
  <si>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</si>
  <si>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</si>
  <si>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</si>
  <si>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</si>
  <si>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</si>
  <si>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</si>
  <si>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</si>
  <si>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</si>
  <si>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</si>
  <si>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</si>
  <si>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</si>
  <si>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</si>
  <si>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</si>
  <si>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</si>
  <si>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</si>
  <si>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</si>
  <si>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</si>
  <si>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</si>
  <si>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</si>
  <si>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</si>
  <si>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</si>
  <si>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</si>
  <si>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</si>
  <si>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</si>
  <si>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</si>
  <si>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</si>
  <si>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</si>
  <si>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</si>
  <si>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</si>
  <si>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</si>
  <si>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</si>
  <si>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</si>
  <si>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</si>
  <si>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</si>
  <si>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</si>
  <si>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</si>
  <si>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</si>
  <si>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</si>
  <si>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</si>
  <si>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</si>
  <si>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</si>
  <si>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</si>
  <si>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</si>
  <si>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</si>
  <si>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</si>
  <si>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</si>
  <si>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</si>
  <si>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</si>
  <si>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</si>
  <si>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</si>
  <si>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</si>
  <si>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</si>
  <si>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</si>
  <si>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</si>
  <si>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</si>
  <si>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</si>
  <si>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</si>
  <si>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</si>
  <si>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</si>
  <si>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</si>
  <si>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</si>
  <si>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</si>
  <si>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</si>
  <si>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</si>
  <si>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</si>
  <si>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</si>
  <si>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</si>
  <si>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</si>
  <si>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</si>
  <si>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</si>
  <si>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</si>
  <si>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</si>
  <si>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</si>
  <si>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</si>
  <si>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</si>
  <si>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</si>
  <si>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</si>
  <si>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</si>
  <si>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</si>
  <si>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</si>
  <si>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</si>
  <si>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</si>
  <si>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</si>
  <si>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</si>
  <si>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</si>
  <si>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</si>
  <si>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</si>
  <si>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</si>
  <si>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</si>
  <si>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</si>
  <si>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</si>
  <si>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</si>
  <si>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</si>
  <si>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</si>
  <si>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</si>
  <si>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</si>
  <si>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</si>
  <si>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</si>
  <si>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</si>
  <si>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</si>
  <si>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</si>
  <si>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</si>
  <si>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</si>
  <si>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</si>
  <si>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</si>
  <si>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</si>
  <si>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</si>
  <si>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</si>
  <si>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</si>
  <si>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</si>
  <si>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</si>
  <si>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</si>
  <si>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</si>
  <si>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</si>
  <si>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</si>
  <si>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</si>
  <si>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</si>
  <si>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</si>
  <si>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</si>
  <si>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</si>
  <si>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</si>
  <si>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</si>
  <si>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</si>
  <si>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</si>
  <si>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</si>
  <si>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</si>
  <si>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</si>
  <si>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</si>
  <si>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</si>
  <si>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</si>
  <si>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</si>
  <si>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</si>
  <si>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</si>
  <si>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</si>
  <si>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</si>
  <si>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</si>
  <si>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</si>
  <si>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</si>
  <si>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</si>
  <si>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</si>
  <si>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</si>
  <si>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</si>
  <si>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</si>
  <si>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</si>
  <si>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</si>
  <si>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</si>
  <si>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</si>
  <si>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</si>
  <si>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</si>
  <si>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</si>
  <si>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</si>
  <si>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</si>
  <si>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</si>
  <si>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</si>
  <si>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</si>
  <si>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</si>
  <si>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</si>
  <si>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</si>
  <si>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</si>
  <si>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</si>
  <si>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</si>
  <si>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</si>
  <si>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</si>
  <si>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</si>
  <si>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</si>
  <si>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</si>
  <si>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</si>
  <si>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</si>
  <si>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</si>
  <si>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</si>
  <si>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</si>
  <si>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</si>
  <si>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</si>
  <si>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</si>
  <si>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</si>
  <si>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</si>
  <si>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</si>
  <si>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</si>
  <si>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</si>
  <si>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</si>
  <si>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</si>
  <si>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</si>
  <si>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</si>
  <si>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</si>
  <si>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</si>
  <si>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</si>
  <si>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</si>
  <si>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</si>
  <si>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</si>
  <si>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</si>
  <si>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</si>
  <si>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</si>
  <si>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</si>
  <si>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</si>
  <si>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</si>
  <si>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</si>
  <si>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</si>
  <si>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</si>
  <si>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</si>
  <si>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</si>
  <si>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</si>
  <si>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</si>
  <si>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</si>
  <si>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</si>
  <si>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</si>
  <si>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</si>
  <si>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</si>
  <si>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</si>
  <si>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</si>
  <si>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</si>
  <si>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</si>
  <si>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</si>
  <si>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</si>
  <si>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</si>
  <si>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</si>
  <si>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</si>
  <si>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</si>
  <si>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</si>
  <si>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</si>
  <si>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</si>
  <si>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</si>
  <si>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</si>
  <si>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</si>
  <si>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</si>
  <si>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</si>
  <si>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</si>
  <si>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</si>
  <si>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</si>
  <si>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</si>
  <si>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</si>
  <si>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</si>
  <si>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</si>
  <si>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</si>
  <si>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</si>
  <si>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</si>
  <si>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</si>
  <si>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</si>
  <si>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</si>
  <si>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</si>
  <si>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</si>
  <si>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</si>
  <si>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</si>
  <si>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</si>
  <si>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</si>
  <si>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</si>
  <si>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</si>
  <si>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</si>
  <si>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</si>
  <si>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</si>
  <si>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</si>
  <si>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</si>
  <si>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</si>
  <si>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</si>
  <si>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</si>
  <si>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</si>
  <si>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</si>
  <si>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</si>
  <si>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</si>
  <si>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</si>
  <si>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</si>
  <si>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</si>
  <si>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</si>
  <si>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</si>
  <si>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</si>
  <si>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</si>
  <si>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</si>
  <si>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</si>
  <si>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</si>
  <si>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</si>
  <si>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</si>
  <si>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</si>
  <si>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</si>
  <si>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</si>
  <si>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</si>
  <si>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</si>
  <si>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</si>
  <si>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</si>
  <si>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</si>
  <si>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</si>
  <si>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</si>
  <si>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</si>
  <si>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</si>
  <si>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</si>
  <si>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</si>
  <si>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</si>
  <si>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</si>
  <si>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</si>
  <si>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</si>
  <si>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</si>
  <si>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</si>
  <si>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</si>
  <si>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</si>
  <si>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</si>
  <si>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</si>
  <si>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</si>
  <si>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</si>
  <si>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</si>
  <si>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</si>
  <si>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</si>
  <si>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</si>
  <si>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</si>
  <si>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</si>
  <si>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</si>
  <si>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</si>
  <si>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</si>
  <si>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</si>
  <si>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</si>
  <si>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</si>
  <si>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</si>
  <si>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</si>
  <si>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</si>
  <si>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</si>
  <si>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</si>
  <si>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</si>
  <si>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</si>
  <si>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</si>
  <si>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</si>
  <si>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</si>
  <si>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</si>
  <si>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</si>
  <si>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</si>
  <si>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</si>
  <si>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</si>
  <si>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</si>
  <si>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</si>
  <si>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</si>
  <si>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</si>
  <si>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</si>
  <si>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</si>
  <si>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</si>
  <si>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</si>
  <si>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</si>
  <si>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</si>
  <si>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</si>
  <si>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</si>
  <si>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</si>
  <si>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</si>
  <si>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</si>
  <si>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</si>
  <si>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</si>
  <si>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</si>
  <si>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</si>
  <si>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</si>
  <si>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</si>
  <si>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</si>
  <si>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</si>
  <si>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</si>
  <si>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</si>
  <si>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</si>
  <si>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</si>
  <si>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</si>
  <si>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</si>
  <si>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</si>
  <si>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</si>
  <si>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</si>
  <si>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</si>
  <si>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</si>
  <si>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</si>
  <si>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</si>
  <si>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</si>
  <si>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</si>
  <si>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</si>
  <si>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</si>
  <si>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</si>
  <si>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</si>
  <si>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</si>
  <si>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</si>
  <si>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</si>
  <si>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</si>
  <si>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</si>
  <si>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</si>
  <si>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</si>
  <si>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</si>
  <si>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</si>
  <si>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</si>
  <si>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</si>
  <si>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</si>
  <si>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</si>
  <si>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</si>
  <si>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</si>
  <si>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</si>
  <si>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</si>
  <si>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</si>
  <si>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</si>
  <si>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</si>
  <si>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</si>
  <si>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</si>
  <si>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</si>
  <si>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</si>
  <si>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</si>
  <si>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</si>
  <si>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</si>
  <si>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</si>
  <si>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</si>
  <si>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</si>
  <si>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</si>
  <si>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</si>
  <si>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</si>
  <si>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</si>
  <si>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</si>
  <si>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</si>
  <si>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</si>
  <si>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</si>
  <si>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</si>
  <si>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</si>
  <si>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</si>
  <si>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</si>
  <si>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</si>
  <si>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</si>
  <si>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</si>
  <si>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</si>
  <si>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</si>
  <si>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</si>
  <si>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</si>
  <si>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</si>
  <si>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</si>
  <si>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</si>
  <si>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</si>
  <si>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</si>
  <si>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</si>
  <si>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</si>
  <si>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</si>
  <si>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</si>
  <si>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</si>
  <si>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</si>
  <si>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</si>
  <si>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</si>
  <si>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</si>
  <si>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</si>
  <si>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</si>
  <si>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</si>
  <si>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</si>
  <si>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</si>
  <si>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</si>
  <si>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</si>
  <si>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</si>
  <si>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</si>
  <si>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</si>
  <si>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</si>
  <si>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</si>
  <si>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</si>
  <si>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</si>
  <si>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</si>
  <si>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</si>
  <si>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</si>
  <si>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</si>
  <si>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</si>
  <si>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</si>
  <si>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</si>
  <si>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</si>
  <si>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</si>
  <si>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</si>
  <si>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</si>
  <si>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</si>
  <si>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</si>
  <si>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</si>
  <si>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</si>
  <si>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</si>
  <si>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</si>
  <si>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</si>
  <si>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</si>
  <si>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</si>
  <si>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</si>
  <si>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</si>
  <si>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</si>
  <si>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</si>
  <si>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</si>
  <si>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</si>
  <si>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</si>
  <si>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</si>
  <si>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</si>
  <si>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</si>
  <si>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</si>
  <si>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</si>
  <si>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</si>
  <si>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</si>
  <si>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</si>
  <si>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</si>
  <si>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</si>
  <si>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</si>
  <si>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</si>
  <si>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</si>
  <si>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</si>
  <si>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</si>
  <si>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</si>
  <si>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</si>
  <si>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</si>
  <si>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</si>
  <si>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</si>
  <si>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</si>
  <si>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</si>
  <si>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</si>
  <si>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</si>
  <si>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</si>
  <si>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</si>
  <si>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</si>
  <si>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</si>
  <si>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</si>
  <si>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</si>
  <si>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</si>
  <si>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</si>
  <si>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</si>
  <si>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</si>
  <si>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</si>
  <si>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</si>
  <si>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</si>
  <si>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</si>
  <si>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</si>
  <si>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</si>
  <si>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</si>
  <si>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</si>
  <si>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</si>
  <si>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</si>
  <si>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</si>
  <si>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</si>
  <si>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</si>
  <si>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</si>
  <si>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</si>
  <si>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</si>
  <si>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</si>
  <si>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</si>
  <si>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</si>
  <si>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</si>
  <si>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</si>
  <si>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</si>
  <si>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</si>
  <si>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</si>
  <si>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</si>
  <si>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</si>
  <si>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</si>
  <si>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</si>
  <si>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</si>
  <si>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</si>
  <si>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</si>
  <si>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</si>
  <si>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</si>
  <si>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</si>
  <si>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</si>
  <si>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</si>
  <si>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</si>
  <si>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</si>
  <si>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</si>
  <si>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</si>
  <si>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</si>
  <si>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</si>
  <si>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</si>
  <si>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</si>
  <si>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</si>
  <si>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</si>
  <si>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</si>
  <si>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</si>
  <si>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</si>
  <si>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</si>
  <si>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</si>
  <si>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</si>
  <si>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</si>
  <si>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</si>
  <si>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</si>
  <si>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</si>
  <si>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</si>
  <si>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</si>
  <si>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</si>
  <si>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</si>
  <si>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</si>
  <si>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</si>
  <si>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</si>
  <si>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</si>
  <si>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</si>
  <si>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</si>
  <si>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</si>
  <si>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</si>
  <si>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</si>
  <si>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</si>
  <si>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</si>
  <si>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</si>
  <si>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</si>
  <si>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</si>
  <si>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</si>
  <si>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</si>
  <si>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</si>
  <si>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</si>
  <si>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</si>
  <si>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</si>
  <si>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</si>
  <si>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</si>
  <si>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</si>
  <si>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</si>
  <si>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</si>
  <si>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</si>
  <si>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</si>
  <si>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</si>
  <si>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</si>
  <si>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</si>
  <si>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</si>
  <si>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</si>
  <si>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</si>
  <si>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</si>
  <si>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</si>
  <si>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</si>
  <si>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</si>
  <si>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</si>
  <si>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</si>
  <si>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</si>
  <si>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</si>
  <si>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</si>
  <si>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</si>
  <si>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</si>
  <si>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</si>
  <si>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</si>
  <si>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</si>
  <si>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</si>
  <si>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</si>
  <si>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</si>
  <si>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</si>
  <si>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</si>
  <si>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</si>
  <si>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</si>
  <si>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</si>
  <si>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</si>
  <si>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</si>
  <si>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</si>
  <si>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</si>
  <si>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</si>
  <si>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</si>
  <si>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</si>
  <si>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</si>
  <si>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</si>
  <si>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</si>
  <si>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</si>
  <si>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</si>
  <si>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</si>
  <si>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</si>
  <si>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</si>
  <si>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</si>
  <si>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</si>
  <si>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</si>
  <si>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</si>
  <si>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</si>
  <si>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</si>
  <si>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</si>
  <si>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</si>
  <si>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</si>
  <si>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</si>
  <si>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</si>
  <si>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</si>
  <si>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</si>
  <si>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</si>
  <si>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</si>
  <si>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</si>
  <si>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</si>
  <si>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</si>
  <si>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</si>
  <si>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</si>
  <si>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</si>
  <si>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</si>
  <si>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</si>
  <si>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</si>
  <si>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</si>
  <si>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</si>
  <si>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</si>
  <si>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</si>
  <si>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</si>
  <si>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</si>
  <si>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</si>
  <si>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</si>
  <si>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</si>
  <si>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</si>
  <si>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</si>
  <si>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</si>
  <si>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</si>
  <si>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</si>
  <si>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</si>
  <si>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</si>
  <si>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</si>
  <si>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</si>
  <si>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</si>
  <si>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</si>
  <si>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</si>
  <si>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</si>
  <si>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</si>
  <si>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</si>
  <si>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</si>
  <si>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</si>
  <si>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</si>
  <si>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</si>
  <si>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</si>
  <si>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</si>
  <si>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</si>
  <si>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</si>
  <si>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</si>
  <si>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</si>
  <si>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</si>
  <si>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</si>
  <si>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</si>
  <si>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</si>
  <si>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</si>
  <si>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</si>
  <si>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</si>
  <si>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</si>
  <si>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</si>
  <si>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</si>
  <si>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</si>
  <si>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</si>
  <si>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</si>
  <si>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</si>
  <si>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</si>
  <si>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</si>
  <si>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</si>
  <si>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</si>
  <si>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</si>
  <si>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</si>
  <si>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</si>
  <si>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</si>
  <si>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</si>
  <si>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</si>
  <si>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</si>
  <si>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</si>
  <si>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</si>
  <si>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</si>
  <si>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</si>
  <si>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</si>
  <si>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</si>
  <si>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</si>
  <si>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</si>
  <si>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</si>
  <si>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</si>
  <si>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</si>
  <si>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</si>
  <si>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</si>
  <si>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</si>
  <si>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</si>
  <si>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</si>
  <si>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</si>
  <si>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</si>
  <si>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</si>
  <si>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</si>
  <si>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</si>
  <si>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</si>
  <si>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</si>
  <si>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</si>
  <si>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</si>
  <si>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</si>
  <si>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</si>
  <si>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</si>
  <si>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</si>
  <si>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</si>
  <si>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</si>
  <si>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</si>
  <si>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</si>
  <si>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</si>
  <si>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</si>
  <si>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</si>
  <si>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</si>
  <si>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</si>
  <si>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</si>
  <si>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</si>
  <si>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</si>
  <si>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</si>
  <si>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</si>
  <si>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</si>
  <si>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</si>
  <si>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</si>
  <si>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</si>
  <si>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</si>
  <si>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</si>
  <si>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</si>
  <si>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</si>
  <si>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</si>
  <si>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</si>
  <si>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</si>
  <si>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</si>
  <si>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</si>
  <si>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</si>
  <si>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</si>
  <si>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</si>
  <si>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</si>
  <si>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</si>
  <si>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</si>
  <si>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</si>
  <si>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</si>
  <si>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</si>
  <si>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</si>
  <si>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</si>
  <si>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</si>
  <si>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</si>
  <si>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</si>
  <si>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</si>
  <si>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</si>
  <si>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</si>
  <si>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</si>
  <si>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</si>
  <si>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</si>
  <si>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</si>
  <si>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</si>
  <si>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</si>
  <si>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</si>
  <si>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</si>
  <si>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</si>
  <si>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</si>
  <si>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</si>
  <si>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</si>
  <si>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</si>
  <si>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</si>
  <si>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</si>
  <si>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</si>
  <si>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</si>
  <si>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</si>
  <si>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</si>
  <si>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</si>
  <si>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</si>
  <si>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</si>
  <si>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</si>
  <si>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</si>
  <si>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</si>
  <si>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</si>
  <si>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</si>
  <si>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</si>
  <si>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</si>
  <si>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</si>
  <si>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</si>
  <si>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</si>
  <si>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</si>
  <si>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</si>
  <si>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</si>
  <si>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</si>
  <si>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</si>
  <si>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</si>
  <si>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</si>
  <si>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</si>
  <si>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</si>
  <si>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</si>
  <si>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</si>
  <si>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</si>
  <si>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</si>
  <si>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</si>
  <si>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</si>
  <si>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</si>
  <si>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</si>
  <si>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</si>
  <si>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</si>
  <si>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</si>
  <si>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</si>
  <si>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</si>
  <si>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</si>
  <si>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</si>
  <si>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</si>
  <si>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</si>
  <si>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</si>
  <si>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</si>
  <si>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</si>
  <si>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</si>
  <si>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</si>
  <si>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</si>
  <si>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</si>
  <si>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</si>
  <si>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</si>
  <si>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</si>
  <si>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</si>
  <si>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</si>
  <si>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</si>
  <si>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</si>
  <si>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</si>
  <si>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</si>
  <si>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</si>
  <si>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</si>
  <si>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</si>
  <si>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</si>
  <si>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</si>
  <si>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</si>
  <si>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</si>
  <si>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</si>
  <si>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</si>
  <si>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</si>
  <si>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</si>
  <si>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</si>
  <si>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</si>
  <si>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</si>
  <si>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</si>
  <si>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</si>
  <si>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</si>
  <si>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</si>
  <si>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</si>
  <si>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</si>
  <si>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</si>
  <si>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</si>
  <si>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</si>
  <si>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</si>
  <si>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</si>
  <si>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</si>
  <si>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</si>
  <si>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</si>
  <si>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</si>
  <si>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</si>
  <si>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</si>
  <si>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</si>
  <si>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</si>
  <si>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</si>
  <si>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</si>
  <si>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</si>
  <si>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</si>
  <si>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</si>
  <si>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</si>
  <si>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</si>
  <si>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</si>
  <si>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</si>
  <si>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</si>
  <si>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</si>
  <si>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</si>
  <si>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</si>
  <si>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</si>
  <si>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</si>
  <si>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</si>
  <si>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</si>
  <si>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</si>
  <si>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</si>
  <si>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</si>
  <si>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</si>
  <si>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</si>
  <si>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</si>
  <si>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</si>
  <si>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</si>
  <si>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</si>
  <si>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</si>
  <si>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</si>
  <si>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</si>
  <si>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</si>
  <si>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</si>
  <si>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</si>
  <si>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</si>
  <si>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</si>
  <si>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</si>
  <si>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</si>
  <si>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</si>
  <si>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</si>
  <si>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</si>
  <si>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</si>
  <si>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</si>
  <si>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</si>
  <si>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</si>
  <si>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</si>
  <si>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</si>
  <si>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</si>
  <si>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</si>
  <si>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</si>
  <si>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</si>
  <si>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</si>
  <si>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</si>
  <si>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</si>
  <si>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</si>
  <si>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</si>
  <si>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</si>
  <si>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</si>
  <si>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</si>
  <si>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</si>
  <si>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</si>
  <si>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</si>
  <si>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</si>
  <si>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</si>
  <si>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</si>
  <si>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</si>
  <si>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</si>
  <si>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</si>
  <si>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</si>
  <si>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</si>
  <si>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</si>
  <si>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</si>
  <si>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</si>
  <si>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</si>
  <si>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</si>
  <si>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</si>
  <si>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</si>
  <si>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</si>
  <si>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</si>
  <si>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</si>
  <si>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</si>
  <si>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</si>
  <si>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</si>
  <si>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</si>
  <si>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</si>
  <si>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</si>
  <si>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</si>
  <si>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</si>
  <si>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</si>
  <si>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</si>
  <si>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</si>
  <si>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</si>
  <si>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</si>
  <si>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</si>
  <si>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</si>
  <si>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</si>
  <si>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</si>
  <si>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</si>
  <si>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</si>
  <si>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</si>
  <si>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</si>
  <si>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</si>
  <si>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</si>
  <si>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</si>
  <si>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</si>
  <si>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</si>
  <si>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</si>
  <si>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</si>
  <si>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</si>
  <si>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</si>
  <si>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</si>
  <si>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</si>
  <si>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</si>
  <si>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</si>
  <si>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</si>
  <si>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</si>
  <si>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</si>
  <si>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</si>
  <si>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</si>
  <si>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</si>
  <si>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</si>
  <si>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</si>
  <si>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</si>
  <si>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</si>
  <si>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</si>
  <si>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</si>
  <si>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</si>
  <si>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</si>
  <si>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</si>
  <si>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</si>
  <si>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</si>
  <si>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</si>
  <si>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</si>
  <si>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</si>
  <si>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</si>
  <si>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</si>
  <si>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</si>
  <si>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</si>
  <si>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</si>
  <si>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</si>
  <si>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</si>
  <si>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</si>
  <si>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</si>
  <si>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</si>
  <si>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</si>
  <si>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</si>
  <si>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</si>
  <si>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</si>
  <si>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</si>
  <si>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</si>
  <si>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</si>
  <si>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</si>
  <si>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</si>
  <si>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</si>
  <si>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</si>
  <si>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</si>
  <si>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</si>
  <si>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</si>
  <si>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</si>
  <si>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</si>
  <si>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</si>
  <si>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</si>
  <si>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</si>
  <si>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</si>
  <si>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</si>
  <si>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</si>
  <si>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</si>
  <si>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</si>
  <si>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</si>
  <si>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</si>
  <si>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</si>
  <si>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</si>
  <si>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</si>
  <si>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</si>
  <si>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</si>
  <si>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</si>
  <si>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</si>
  <si>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</si>
  <si>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</si>
  <si>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</si>
  <si>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</si>
  <si>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</si>
  <si>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</si>
  <si>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</si>
  <si>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</si>
  <si>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</si>
  <si>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</si>
  <si>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</si>
  <si>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</si>
  <si>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</si>
  <si>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</si>
  <si>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</si>
  <si>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</si>
  <si>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</si>
  <si>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</si>
  <si>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</si>
  <si>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</si>
  <si>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</si>
  <si>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</si>
  <si>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</si>
  <si>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</si>
  <si>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</si>
  <si>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</si>
  <si>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</si>
  <si>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</si>
  <si>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</si>
  <si>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</si>
  <si>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</si>
  <si>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</si>
  <si>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</si>
  <si>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</si>
  <si>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</si>
  <si>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</si>
  <si>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</si>
  <si>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</si>
  <si>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</si>
  <si>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</si>
  <si>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</si>
  <si>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</si>
  <si>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</si>
  <si>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</si>
  <si>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</si>
  <si>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</si>
  <si>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</si>
  <si>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</si>
  <si>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</si>
  <si>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</si>
  <si>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</si>
  <si>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</si>
  <si>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</si>
  <si>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</si>
  <si>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</si>
  <si>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</si>
  <si>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</si>
  <si>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</si>
  <si>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</si>
  <si>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</si>
  <si>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</si>
  <si>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</si>
  <si>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</si>
  <si>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</si>
  <si>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</si>
  <si>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</si>
  <si>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</si>
  <si>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</si>
  <si>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</si>
  <si>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</si>
  <si>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</si>
  <si>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</si>
  <si>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</si>
  <si>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</si>
  <si>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</si>
  <si>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</si>
  <si>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</si>
  <si>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</si>
  <si>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</si>
  <si>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</si>
  <si>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</si>
  <si>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</si>
  <si>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</si>
  <si>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</si>
  <si>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</si>
  <si>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</si>
  <si>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</si>
  <si>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</si>
  <si>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</si>
  <si>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</si>
  <si>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</si>
  <si>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</si>
  <si>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</si>
  <si>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</si>
  <si>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</si>
  <si>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</si>
  <si>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</si>
  <si>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</si>
  <si>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</si>
  <si>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</si>
  <si>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</si>
  <si>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</si>
  <si>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</si>
  <si>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</si>
  <si>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</si>
  <si>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</si>
  <si>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</si>
  <si>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</si>
  <si>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</si>
  <si>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</si>
  <si>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</si>
  <si>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</si>
  <si>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</si>
  <si>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</si>
  <si>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</si>
  <si>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</si>
  <si>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</si>
  <si>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</si>
  <si>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</si>
  <si>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</si>
  <si>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</si>
  <si>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</si>
  <si>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</si>
  <si>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</si>
  <si>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</si>
  <si>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</si>
  <si>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</si>
  <si>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</si>
  <si>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</si>
  <si>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</si>
  <si>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</si>
  <si>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</si>
  <si>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</si>
  <si>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</si>
  <si>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</si>
  <si>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</si>
  <si>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</si>
  <si>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</si>
  <si>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</si>
  <si>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</si>
  <si>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</si>
  <si>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</si>
  <si>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</si>
  <si>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</si>
  <si>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</si>
  <si>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</si>
  <si>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</si>
  <si>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</si>
  <si>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</si>
  <si>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</si>
  <si>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</si>
  <si>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</si>
  <si>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</si>
  <si>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</si>
  <si>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</si>
  <si>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</si>
  <si>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</si>
  <si>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</si>
  <si>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</si>
  <si>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</si>
  <si>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</si>
  <si>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</si>
  <si>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</si>
  <si>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</si>
  <si>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</si>
  <si>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</si>
  <si>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</si>
  <si>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</si>
  <si>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</si>
  <si>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</si>
  <si>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</si>
  <si>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</si>
  <si>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</si>
  <si>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</si>
  <si>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</si>
  <si>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</si>
  <si>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</si>
  <si>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</si>
  <si>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</si>
  <si>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</si>
  <si>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</si>
  <si>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</si>
  <si>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</si>
  <si>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</si>
  <si>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</si>
  <si>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</si>
  <si>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</si>
  <si>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</si>
  <si>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</si>
  <si>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</si>
  <si>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</si>
  <si>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</si>
  <si>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</si>
  <si>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</si>
  <si>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</si>
  <si>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</si>
  <si>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</si>
  <si>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</si>
  <si>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</si>
  <si>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</si>
  <si>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</si>
  <si>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</si>
  <si>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</si>
  <si>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</si>
  <si>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</si>
  <si>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</si>
  <si>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</si>
  <si>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</si>
  <si>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</si>
  <si>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</si>
  <si>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</si>
  <si>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</si>
  <si>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</si>
  <si>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</si>
  <si>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</si>
  <si>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</si>
  <si>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</si>
  <si>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</si>
  <si>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</si>
  <si>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</si>
  <si>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</si>
  <si>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</si>
  <si>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</si>
  <si>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</si>
  <si>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</si>
  <si>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</si>
  <si>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</si>
  <si>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</si>
  <si>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</si>
  <si>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</si>
  <si>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</si>
  <si>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</si>
  <si>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</si>
  <si>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</si>
  <si>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</si>
  <si>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</si>
  <si>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</si>
  <si>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</si>
  <si>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</si>
  <si>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</si>
  <si>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</si>
  <si>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</si>
  <si>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</si>
  <si>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</si>
  <si>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</si>
  <si>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</si>
  <si>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</si>
  <si>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</si>
  <si>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</si>
  <si>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</si>
  <si>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</si>
  <si>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</si>
  <si>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</si>
  <si>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</si>
  <si>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</si>
  <si>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</si>
  <si>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</si>
  <si>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</si>
  <si>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</si>
  <si>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</si>
  <si>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</si>
  <si>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</si>
  <si>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</si>
  <si>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</si>
  <si>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</si>
  <si>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</si>
  <si>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</si>
  <si>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</si>
  <si>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</si>
  <si>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</si>
  <si>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</si>
  <si>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</si>
  <si>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</si>
  <si>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</si>
  <si>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</si>
  <si>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</si>
  <si>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</si>
  <si>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</si>
  <si>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</si>
  <si>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</si>
  <si>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</si>
  <si>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</si>
  <si>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</si>
  <si>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</si>
  <si>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</si>
  <si>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</si>
  <si>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</si>
  <si>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</si>
  <si>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</si>
  <si>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</si>
  <si>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</si>
  <si>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</si>
  <si>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</si>
  <si>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</si>
  <si>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</si>
  <si>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</si>
  <si>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</si>
  <si>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</si>
  <si>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</si>
  <si>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</si>
  <si>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</si>
  <si>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</si>
  <si>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</si>
  <si>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</si>
  <si>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</si>
  <si>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</si>
  <si>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</si>
  <si>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</si>
  <si>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</si>
  <si>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</si>
  <si>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</si>
  <si>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</si>
  <si>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</si>
  <si>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</si>
  <si>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</si>
  <si>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</si>
  <si>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</si>
  <si>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</si>
  <si>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</si>
  <si>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</si>
  <si>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</si>
  <si>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</si>
  <si>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</si>
  <si>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</si>
  <si>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</si>
  <si>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</si>
  <si>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</si>
  <si>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</si>
  <si>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</si>
  <si>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</si>
  <si>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</si>
  <si>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</si>
  <si>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</si>
  <si>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</si>
  <si>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</si>
  <si>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</si>
  <si>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</si>
  <si>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</si>
  <si>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</si>
  <si>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</si>
  <si>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</si>
  <si>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</si>
  <si>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</si>
  <si>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</si>
  <si>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</si>
  <si>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</si>
  <si>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</si>
  <si>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</si>
  <si>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</si>
  <si>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</si>
  <si>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</si>
  <si>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</si>
  <si>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</si>
  <si>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</si>
  <si>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</si>
  <si>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</si>
  <si>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</si>
  <si>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</si>
  <si>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</si>
  <si>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</si>
  <si>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</si>
  <si>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</si>
  <si>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</si>
  <si>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</si>
  <si>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</si>
  <si>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</si>
  <si>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</si>
  <si>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</si>
  <si>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</si>
  <si>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</si>
  <si>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</si>
  <si>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</si>
  <si>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</si>
  <si>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</si>
  <si>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</si>
  <si>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</si>
  <si>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</si>
  <si>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</si>
  <si>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</si>
  <si>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</si>
  <si>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</si>
  <si>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</si>
  <si>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</si>
  <si>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</si>
  <si>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</si>
  <si>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</si>
  <si>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</si>
  <si>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</si>
  <si>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</si>
  <si>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</si>
  <si>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</si>
  <si>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</si>
  <si>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</si>
  <si>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</si>
  <si>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</si>
  <si>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</si>
  <si>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</si>
  <si>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</si>
  <si>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</si>
  <si>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</si>
  <si>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</si>
  <si>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</si>
  <si>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</si>
  <si>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</si>
  <si>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</si>
  <si>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</si>
  <si>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</si>
  <si>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</si>
  <si>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</si>
  <si>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</si>
  <si>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</si>
  <si>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</si>
  <si>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</si>
  <si>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</si>
  <si>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</si>
  <si>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</si>
  <si>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</si>
  <si>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</si>
  <si>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</si>
  <si>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</si>
  <si>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</si>
  <si>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</si>
  <si>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</si>
  <si>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</si>
  <si>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</si>
  <si>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</si>
  <si>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</si>
  <si>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</si>
  <si>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</si>
  <si>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</si>
  <si>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</si>
  <si>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</si>
  <si>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</si>
  <si>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</si>
  <si>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</si>
  <si>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</si>
  <si>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</si>
  <si>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</si>
  <si>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</si>
  <si>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</si>
  <si>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</si>
  <si>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</si>
  <si>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</si>
  <si>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</si>
  <si>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</si>
  <si>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</si>
  <si>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</si>
  <si>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</si>
  <si>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</si>
  <si>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</si>
  <si>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</si>
  <si>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</si>
  <si>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</si>
  <si>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</si>
  <si>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</si>
  <si>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</si>
  <si>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</si>
  <si>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</si>
  <si>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</si>
  <si>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</si>
  <si>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</si>
  <si>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</si>
  <si>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</si>
  <si>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</si>
  <si>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</si>
  <si>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</si>
  <si>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</si>
  <si>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</si>
  <si>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</si>
  <si>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</si>
  <si>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</si>
  <si>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</si>
  <si>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</si>
  <si>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</si>
  <si>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</si>
  <si>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</si>
  <si>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</si>
  <si>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</si>
  <si>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</si>
  <si>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</si>
  <si>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</si>
  <si>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</si>
  <si>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</si>
  <si>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</si>
  <si>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</si>
  <si>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</si>
  <si>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</si>
  <si>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</si>
  <si>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</si>
  <si>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</si>
  <si>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</si>
  <si>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</si>
  <si>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</si>
  <si>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</si>
  <si>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</si>
  <si>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</si>
  <si>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</si>
  <si>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</si>
  <si>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</si>
  <si>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</si>
  <si>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</si>
  <si>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</si>
  <si>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</si>
  <si>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</si>
  <si>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</si>
  <si>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</si>
  <si>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</si>
  <si>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</si>
  <si>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</si>
  <si>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</si>
  <si>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</si>
  <si>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</si>
  <si>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</si>
  <si>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</si>
  <si>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</si>
  <si>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</si>
  <si>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</si>
  <si>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</si>
  <si>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</si>
  <si>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</si>
  <si>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</si>
  <si>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</si>
  <si>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</si>
  <si>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</si>
  <si>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</si>
  <si>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</si>
  <si>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</si>
  <si>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</si>
  <si>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</si>
  <si>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</si>
  <si>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</si>
  <si>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</si>
  <si>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</si>
  <si>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</si>
  <si>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</si>
  <si>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</si>
  <si>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</si>
  <si>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</si>
  <si>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</si>
  <si>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</si>
  <si>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</si>
  <si>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</si>
  <si>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</si>
  <si>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</si>
  <si>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</si>
  <si>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</si>
  <si>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</si>
  <si>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</si>
  <si>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</si>
  <si>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</si>
  <si>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</si>
  <si>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</si>
  <si>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</si>
  <si>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</si>
  <si>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</si>
  <si>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</si>
  <si>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</si>
  <si>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</si>
  <si>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</si>
  <si>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</si>
  <si>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</si>
  <si>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</si>
  <si>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</si>
  <si>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</si>
  <si>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</si>
  <si>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</si>
  <si>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</si>
  <si>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</si>
  <si>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</si>
  <si>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</si>
  <si>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</si>
  <si>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</si>
  <si>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</si>
  <si>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</si>
  <si>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</si>
  <si>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</si>
  <si>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</si>
  <si>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</si>
  <si>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</si>
  <si>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</si>
  <si>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</si>
  <si>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</si>
  <si>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</si>
  <si>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</si>
  <si>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</si>
  <si>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</si>
  <si>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</si>
  <si>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</si>
  <si>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</si>
  <si>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</si>
  <si>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</si>
  <si>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</si>
  <si>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</si>
  <si>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</si>
  <si>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</si>
  <si>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</si>
  <si>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</si>
  <si>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</si>
  <si>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</si>
  <si>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</si>
  <si>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</si>
  <si>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</si>
  <si>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</si>
  <si>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</si>
  <si>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</si>
  <si>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</si>
  <si>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</si>
  <si>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</si>
  <si>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</si>
  <si>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</si>
  <si>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</si>
  <si>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</si>
  <si>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</si>
  <si>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</si>
  <si>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</si>
  <si>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</si>
  <si>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</si>
  <si>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</si>
  <si>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</si>
  <si>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</si>
  <si>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</si>
  <si>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</si>
  <si>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</si>
  <si>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</si>
  <si>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</si>
  <si>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</si>
  <si>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</si>
  <si>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</si>
  <si>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</si>
  <si>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</si>
  <si>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</si>
  <si>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</si>
  <si>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</si>
  <si>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</si>
  <si>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</si>
  <si>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</si>
  <si>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</si>
  <si>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</si>
  <si>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</si>
  <si>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</si>
  <si>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</si>
  <si>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</si>
  <si>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</si>
  <si>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</si>
  <si>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</si>
  <si>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</si>
  <si>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</si>
  <si>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</si>
  <si>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</si>
  <si>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</si>
  <si>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</si>
  <si>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</si>
  <si>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</si>
  <si>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</si>
  <si>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</si>
  <si>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</si>
  <si>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</si>
  <si>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</si>
  <si>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</si>
  <si>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</si>
  <si>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</si>
  <si>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</si>
  <si>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</si>
  <si>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</si>
  <si>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</si>
  <si>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</si>
  <si>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</si>
  <si>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</si>
  <si>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</si>
  <si>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</si>
  <si>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</si>
  <si>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</si>
  <si>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</si>
  <si>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</si>
  <si>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</si>
  <si>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</si>
  <si>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</si>
  <si>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</si>
  <si>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</si>
  <si>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</si>
  <si>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</si>
  <si>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</si>
  <si>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</si>
  <si>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</si>
  <si>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</si>
  <si>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</si>
  <si>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</si>
  <si>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</si>
  <si>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</si>
  <si>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</si>
  <si>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</si>
  <si>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</si>
  <si>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</si>
  <si>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</si>
  <si>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</si>
  <si>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</si>
  <si>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</si>
  <si>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</si>
  <si>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</si>
  <si>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</si>
  <si>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</si>
  <si>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</si>
  <si>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</si>
  <si>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</si>
  <si>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</si>
  <si>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</si>
  <si>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</si>
  <si>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</si>
  <si>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</si>
  <si>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</si>
  <si>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</si>
  <si>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</si>
  <si>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</si>
  <si>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</si>
  <si>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</si>
  <si>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</si>
  <si>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</si>
  <si>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</si>
  <si>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</si>
  <si>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</si>
  <si>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</si>
  <si>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</si>
  <si>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</si>
  <si>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</si>
  <si>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</si>
  <si>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</si>
  <si>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</si>
  <si>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</si>
  <si>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</si>
  <si>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</si>
  <si>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</si>
  <si>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</si>
  <si>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</si>
  <si>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</si>
  <si>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</si>
  <si>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</si>
  <si>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</si>
  <si>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</si>
  <si>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</si>
  <si>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</si>
  <si>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</si>
  <si>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</si>
  <si>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</si>
  <si>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</si>
  <si>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</si>
  <si>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</si>
  <si>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</si>
  <si>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</si>
  <si>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</si>
  <si>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</si>
  <si>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</si>
  <si>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</si>
  <si>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</si>
  <si>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</si>
  <si>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</si>
  <si>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</si>
  <si>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</si>
  <si>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</si>
  <si>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</si>
  <si>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</si>
  <si>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</si>
  <si>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</si>
  <si>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</si>
  <si>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</si>
  <si>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</si>
  <si>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</si>
  <si>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</si>
  <si>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</si>
  <si>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</si>
  <si>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</si>
  <si>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</si>
  <si>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</si>
  <si>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</si>
  <si>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</si>
  <si>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</si>
  <si>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</si>
  <si>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</si>
  <si>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</si>
  <si>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</si>
  <si>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</si>
  <si>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</si>
  <si>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</si>
  <si>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</si>
  <si>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</si>
  <si>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</si>
  <si>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</si>
  <si>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</si>
  <si>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</si>
  <si>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</si>
  <si>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</si>
  <si>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</si>
  <si>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</si>
  <si>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</si>
  <si>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</si>
  <si>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</si>
  <si>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</si>
  <si>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</si>
  <si>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</si>
  <si>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</si>
  <si>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</si>
  <si>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</si>
  <si>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</si>
  <si>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</si>
  <si>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</si>
  <si>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</si>
  <si>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</si>
  <si>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</si>
  <si>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</si>
  <si>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</si>
  <si>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</si>
  <si>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</si>
  <si>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</si>
  <si>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</si>
  <si>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</si>
  <si>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</si>
  <si>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</si>
  <si>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</si>
  <si>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</si>
  <si>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</si>
  <si>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</si>
  <si>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</si>
  <si>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</si>
  <si>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</si>
  <si>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</si>
  <si>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</si>
  <si>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</si>
  <si>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</si>
  <si>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LAKE</t>
  </si>
  <si>
    <t>500 NORTH AVE</t>
  </si>
  <si>
    <t xml:space="preserve">WINTHROP HARBOR </t>
  </si>
  <si>
    <t>X</t>
  </si>
  <si>
    <t>EVOY, KAMSCHULTE, JACOBS &amp; CO., LLP</t>
  </si>
  <si>
    <t>2122 YEOMAN STREET</t>
  </si>
  <si>
    <t>WAUKEGAN</t>
  </si>
  <si>
    <t>IL</t>
  </si>
  <si>
    <t>847-662-8300</t>
  </si>
  <si>
    <t>847-662-8305</t>
  </si>
  <si>
    <t>066-003289</t>
  </si>
  <si>
    <t>kkinnavy@ekjllp.com</t>
  </si>
  <si>
    <t>KEVIN KINNAVY</t>
  </si>
  <si>
    <t>1997 BUILDING BONDS</t>
  </si>
  <si>
    <t>2000 LIFE SAFETY BONDS</t>
  </si>
  <si>
    <t>2006 REFUNDING BONDS</t>
  </si>
  <si>
    <t>2016 GENERAL OBLIGATION BONDS</t>
  </si>
  <si>
    <t>RETIRED BONDS</t>
  </si>
  <si>
    <t>CAPITAL LEASES</t>
  </si>
  <si>
    <t>ISDLAF</t>
  </si>
  <si>
    <t>SPECIAL EDUCATION DISTRICT OF LAKE COUNTY</t>
  </si>
  <si>
    <t>COLLECTIVE LIABILTY INSURANCE</t>
  </si>
  <si>
    <t>10-4120-300</t>
  </si>
  <si>
    <t>Achieve 3000, Inc</t>
  </si>
  <si>
    <t>Comcast Business</t>
  </si>
  <si>
    <t>Computer Help Key</t>
  </si>
  <si>
    <t>Connections Acadamy East</t>
  </si>
  <si>
    <t>Connections Day School</t>
  </si>
  <si>
    <t>Cumberland Therapy Services</t>
  </si>
  <si>
    <t>Durham School Services</t>
  </si>
  <si>
    <t>Topline Transportation Co</t>
  </si>
  <si>
    <t>Katie Jerdee</t>
  </si>
  <si>
    <t>Menta Acadamy North</t>
  </si>
  <si>
    <t>Midwest Directional Drilling</t>
  </si>
  <si>
    <t>Perfect Cleaning Service Corp</t>
  </si>
  <si>
    <t>Preferred Meal Systems, Inc</t>
  </si>
  <si>
    <t>Therapy Travelers LLC</t>
  </si>
  <si>
    <t>Winthrop Harbor SD 1</t>
  </si>
  <si>
    <t>10-1000-300</t>
  </si>
  <si>
    <t>10-2400-300</t>
  </si>
  <si>
    <t>10-2200-300</t>
  </si>
  <si>
    <t>40-2550-300</t>
  </si>
  <si>
    <t>10-2100-300</t>
  </si>
  <si>
    <t>20-2540-300</t>
  </si>
  <si>
    <t>10-2560-300</t>
  </si>
  <si>
    <t>Ed-Instruction-Purchased Services</t>
  </si>
  <si>
    <t>Ed-Support Services-Purchased Services</t>
  </si>
  <si>
    <t>O&amp;M-O&amp;M Plant-Purchased Services</t>
  </si>
  <si>
    <t>Ed-Food Services-Purchased Services</t>
  </si>
  <si>
    <t>Transportation-Pupil Transportation-Purchased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</si>
</sst>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857250</xdr:colOff>
          <xdr:row>5</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O30" sqref="O3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7" t="s">
        <v>405</v>
      </c>
      <c r="J1" s="2018"/>
      <c r="K1" s="2018"/>
      <c r="L1" s="2018"/>
      <c r="M1" s="2018"/>
      <c r="N1" s="2018"/>
      <c r="O1" s="2018"/>
      <c r="P1" s="2018"/>
      <c r="Q1" s="2018"/>
      <c r="R1" s="2018"/>
      <c r="S1" s="2018"/>
    </row>
    <row r="2" spans="1:28" ht="12" customHeight="1" x14ac:dyDescent="0.2">
      <c r="A2" s="47" t="s">
        <v>1993</v>
      </c>
      <c r="D2" s="48"/>
      <c r="I2" s="2019" t="s">
        <v>979</v>
      </c>
      <c r="J2" s="2018"/>
      <c r="K2" s="2018"/>
      <c r="L2" s="2018"/>
      <c r="M2" s="2018"/>
      <c r="N2" s="2018"/>
      <c r="O2" s="2018"/>
      <c r="P2" s="2018"/>
      <c r="Q2" s="2018"/>
      <c r="R2" s="2018"/>
      <c r="S2" s="2018"/>
    </row>
    <row r="3" spans="1:28" ht="12" customHeight="1" x14ac:dyDescent="0.2">
      <c r="A3" s="155" t="s">
        <v>1945</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2064</v>
      </c>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2064</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34049001002</v>
      </c>
      <c r="B13" s="1988"/>
      <c r="C13" s="1988"/>
      <c r="D13" s="1988"/>
      <c r="E13" s="1988"/>
      <c r="F13" s="1988"/>
      <c r="G13" s="1988"/>
      <c r="H13" s="1989"/>
      <c r="I13" s="31"/>
      <c r="J13" s="30"/>
      <c r="K13" s="28"/>
      <c r="L13" s="30"/>
      <c r="M13" s="30"/>
      <c r="N13" s="30"/>
      <c r="O13" s="30"/>
      <c r="P13" s="30"/>
      <c r="Q13" s="30"/>
      <c r="R13" s="30"/>
      <c r="S13" s="30"/>
      <c r="T13" s="1992" t="s">
        <v>2069</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2065</v>
      </c>
      <c r="B15" s="1990"/>
      <c r="C15" s="1990"/>
      <c r="D15" s="1990"/>
      <c r="E15" s="1990"/>
      <c r="F15" s="1990"/>
      <c r="G15" s="1990"/>
      <c r="H15" s="1991"/>
      <c r="T15" s="1953" t="s">
        <v>2077</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2102</v>
      </c>
      <c r="B17" s="2015"/>
      <c r="C17" s="2015"/>
      <c r="D17" s="2015"/>
      <c r="E17" s="2015"/>
      <c r="F17" s="2015"/>
      <c r="G17" s="2015"/>
      <c r="H17" s="2016"/>
      <c r="T17" s="2002" t="s">
        <v>2070</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2066</v>
      </c>
      <c r="B19" s="1986"/>
      <c r="C19" s="1986"/>
      <c r="D19" s="1986"/>
      <c r="E19" s="1986"/>
      <c r="F19" s="1986"/>
      <c r="G19" s="1986"/>
      <c r="H19" s="1984"/>
      <c r="I19" s="30"/>
      <c r="J19" s="99"/>
      <c r="K19" s="40"/>
      <c r="L19" s="38"/>
      <c r="M19" s="112" t="s">
        <v>315</v>
      </c>
      <c r="P19" s="27"/>
      <c r="Q19" s="27"/>
      <c r="R19" s="27"/>
      <c r="S19" s="31"/>
      <c r="T19" s="1985" t="s">
        <v>2071</v>
      </c>
      <c r="U19" s="1983"/>
      <c r="V19" s="1983"/>
      <c r="W19" s="1984"/>
      <c r="X19" s="2000" t="s">
        <v>2072</v>
      </c>
      <c r="Y19" s="2001"/>
      <c r="Z19" s="1998"/>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2067</v>
      </c>
      <c r="B21" s="1983"/>
      <c r="C21" s="1983"/>
      <c r="D21" s="1983"/>
      <c r="E21" s="1983"/>
      <c r="F21" s="1983"/>
      <c r="G21" s="1983"/>
      <c r="H21" s="1984"/>
      <c r="I21" s="2008" t="s">
        <v>678</v>
      </c>
      <c r="J21" s="1971"/>
      <c r="K21" s="1971"/>
      <c r="L21" s="1971"/>
      <c r="M21" s="1971"/>
      <c r="N21" s="1971"/>
      <c r="O21" s="1971"/>
      <c r="P21" s="1971"/>
      <c r="Q21" s="1971"/>
      <c r="R21" s="1971"/>
      <c r="S21" s="1972"/>
      <c r="T21" s="1950" t="s">
        <v>2073</v>
      </c>
      <c r="U21" s="1951"/>
      <c r="V21" s="1951"/>
      <c r="W21" s="1951"/>
      <c r="X21" s="1964" t="s">
        <v>2074</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c r="B23" s="2006"/>
      <c r="C23" s="2006"/>
      <c r="D23" s="2006"/>
      <c r="E23" s="2006"/>
      <c r="F23" s="2006"/>
      <c r="G23" s="2006"/>
      <c r="H23" s="2007"/>
      <c r="T23" s="1945" t="s">
        <v>2075</v>
      </c>
      <c r="U23" s="1946"/>
      <c r="V23" s="1946"/>
      <c r="W23" s="1946"/>
      <c r="X23" s="1961">
        <v>44469</v>
      </c>
      <c r="Y23" s="1962"/>
      <c r="Z23" s="1962"/>
      <c r="AA23" s="1963"/>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60096</v>
      </c>
      <c r="B25" s="1983"/>
      <c r="C25" s="1983"/>
      <c r="D25" s="1983"/>
      <c r="E25" s="1983"/>
      <c r="F25" s="1983"/>
      <c r="G25" s="1983"/>
      <c r="H25" s="1984"/>
      <c r="I25" s="113"/>
      <c r="J25" s="2049"/>
      <c r="K25" s="2049"/>
      <c r="L25" s="2049"/>
      <c r="M25" s="2049"/>
      <c r="N25" s="2049"/>
      <c r="O25" s="2049"/>
      <c r="P25" s="2049"/>
      <c r="Q25" s="2049"/>
      <c r="R25" s="2049"/>
      <c r="S25" s="2050"/>
      <c r="T25" s="1942" t="s">
        <v>2076</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2068</v>
      </c>
      <c r="M29" s="40" t="s">
        <v>99</v>
      </c>
      <c r="N29" s="32" t="s">
        <v>1523</v>
      </c>
      <c r="O29" s="32"/>
      <c r="P29" s="32"/>
      <c r="Q29" s="32"/>
      <c r="R29" s="32"/>
      <c r="S29" s="123"/>
      <c r="T29" s="6"/>
      <c r="U29" s="6"/>
      <c r="V29" s="6"/>
      <c r="W29" s="6"/>
      <c r="X29" s="6"/>
      <c r="Y29" s="6"/>
      <c r="Z29" s="6"/>
      <c r="AA29" s="132"/>
    </row>
    <row r="30" spans="1:27" ht="13.5" customHeight="1" x14ac:dyDescent="0.2">
      <c r="A30" s="153"/>
      <c r="B30" s="136" t="s">
        <v>2068</v>
      </c>
      <c r="C30" s="124" t="s">
        <v>1164</v>
      </c>
      <c r="D30" s="28"/>
      <c r="E30" s="28"/>
      <c r="F30" s="140"/>
      <c r="G30" s="114"/>
      <c r="H30" s="114"/>
      <c r="I30" s="54"/>
      <c r="J30" s="102"/>
      <c r="K30" s="28" t="s">
        <v>576</v>
      </c>
      <c r="L30" s="148" t="s">
        <v>2068</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2068</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c r="B38" s="2015"/>
      <c r="C38" s="2015"/>
      <c r="D38" s="2015"/>
      <c r="E38" s="2015"/>
      <c r="F38" s="1983"/>
      <c r="G38" s="1983"/>
      <c r="H38" s="1984"/>
      <c r="I38" s="2034"/>
      <c r="J38" s="1954"/>
      <c r="K38" s="1954"/>
      <c r="L38" s="1954"/>
      <c r="M38" s="1954"/>
      <c r="N38" s="1954"/>
      <c r="O38" s="1954"/>
      <c r="P38" s="1955"/>
      <c r="Q38" s="1955"/>
      <c r="R38" s="1955"/>
      <c r="S38" s="1956"/>
      <c r="T38" s="1953"/>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c r="B40" s="2042"/>
      <c r="C40" s="2043"/>
      <c r="D40" s="2043"/>
      <c r="E40" s="2043"/>
      <c r="F40" s="2044"/>
      <c r="G40" s="2044"/>
      <c r="H40" s="2045"/>
      <c r="I40" s="1957"/>
      <c r="J40" s="1959"/>
      <c r="K40" s="1959"/>
      <c r="L40" s="1959"/>
      <c r="M40" s="1959"/>
      <c r="N40" s="1959"/>
      <c r="O40" s="1959"/>
      <c r="P40" s="1959"/>
      <c r="Q40" s="1959"/>
      <c r="R40" s="1959"/>
      <c r="S40" s="1960"/>
      <c r="T40" s="1957"/>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c r="B42" s="2032"/>
      <c r="C42" s="2033"/>
      <c r="D42" s="2046"/>
      <c r="E42" s="2032"/>
      <c r="F42" s="2032"/>
      <c r="G42" s="2032"/>
      <c r="H42" s="2033"/>
      <c r="I42" s="1952"/>
      <c r="J42" s="1948"/>
      <c r="K42" s="1948"/>
      <c r="L42" s="1948"/>
      <c r="M42" s="1948"/>
      <c r="N42" s="1948"/>
      <c r="O42" s="1949"/>
      <c r="P42" s="1947"/>
      <c r="Q42" s="1948"/>
      <c r="R42" s="1948"/>
      <c r="S42" s="1949"/>
      <c r="T42" s="1952"/>
      <c r="U42" s="1948"/>
      <c r="V42" s="1948"/>
      <c r="W42" s="1949"/>
      <c r="X42" s="1947"/>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2" sqref="C1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1802</v>
      </c>
      <c r="B2" s="1528" t="s">
        <v>1951</v>
      </c>
      <c r="C2" s="714" t="s">
        <v>1952</v>
      </c>
      <c r="D2" s="714" t="s">
        <v>1953</v>
      </c>
      <c r="E2" s="714" t="s">
        <v>1954</v>
      </c>
      <c r="F2" s="714" t="s">
        <v>1955</v>
      </c>
    </row>
    <row r="3" spans="1:6" ht="12" customHeight="1" x14ac:dyDescent="0.2">
      <c r="A3" s="2185"/>
      <c r="B3" s="1525"/>
      <c r="C3" s="1526"/>
      <c r="D3" s="1527" t="s">
        <v>256</v>
      </c>
      <c r="E3" s="1526"/>
      <c r="F3" s="1527" t="s">
        <v>257</v>
      </c>
    </row>
    <row r="4" spans="1:6" ht="13.7" customHeight="1" x14ac:dyDescent="0.2">
      <c r="A4" s="715" t="s">
        <v>1155</v>
      </c>
      <c r="B4" s="1749">
        <f>'Revenues 9-14'!C5</f>
        <v>3774246</v>
      </c>
      <c r="C4" s="1524">
        <v>2001120</v>
      </c>
      <c r="D4" s="1752">
        <f>B4-C4</f>
        <v>1773126</v>
      </c>
      <c r="E4" s="1524">
        <v>3893862</v>
      </c>
      <c r="F4" s="1752">
        <f>E4-C4</f>
        <v>1892742</v>
      </c>
    </row>
    <row r="5" spans="1:6" ht="13.7" customHeight="1" x14ac:dyDescent="0.2">
      <c r="A5" s="715" t="s">
        <v>870</v>
      </c>
      <c r="B5" s="1750">
        <f>'Revenues 9-14'!D5</f>
        <v>513417</v>
      </c>
      <c r="C5" s="585">
        <v>270151</v>
      </c>
      <c r="D5" s="1753">
        <f t="shared" ref="D5:D18" si="0">B5-C5</f>
        <v>243266</v>
      </c>
      <c r="E5" s="585">
        <v>525672</v>
      </c>
      <c r="F5" s="1753">
        <f>E5-C5</f>
        <v>255521</v>
      </c>
    </row>
    <row r="6" spans="1:6" ht="13.7" customHeight="1" x14ac:dyDescent="0.2">
      <c r="A6" s="715" t="s">
        <v>411</v>
      </c>
      <c r="B6" s="1750">
        <f>'Revenues 9-14'!E5</f>
        <v>468461</v>
      </c>
      <c r="C6" s="585">
        <v>258402</v>
      </c>
      <c r="D6" s="1753">
        <f t="shared" si="0"/>
        <v>210059</v>
      </c>
      <c r="E6" s="585">
        <v>502810</v>
      </c>
      <c r="F6" s="1753">
        <f t="shared" ref="F6:F18" si="1">E6-C6</f>
        <v>244408</v>
      </c>
    </row>
    <row r="7" spans="1:6" ht="13.7" customHeight="1" x14ac:dyDescent="0.2">
      <c r="A7" s="715" t="s">
        <v>155</v>
      </c>
      <c r="B7" s="1750">
        <f>'Revenues 9-14'!F5</f>
        <v>142617</v>
      </c>
      <c r="C7" s="585">
        <v>75042</v>
      </c>
      <c r="D7" s="1753">
        <f t="shared" si="0"/>
        <v>67575</v>
      </c>
      <c r="E7" s="585">
        <v>146020</v>
      </c>
      <c r="F7" s="1753">
        <f t="shared" si="1"/>
        <v>70978</v>
      </c>
    </row>
    <row r="8" spans="1:6" ht="13.7" customHeight="1" x14ac:dyDescent="0.2">
      <c r="A8" s="715" t="s">
        <v>1179</v>
      </c>
      <c r="B8" s="1750">
        <f>'Revenues 9-14'!G5</f>
        <v>94077</v>
      </c>
      <c r="C8" s="585">
        <v>49028</v>
      </c>
      <c r="D8" s="1753">
        <f t="shared" si="0"/>
        <v>45049</v>
      </c>
      <c r="E8" s="585">
        <v>95400</v>
      </c>
      <c r="F8" s="1753">
        <f t="shared" si="1"/>
        <v>46372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30622</v>
      </c>
      <c r="C10" s="585">
        <v>30637</v>
      </c>
      <c r="D10" s="1753">
        <f t="shared" si="0"/>
        <v>-15</v>
      </c>
      <c r="E10" s="585">
        <v>59585</v>
      </c>
      <c r="F10" s="1753">
        <f t="shared" si="1"/>
        <v>28948</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387869</v>
      </c>
      <c r="C14" s="585">
        <v>203839</v>
      </c>
      <c r="D14" s="1753">
        <f t="shared" si="0"/>
        <v>184030</v>
      </c>
      <c r="E14" s="585">
        <v>396637</v>
      </c>
      <c r="F14" s="1753">
        <f t="shared" si="1"/>
        <v>192798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94077</v>
      </c>
      <c r="C16" s="585">
        <v>49028</v>
      </c>
      <c r="D16" s="1753">
        <f t="shared" si="0"/>
        <v>45049</v>
      </c>
      <c r="E16" s="585">
        <v>95400</v>
      </c>
      <c r="F16" s="1753">
        <f t="shared" si="1"/>
        <v>46372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5505386</v>
      </c>
      <c r="C19" s="1751">
        <f>SUM(C4:C18)</f>
        <v>2937247</v>
      </c>
      <c r="D19" s="1751">
        <f>SUM(D4:D18)</f>
        <v>2568139</v>
      </c>
      <c r="E19" s="1751">
        <f>SUM(E4:E18)</f>
        <v>5715386</v>
      </c>
      <c r="F19" s="1751">
        <f>SUM(F4:F18)</f>
        <v>2778139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8" colorId="8" zoomScale="110" zoomScaleNormal="110" workbookViewId="0">
      <selection activeCell="G37" sqref="G3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4" t="s">
        <v>1956</v>
      </c>
      <c r="D2" s="723" t="s">
        <v>1957</v>
      </c>
      <c r="E2" s="723" t="s">
        <v>1958</v>
      </c>
      <c r="F2" s="1884" t="s">
        <v>1959</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5">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8" t="s">
        <v>631</v>
      </c>
      <c r="B15" s="2189"/>
      <c r="C15" s="1755">
        <f>SUM(C6:C14)</f>
        <v>0</v>
      </c>
      <c r="D15" s="1755">
        <f>SUM(D6:D14)</f>
        <v>0</v>
      </c>
      <c r="E15" s="1755">
        <f>SUM(E6:E14)</f>
        <v>0</v>
      </c>
      <c r="F15" s="1755">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5">
        <f>SUM(C17+D17)-E17</f>
        <v>0</v>
      </c>
    </row>
    <row r="18" spans="1:11" ht="12.75" customHeight="1" thickTop="1" thickBot="1" x14ac:dyDescent="0.25">
      <c r="A18" s="2211" t="s">
        <v>6</v>
      </c>
      <c r="B18" s="2212"/>
      <c r="C18" s="726"/>
      <c r="D18" s="585"/>
      <c r="E18" s="726"/>
      <c r="F18" s="1755">
        <f>SUM(C18+D18)-E18</f>
        <v>0</v>
      </c>
    </row>
    <row r="19" spans="1:11" ht="12.75" customHeight="1" thickTop="1" thickBot="1" x14ac:dyDescent="0.25">
      <c r="A19" s="2211" t="s">
        <v>388</v>
      </c>
      <c r="B19" s="2212"/>
      <c r="C19" s="726"/>
      <c r="D19" s="585"/>
      <c r="E19" s="726"/>
      <c r="F19" s="1755">
        <f>SUM(C19+D19)-E19</f>
        <v>0</v>
      </c>
    </row>
    <row r="20" spans="1:11" ht="12.75" customHeight="1" thickTop="1" thickBot="1" x14ac:dyDescent="0.25">
      <c r="A20" s="2211" t="s">
        <v>448</v>
      </c>
      <c r="B20" s="2212"/>
      <c r="C20" s="726"/>
      <c r="D20" s="585"/>
      <c r="E20" s="726"/>
      <c r="F20" s="1755">
        <f>SUM(C20+D20)-E20</f>
        <v>0</v>
      </c>
    </row>
    <row r="21" spans="1:11" ht="14.25" thickTop="1" thickBot="1" x14ac:dyDescent="0.25">
      <c r="A21" s="2188" t="s">
        <v>632</v>
      </c>
      <c r="B21" s="2189"/>
      <c r="C21" s="1755">
        <f>SUM(C17:C20)</f>
        <v>0</v>
      </c>
      <c r="D21" s="1755">
        <f>SUM(D17:D20)</f>
        <v>0</v>
      </c>
      <c r="E21" s="1755">
        <f>SUM(E17:E20)</f>
        <v>0</v>
      </c>
      <c r="F21" s="1755">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5">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5">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5">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2078</v>
      </c>
      <c r="B31" s="733">
        <v>35765</v>
      </c>
      <c r="C31" s="734">
        <v>5855000</v>
      </c>
      <c r="D31" s="735">
        <v>6</v>
      </c>
      <c r="E31" s="734"/>
      <c r="F31" s="734"/>
      <c r="G31" s="734"/>
      <c r="H31" s="734"/>
      <c r="I31" s="1756">
        <f>((E31+F31)-H31)+G31</f>
        <v>0</v>
      </c>
      <c r="J31" s="734">
        <v>-109382</v>
      </c>
      <c r="K31" s="736"/>
    </row>
    <row r="32" spans="1:11" ht="12" customHeight="1" x14ac:dyDescent="0.2">
      <c r="A32" s="732" t="s">
        <v>2079</v>
      </c>
      <c r="B32" s="733">
        <v>36861</v>
      </c>
      <c r="C32" s="734">
        <v>325000</v>
      </c>
      <c r="D32" s="735">
        <v>4</v>
      </c>
      <c r="E32" s="734">
        <v>50000</v>
      </c>
      <c r="F32" s="734"/>
      <c r="G32" s="734"/>
      <c r="H32" s="734">
        <v>25000</v>
      </c>
      <c r="I32" s="1756">
        <f>((E32+F32)-H32)+G32</f>
        <v>25000</v>
      </c>
      <c r="J32" s="734">
        <v>46604</v>
      </c>
      <c r="K32" s="736"/>
    </row>
    <row r="33" spans="1:11" ht="12" customHeight="1" x14ac:dyDescent="0.2">
      <c r="A33" s="732" t="s">
        <v>2080</v>
      </c>
      <c r="B33" s="733">
        <v>38749</v>
      </c>
      <c r="C33" s="734">
        <v>4020000</v>
      </c>
      <c r="D33" s="735">
        <v>3</v>
      </c>
      <c r="E33" s="734"/>
      <c r="F33" s="734"/>
      <c r="G33" s="734"/>
      <c r="H33" s="734"/>
      <c r="I33" s="1756">
        <f t="shared" ref="I33:I48" si="1">((E33+F33)-H33)+G33</f>
        <v>0</v>
      </c>
      <c r="J33" s="734">
        <v>-632623</v>
      </c>
      <c r="K33" s="736"/>
    </row>
    <row r="34" spans="1:11" ht="12" customHeight="1" x14ac:dyDescent="0.2">
      <c r="A34" s="732" t="s">
        <v>2081</v>
      </c>
      <c r="B34" s="733">
        <v>42401</v>
      </c>
      <c r="C34" s="734">
        <v>6510000</v>
      </c>
      <c r="D34" s="735">
        <v>6</v>
      </c>
      <c r="E34" s="734">
        <v>5855000</v>
      </c>
      <c r="F34" s="734"/>
      <c r="G34" s="734"/>
      <c r="H34" s="734">
        <v>235000</v>
      </c>
      <c r="I34" s="1756">
        <f t="shared" si="1"/>
        <v>5620000</v>
      </c>
      <c r="J34" s="734">
        <v>5944426</v>
      </c>
      <c r="K34" s="737"/>
    </row>
    <row r="35" spans="1:11" ht="12" customHeight="1" x14ac:dyDescent="0.2">
      <c r="A35" s="732" t="s">
        <v>2082</v>
      </c>
      <c r="B35" s="733"/>
      <c r="C35" s="738"/>
      <c r="D35" s="735"/>
      <c r="E35" s="738"/>
      <c r="F35" s="738"/>
      <c r="G35" s="738"/>
      <c r="H35" s="738"/>
      <c r="I35" s="1756">
        <f t="shared" si="1"/>
        <v>0</v>
      </c>
      <c r="J35" s="738">
        <v>-18457</v>
      </c>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t="s">
        <v>2083</v>
      </c>
      <c r="B37" s="733"/>
      <c r="C37" s="467"/>
      <c r="D37" s="740"/>
      <c r="E37" s="467">
        <v>1497</v>
      </c>
      <c r="F37" s="467"/>
      <c r="G37" s="467">
        <v>68602</v>
      </c>
      <c r="H37" s="467">
        <v>15583</v>
      </c>
      <c r="I37" s="1756">
        <f t="shared" si="1"/>
        <v>54516</v>
      </c>
      <c r="J37" s="467">
        <v>54516</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16710000</v>
      </c>
      <c r="D49" s="745"/>
      <c r="E49" s="1756">
        <f t="shared" ref="E49:J49" si="2">SUM(E31:E48)</f>
        <v>5906497</v>
      </c>
      <c r="F49" s="1756">
        <f t="shared" si="2"/>
        <v>0</v>
      </c>
      <c r="G49" s="1756">
        <f t="shared" si="2"/>
        <v>68602</v>
      </c>
      <c r="H49" s="1756">
        <f t="shared" si="2"/>
        <v>275583</v>
      </c>
      <c r="I49" s="1756">
        <f t="shared" si="2"/>
        <v>5699516</v>
      </c>
      <c r="J49" s="1756">
        <f t="shared" si="2"/>
        <v>5285084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8" colorId="8" zoomScale="110" zoomScaleNormal="110" workbookViewId="0">
      <selection activeCell="G42" sqref="G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30"/>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1964</v>
      </c>
      <c r="B3" s="2222"/>
      <c r="C3" s="2222"/>
      <c r="D3" s="2222"/>
      <c r="E3" s="2223"/>
      <c r="F3" s="763"/>
      <c r="G3" s="764"/>
      <c r="H3" s="764"/>
      <c r="I3" s="764"/>
      <c r="J3" s="765"/>
      <c r="K3" s="765"/>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7"/>
      <c r="G12" s="1758">
        <f>SUM(G5:G11)</f>
        <v>0</v>
      </c>
      <c r="H12" s="1758">
        <f>SUM(H5:H11)</f>
        <v>0</v>
      </c>
      <c r="I12" s="1758">
        <f>SUM(I5:I11)</f>
        <v>0</v>
      </c>
      <c r="J12" s="1758">
        <f>SUM(J5:J11)</f>
        <v>0</v>
      </c>
      <c r="K12" s="1758">
        <f>SUM(K5:K11)</f>
        <v>0</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c r="I14" s="771"/>
      <c r="J14" s="773"/>
      <c r="K14" s="765"/>
    </row>
    <row r="15" spans="1:11" x14ac:dyDescent="0.2">
      <c r="A15" s="2215" t="s">
        <v>4</v>
      </c>
      <c r="B15" s="2215"/>
      <c r="C15" s="2215"/>
      <c r="D15" s="2215"/>
      <c r="E15" s="2243"/>
      <c r="F15" s="789" t="s">
        <v>855</v>
      </c>
      <c r="G15" s="771"/>
      <c r="H15" s="764"/>
      <c r="I15" s="764"/>
      <c r="J15" s="765"/>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9"/>
      <c r="G21" s="792"/>
      <c r="H21" s="796"/>
      <c r="I21" s="796"/>
      <c r="J21" s="1760">
        <f>SUM(J18:J20)</f>
        <v>0</v>
      </c>
      <c r="K21" s="793"/>
    </row>
    <row r="22" spans="1:11" ht="13.5" thickTop="1" x14ac:dyDescent="0.2">
      <c r="A22" s="2215" t="s">
        <v>1815</v>
      </c>
      <c r="B22" s="2215"/>
      <c r="C22" s="2215"/>
      <c r="D22" s="2215"/>
      <c r="E22" s="2243"/>
      <c r="F22" s="789" t="s">
        <v>862</v>
      </c>
      <c r="G22" s="782"/>
      <c r="H22" s="764"/>
      <c r="I22" s="764"/>
      <c r="J22" s="797"/>
      <c r="K22" s="765"/>
    </row>
    <row r="23" spans="1:11" ht="13.5" thickBot="1" x14ac:dyDescent="0.25">
      <c r="A23" s="2236" t="s">
        <v>906</v>
      </c>
      <c r="B23" s="2235"/>
      <c r="C23" s="2235"/>
      <c r="D23" s="2235"/>
      <c r="E23" s="2235"/>
      <c r="F23" s="1761"/>
      <c r="G23" s="1758">
        <f>SUM(G14:G16,G21,G22)</f>
        <v>0</v>
      </c>
      <c r="H23" s="1758">
        <f>SUM(H14:H16,H21,H22)</f>
        <v>0</v>
      </c>
      <c r="I23" s="1758">
        <f>SUM(I14:I16,I21,I22)</f>
        <v>0</v>
      </c>
      <c r="J23" s="1758">
        <f>SUM(J14:J16,J21,J22)</f>
        <v>0</v>
      </c>
      <c r="K23" s="1758">
        <f>SUM(K14:K16,K21,K22)</f>
        <v>0</v>
      </c>
    </row>
    <row r="24" spans="1:11" ht="14.25" thickTop="1" thickBot="1" x14ac:dyDescent="0.25">
      <c r="A24" s="2236" t="s">
        <v>1965</v>
      </c>
      <c r="B24" s="2235"/>
      <c r="C24" s="2235"/>
      <c r="D24" s="2235"/>
      <c r="E24" s="223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2064</v>
      </c>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72596</v>
      </c>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v>62637</v>
      </c>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0" sqref="J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1909</v>
      </c>
      <c r="B1" s="2255"/>
      <c r="C1" s="2256"/>
      <c r="D1" s="826"/>
      <c r="E1" s="827"/>
      <c r="F1" s="827"/>
      <c r="G1" s="828"/>
      <c r="H1" s="829"/>
      <c r="I1" s="830"/>
      <c r="J1" s="2252"/>
      <c r="K1" s="2253"/>
      <c r="L1" s="2253"/>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101187</v>
      </c>
      <c r="D5" s="841"/>
      <c r="E5" s="841"/>
      <c r="F5" s="1760">
        <f>(C5+D5)-E5</f>
        <v>101187</v>
      </c>
      <c r="G5" s="837"/>
      <c r="H5" s="842"/>
      <c r="I5" s="842"/>
      <c r="J5" s="842"/>
      <c r="K5" s="793"/>
      <c r="L5" s="1769">
        <f>F5-K5</f>
        <v>101187</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14843914</v>
      </c>
      <c r="D8" s="844"/>
      <c r="E8" s="844"/>
      <c r="F8" s="1760">
        <f>(C8+D8)-E8</f>
        <v>14843914</v>
      </c>
      <c r="G8" s="843">
        <v>50</v>
      </c>
      <c r="H8" s="765">
        <v>4014537</v>
      </c>
      <c r="I8" s="765">
        <v>301624</v>
      </c>
      <c r="J8" s="765"/>
      <c r="K8" s="1769">
        <f>(H8+I8)-J8</f>
        <v>4316161</v>
      </c>
      <c r="L8" s="1769">
        <f>F8-K8</f>
        <v>10527753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440379</v>
      </c>
      <c r="D10" s="846">
        <v>541383</v>
      </c>
      <c r="E10" s="846"/>
      <c r="F10" s="1764">
        <f>(C10+D10)-E10</f>
        <v>981762</v>
      </c>
      <c r="G10" s="843">
        <v>20</v>
      </c>
      <c r="H10" s="847">
        <v>254287</v>
      </c>
      <c r="I10" s="847">
        <v>24889</v>
      </c>
      <c r="J10" s="847"/>
      <c r="K10" s="1769">
        <f>(H10+I10)-J10</f>
        <v>279176</v>
      </c>
      <c r="L10" s="1769">
        <f>F10-K10</f>
        <v>702586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2527083</v>
      </c>
      <c r="D12" s="844">
        <v>184714</v>
      </c>
      <c r="E12" s="844"/>
      <c r="F12" s="1760">
        <f>(C12+D12)-E12</f>
        <v>2711797</v>
      </c>
      <c r="G12" s="843">
        <v>10</v>
      </c>
      <c r="H12" s="765">
        <v>2185138</v>
      </c>
      <c r="I12" s="765">
        <v>81568</v>
      </c>
      <c r="J12" s="765"/>
      <c r="K12" s="1769">
        <f>(H12+I12)-J12</f>
        <v>2266706</v>
      </c>
      <c r="L12" s="1769">
        <f>F12-K12</f>
        <v>445091</v>
      </c>
    </row>
    <row r="13" spans="1:14" ht="14.25" thickTop="1" thickBot="1" x14ac:dyDescent="0.25">
      <c r="A13" s="848" t="s">
        <v>1122</v>
      </c>
      <c r="B13" s="840">
        <v>252</v>
      </c>
      <c r="C13" s="844">
        <v>74863</v>
      </c>
      <c r="D13" s="844"/>
      <c r="E13" s="844"/>
      <c r="F13" s="1760">
        <f>(C13+D13)-E13</f>
        <v>74863</v>
      </c>
      <c r="G13" s="843">
        <v>5</v>
      </c>
      <c r="H13" s="765">
        <v>21823</v>
      </c>
      <c r="I13" s="765">
        <v>13260</v>
      </c>
      <c r="J13" s="765"/>
      <c r="K13" s="1769">
        <f>(H13+I13)-J13</f>
        <v>35083</v>
      </c>
      <c r="L13" s="1769">
        <f>F13-K13</f>
        <v>39780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17987426</v>
      </c>
      <c r="D16" s="1760">
        <f>SUM(D3,D5:D6,D8:D10,D12:D15)</f>
        <v>726097</v>
      </c>
      <c r="E16" s="1760">
        <f>SUM(E3,E5:E6,E8:E10,E12:E15)</f>
        <v>0</v>
      </c>
      <c r="F16" s="1760">
        <f>SUM(F3,F5:F6,F8:F10,F12:F15)</f>
        <v>18713523</v>
      </c>
      <c r="G16" s="843"/>
      <c r="H16" s="1760">
        <f>SUM(H3,H6,H8:H10,H12:H14,)</f>
        <v>6475785</v>
      </c>
      <c r="I16" s="1760">
        <f>SUM(I3,I6,I8:I10,I12:I14,)</f>
        <v>421341</v>
      </c>
      <c r="J16" s="1760">
        <f>SUM(J3,J6,J8:J10,J12:J14,)</f>
        <v>0</v>
      </c>
      <c r="K16" s="1760">
        <f>(H16+I16)-J16</f>
        <v>6897126</v>
      </c>
      <c r="L16" s="1760">
        <f>F16-K16</f>
        <v>11816397</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421341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topLeftCell="B1" colorId="8" zoomScale="110" zoomScaleNormal="110" workbookViewId="0">
      <pane ySplit="5" topLeftCell="A122"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1975</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5451700</v>
      </c>
      <c r="G8" s="865"/>
    </row>
    <row r="9" spans="1:7" x14ac:dyDescent="0.2">
      <c r="A9" s="869" t="s">
        <v>460</v>
      </c>
      <c r="B9" s="870" t="s">
        <v>1877</v>
      </c>
      <c r="C9" s="871"/>
      <c r="D9" s="869" t="s">
        <v>501</v>
      </c>
      <c r="E9" s="868"/>
      <c r="F9" s="1909">
        <f>'Expenditures 15-22'!K151</f>
        <v>410370</v>
      </c>
      <c r="G9" s="872"/>
    </row>
    <row r="10" spans="1:7" x14ac:dyDescent="0.2">
      <c r="A10" s="869" t="s">
        <v>499</v>
      </c>
      <c r="B10" s="870" t="s">
        <v>1878</v>
      </c>
      <c r="C10" s="871"/>
      <c r="D10" s="869" t="s">
        <v>501</v>
      </c>
      <c r="E10" s="868"/>
      <c r="F10" s="1909">
        <f>'Expenditures 15-22'!K174</f>
        <v>392814</v>
      </c>
      <c r="G10" s="872"/>
    </row>
    <row r="11" spans="1:7" x14ac:dyDescent="0.2">
      <c r="A11" s="869" t="s">
        <v>461</v>
      </c>
      <c r="B11" s="870" t="s">
        <v>1879</v>
      </c>
      <c r="C11" s="871"/>
      <c r="D11" s="869" t="s">
        <v>501</v>
      </c>
      <c r="E11" s="868"/>
      <c r="F11" s="1909">
        <f>'Expenditures 15-22'!K210</f>
        <v>414390</v>
      </c>
      <c r="G11" s="872"/>
    </row>
    <row r="12" spans="1:7" x14ac:dyDescent="0.2">
      <c r="A12" s="869" t="s">
        <v>462</v>
      </c>
      <c r="B12" s="870" t="s">
        <v>1880</v>
      </c>
      <c r="C12" s="871"/>
      <c r="D12" s="869" t="s">
        <v>501</v>
      </c>
      <c r="E12" s="868"/>
      <c r="F12" s="1909">
        <f>'Expenditures 15-22'!K295</f>
        <v>125057</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6794331</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30293</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4295</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11818</v>
      </c>
      <c r="G52" s="865"/>
    </row>
    <row r="53" spans="1:7" x14ac:dyDescent="0.2">
      <c r="A53" s="869" t="s">
        <v>459</v>
      </c>
      <c r="B53" s="869" t="s">
        <v>1475</v>
      </c>
      <c r="C53" s="889">
        <f>'Expenditures 15-22'!B102</f>
        <v>4000</v>
      </c>
      <c r="D53" s="888" t="str">
        <f>'Expenditures 15-22'!A102</f>
        <v>Total Payments to Other Govt Units</v>
      </c>
      <c r="E53" s="868"/>
      <c r="F53" s="1913">
        <f>'Expenditures 15-22'!K102</f>
        <v>771001</v>
      </c>
      <c r="G53" s="865"/>
    </row>
    <row r="54" spans="1:7" x14ac:dyDescent="0.2">
      <c r="A54" s="869" t="s">
        <v>459</v>
      </c>
      <c r="B54" s="869" t="s">
        <v>1476</v>
      </c>
      <c r="C54" s="889" t="s">
        <v>982</v>
      </c>
      <c r="D54" s="885" t="s">
        <v>1095</v>
      </c>
      <c r="E54" s="868"/>
      <c r="F54" s="1913">
        <f>'Expenditures 15-22'!G114</f>
        <v>80458</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110328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275583</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4608</v>
      </c>
      <c r="G67" s="865"/>
    </row>
    <row r="68" spans="1:8" x14ac:dyDescent="0.2">
      <c r="A68" s="869" t="s">
        <v>462</v>
      </c>
      <c r="B68" s="869" t="s">
        <v>1479</v>
      </c>
      <c r="C68" s="886" t="str">
        <f>'Expenditures 15-22'!B218</f>
        <v>1225</v>
      </c>
      <c r="D68" s="892" t="str">
        <f>'Expenditures 15-22'!A218</f>
        <v>Special Education Programs - Pre-K</v>
      </c>
      <c r="E68" s="868"/>
      <c r="F68" s="1913">
        <f>'Expenditures 15-22'!K218</f>
        <v>61</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24</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1288469</v>
      </c>
      <c r="G76" s="865"/>
    </row>
    <row r="77" spans="1:8" s="893" customFormat="1" ht="12" customHeight="1" thickTop="1" thickBot="1" x14ac:dyDescent="0.25">
      <c r="A77" s="1779"/>
      <c r="B77" s="1776"/>
      <c r="C77" s="1772"/>
      <c r="D77" s="1777" t="s">
        <v>1900</v>
      </c>
      <c r="E77" s="1774"/>
      <c r="F77" s="1780">
        <f>(F14-F76)</f>
        <v>5505862</v>
      </c>
      <c r="G77" s="869"/>
    </row>
    <row r="78" spans="1:8" s="893" customFormat="1" ht="12" customHeight="1" thickTop="1" x14ac:dyDescent="0.2">
      <c r="A78" s="1781"/>
      <c r="B78" s="1776"/>
      <c r="C78" s="1772"/>
      <c r="D78" s="1777" t="s">
        <v>2062</v>
      </c>
      <c r="E78" s="1774"/>
      <c r="F78" s="898">
        <v>503.3</v>
      </c>
      <c r="G78" s="899"/>
      <c r="H78" s="869"/>
    </row>
    <row r="79" spans="1:8" s="893" customFormat="1" ht="12" customHeight="1" thickBot="1" x14ac:dyDescent="0.25">
      <c r="A79" s="1782"/>
      <c r="B79" s="1776"/>
      <c r="C79" s="1772"/>
      <c r="D79" s="1777" t="s">
        <v>1901</v>
      </c>
      <c r="E79" s="1774" t="s">
        <v>958</v>
      </c>
      <c r="F79" s="1783">
        <f>IF(F78&gt;0,F77/F78," Complete Line 78")</f>
        <v>10939.523147228292</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23383</v>
      </c>
      <c r="G94" s="912"/>
    </row>
    <row r="95" spans="1:7" x14ac:dyDescent="0.2">
      <c r="A95" s="908" t="s">
        <v>140</v>
      </c>
      <c r="B95" s="908" t="s">
        <v>175</v>
      </c>
      <c r="C95" s="910">
        <v>1700</v>
      </c>
      <c r="D95" s="918" t="str">
        <f>'Revenues 9-14'!A82</f>
        <v>Total District/School Activity Income</v>
      </c>
      <c r="E95" s="906"/>
      <c r="F95" s="1789">
        <f>SUM('Revenues 9-14'!C82,'Revenues 9-14'!D82)</f>
        <v>64968</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1191</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4774</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1260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69276</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70309</v>
      </c>
      <c r="G125" s="930"/>
    </row>
    <row r="126" spans="1:7" x14ac:dyDescent="0.2">
      <c r="A126" s="927" t="s">
        <v>668</v>
      </c>
      <c r="B126" s="927" t="s">
        <v>2024</v>
      </c>
      <c r="C126" s="932">
        <v>4300</v>
      </c>
      <c r="D126" s="933" t="str">
        <f>'Revenues 9-14'!A204</f>
        <v>Total Title I</v>
      </c>
      <c r="E126" s="906"/>
      <c r="F126" s="1789">
        <f>SUM('Revenues 9-14'!C204,'Revenues 9-14'!D204,'Revenues 9-14'!F204,'Revenues 9-14'!G204)</f>
        <v>49155</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83413</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6962</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208657</v>
      </c>
      <c r="G171" s="927"/>
    </row>
    <row r="172" spans="1:7" x14ac:dyDescent="0.2">
      <c r="A172" s="1918" t="s">
        <v>664</v>
      </c>
      <c r="B172" s="1919" t="s">
        <v>1920</v>
      </c>
      <c r="C172" s="1920">
        <v>3300</v>
      </c>
      <c r="D172" s="1921" t="s">
        <v>1923</v>
      </c>
      <c r="E172" s="906"/>
      <c r="F172" s="1906">
        <v>540</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583888</v>
      </c>
    </row>
    <row r="175" spans="1:7" ht="12" customHeight="1" x14ac:dyDescent="0.2">
      <c r="A175" s="1770"/>
      <c r="B175" s="1784"/>
      <c r="C175" s="1785"/>
      <c r="D175" s="1786" t="s">
        <v>2057</v>
      </c>
      <c r="E175" s="1787"/>
      <c r="F175" s="1789">
        <f>'PCTC-OEPP 27-28'!F77-F174</f>
        <v>4921974</v>
      </c>
    </row>
    <row r="176" spans="1:7" ht="12" customHeight="1" x14ac:dyDescent="0.2">
      <c r="A176" s="1770"/>
      <c r="B176" s="1784"/>
      <c r="C176" s="1785"/>
      <c r="D176" s="1786" t="s">
        <v>1817</v>
      </c>
      <c r="E176" s="1787"/>
      <c r="F176" s="1789">
        <f>'Cap Outlay Deprec 26'!I18</f>
        <v>421341</v>
      </c>
    </row>
    <row r="177" spans="1:7" ht="12" customHeight="1" x14ac:dyDescent="0.2">
      <c r="A177" s="1770"/>
      <c r="B177" s="1784"/>
      <c r="C177" s="1785"/>
      <c r="D177" s="1786" t="s">
        <v>2058</v>
      </c>
      <c r="E177" s="1787"/>
      <c r="F177" s="1789">
        <f>F175+F176</f>
        <v>5343315</v>
      </c>
    </row>
    <row r="178" spans="1:7" ht="12" customHeight="1" x14ac:dyDescent="0.2">
      <c r="A178" s="1770"/>
      <c r="B178" s="1790"/>
      <c r="C178" s="1785"/>
      <c r="D178" s="1786" t="str">
        <f>D78</f>
        <v>9 Month ADA from District Average Daily Attendance/Prior General State Aid Inquiry 2018-2019</v>
      </c>
      <c r="E178" s="1787"/>
      <c r="F178" s="1791">
        <f>'PCTC-OEPP 27-28'!F78</f>
        <v>503.3</v>
      </c>
      <c r="G178" s="930"/>
    </row>
    <row r="179" spans="1:7" ht="12" customHeight="1" thickBot="1" x14ac:dyDescent="0.25">
      <c r="A179" s="1770"/>
      <c r="B179" s="1790"/>
      <c r="C179" s="1785"/>
      <c r="D179" s="1786" t="s">
        <v>2059</v>
      </c>
      <c r="E179" s="1787" t="s">
        <v>1545</v>
      </c>
      <c r="F179" s="1792">
        <f>F177/F178</f>
        <v>10616.560699384065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20" zoomScaleNormal="100" workbookViewId="0">
      <selection activeCell="A33" sqref="A3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534" t="s">
        <v>1819</v>
      </c>
      <c r="B6" s="1535"/>
      <c r="C6" s="1535"/>
      <c r="D6" s="1535"/>
      <c r="E6" s="1535"/>
      <c r="F6" s="1535"/>
      <c r="G6" s="1536"/>
    </row>
    <row r="7" spans="1:7" ht="30.75" customHeight="1" x14ac:dyDescent="0.25">
      <c r="A7" s="2277" t="s">
        <v>1932</v>
      </c>
      <c r="B7" s="2278"/>
      <c r="C7" s="2278"/>
      <c r="D7" s="2278"/>
      <c r="E7" s="2278"/>
      <c r="F7" s="2278"/>
      <c r="G7" s="2279"/>
    </row>
    <row r="8" spans="1:7" ht="15.75" customHeight="1" x14ac:dyDescent="0.25">
      <c r="A8" s="2280" t="s">
        <v>1907</v>
      </c>
      <c r="B8" s="2281"/>
      <c r="C8" s="2281"/>
      <c r="D8" s="2281"/>
      <c r="E8" s="2281"/>
      <c r="F8" s="2281"/>
      <c r="G8" s="2282"/>
    </row>
    <row r="9" spans="1:7" ht="35.25" customHeight="1" x14ac:dyDescent="0.25">
      <c r="A9" s="2277" t="s">
        <v>1935</v>
      </c>
      <c r="B9" s="2278"/>
      <c r="C9" s="2278"/>
      <c r="D9" s="2278"/>
      <c r="E9" s="2278"/>
      <c r="F9" s="2278"/>
      <c r="G9" s="2279"/>
    </row>
    <row r="10" spans="1:7" ht="15" customHeight="1" x14ac:dyDescent="0.25">
      <c r="A10" s="1537" t="s">
        <v>1820</v>
      </c>
      <c r="B10" s="1538"/>
      <c r="C10" s="1538"/>
      <c r="D10" s="1538"/>
      <c r="E10" s="1538"/>
      <c r="F10" s="1538"/>
      <c r="G10" s="1539"/>
    </row>
    <row r="11" spans="1:7" ht="17.25" customHeight="1" x14ac:dyDescent="0.25">
      <c r="A11" s="2277" t="s">
        <v>1934</v>
      </c>
      <c r="B11" s="2278"/>
      <c r="C11" s="2278"/>
      <c r="D11" s="2278"/>
      <c r="E11" s="2278"/>
      <c r="F11" s="2278"/>
      <c r="G11" s="2279"/>
    </row>
    <row r="12" spans="1:7" ht="15" customHeight="1" x14ac:dyDescent="0.25">
      <c r="A12" s="1537" t="s">
        <v>1825</v>
      </c>
      <c r="B12" s="1538"/>
      <c r="C12" s="1538"/>
      <c r="D12" s="1538"/>
      <c r="E12" s="1538"/>
      <c r="F12" s="1538"/>
      <c r="G12" s="1539"/>
    </row>
    <row r="13" spans="1:7" ht="32.25" customHeight="1" x14ac:dyDescent="0.25">
      <c r="A13" s="2268" t="s">
        <v>1976</v>
      </c>
      <c r="B13" s="2269"/>
      <c r="C13" s="2269"/>
      <c r="D13" s="2269"/>
      <c r="E13" s="2269"/>
      <c r="F13" s="2269"/>
      <c r="G13" s="2270"/>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2110</v>
      </c>
      <c r="B17" s="1940" t="s">
        <v>2103</v>
      </c>
      <c r="C17" s="1938" t="s">
        <v>2088</v>
      </c>
      <c r="D17" s="1844">
        <v>25719</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719</v>
      </c>
      <c r="H17" s="1647"/>
    </row>
    <row r="18" spans="1:8" x14ac:dyDescent="0.25">
      <c r="A18" s="1941" t="s">
        <v>2111</v>
      </c>
      <c r="B18" s="1940" t="s">
        <v>2104</v>
      </c>
      <c r="C18" s="1938" t="s">
        <v>2089</v>
      </c>
      <c r="D18" s="1844">
        <v>25820</v>
      </c>
      <c r="E18" s="1540">
        <f t="shared" ref="E18:E140" si="2">IF(D18&lt;=25000,D18,IF(D18&gt;25000,25000,0))</f>
        <v>25000</v>
      </c>
      <c r="F18" s="1932">
        <f t="shared" si="1"/>
        <v>25000</v>
      </c>
      <c r="G18" s="1793">
        <f t="shared" ref="G18:G140" si="3">IF(F18=0,0,D18-F18)</f>
        <v>820</v>
      </c>
    </row>
    <row r="19" spans="1:8" x14ac:dyDescent="0.25">
      <c r="A19" s="1941" t="s">
        <v>2111</v>
      </c>
      <c r="B19" s="1940" t="s">
        <v>2105</v>
      </c>
      <c r="C19" s="1938" t="s">
        <v>2090</v>
      </c>
      <c r="D19" s="1844">
        <v>70902</v>
      </c>
      <c r="E19" s="1540">
        <f t="shared" si="2"/>
        <v>25000</v>
      </c>
      <c r="F19" s="1932">
        <f t="shared" si="1"/>
        <v>25000</v>
      </c>
      <c r="G19" s="1793">
        <f t="shared" si="3"/>
        <v>45902</v>
      </c>
    </row>
    <row r="20" spans="1:8" x14ac:dyDescent="0.25">
      <c r="A20" s="1939" t="s">
        <v>410</v>
      </c>
      <c r="B20" s="1937" t="s">
        <v>2087</v>
      </c>
      <c r="C20" s="1938" t="s">
        <v>2091</v>
      </c>
      <c r="D20" s="1844">
        <v>75339</v>
      </c>
      <c r="E20" s="1540">
        <f t="shared" si="2"/>
        <v>25000</v>
      </c>
      <c r="F20" s="1932">
        <f t="shared" si="1"/>
        <v>0</v>
      </c>
      <c r="G20" s="1793">
        <f t="shared" si="3"/>
        <v>0</v>
      </c>
    </row>
    <row r="21" spans="1:8" x14ac:dyDescent="0.25">
      <c r="A21" s="1939" t="s">
        <v>410</v>
      </c>
      <c r="B21" s="1937" t="s">
        <v>2087</v>
      </c>
      <c r="C21" s="1938" t="s">
        <v>2092</v>
      </c>
      <c r="D21" s="1844">
        <v>57977</v>
      </c>
      <c r="E21" s="1540">
        <f t="shared" si="2"/>
        <v>25000</v>
      </c>
      <c r="F21" s="1932">
        <f t="shared" si="1"/>
        <v>0</v>
      </c>
      <c r="G21" s="1793">
        <f t="shared" si="3"/>
        <v>0</v>
      </c>
    </row>
    <row r="22" spans="1:8" x14ac:dyDescent="0.25">
      <c r="A22" s="1939" t="s">
        <v>410</v>
      </c>
      <c r="B22" s="1937" t="s">
        <v>2087</v>
      </c>
      <c r="C22" s="1938" t="s">
        <v>2093</v>
      </c>
      <c r="D22" s="1844">
        <v>96495</v>
      </c>
      <c r="E22" s="1540">
        <f t="shared" si="2"/>
        <v>25000</v>
      </c>
      <c r="F22" s="1932">
        <f t="shared" si="1"/>
        <v>0</v>
      </c>
      <c r="G22" s="1793">
        <f t="shared" si="3"/>
        <v>0</v>
      </c>
    </row>
    <row r="23" spans="1:8" x14ac:dyDescent="0.25">
      <c r="A23" s="1941" t="s">
        <v>2114</v>
      </c>
      <c r="B23" s="1940" t="s">
        <v>2106</v>
      </c>
      <c r="C23" s="1938" t="s">
        <v>2094</v>
      </c>
      <c r="D23" s="1844">
        <v>349975</v>
      </c>
      <c r="E23" s="1540">
        <f t="shared" si="2"/>
        <v>25000</v>
      </c>
      <c r="F23" s="1932">
        <f t="shared" si="1"/>
        <v>25000</v>
      </c>
      <c r="G23" s="1793">
        <f t="shared" si="3"/>
        <v>324975</v>
      </c>
    </row>
    <row r="24" spans="1:8" x14ac:dyDescent="0.25">
      <c r="A24" s="1941" t="s">
        <v>2114</v>
      </c>
      <c r="B24" s="1940" t="s">
        <v>2106</v>
      </c>
      <c r="C24" s="1938" t="s">
        <v>2095</v>
      </c>
      <c r="D24" s="1844">
        <v>34835</v>
      </c>
      <c r="E24" s="1540">
        <f t="shared" si="2"/>
        <v>25000</v>
      </c>
      <c r="F24" s="1932">
        <f t="shared" si="1"/>
        <v>25000</v>
      </c>
      <c r="G24" s="1793">
        <f t="shared" si="3"/>
        <v>9835</v>
      </c>
    </row>
    <row r="25" spans="1:8" x14ac:dyDescent="0.25">
      <c r="A25" s="1941" t="s">
        <v>2111</v>
      </c>
      <c r="B25" s="1940" t="s">
        <v>2107</v>
      </c>
      <c r="C25" s="1938" t="s">
        <v>2096</v>
      </c>
      <c r="D25" s="1844">
        <v>25204</v>
      </c>
      <c r="E25" s="1540">
        <f t="shared" si="2"/>
        <v>25000</v>
      </c>
      <c r="F25" s="1932">
        <f t="shared" si="1"/>
        <v>25000</v>
      </c>
      <c r="G25" s="1793">
        <f t="shared" si="3"/>
        <v>204</v>
      </c>
    </row>
    <row r="26" spans="1:8" x14ac:dyDescent="0.25">
      <c r="A26" s="1939" t="s">
        <v>410</v>
      </c>
      <c r="B26" s="1937" t="s">
        <v>2087</v>
      </c>
      <c r="C26" s="1938" t="s">
        <v>2097</v>
      </c>
      <c r="D26" s="1844">
        <v>35869</v>
      </c>
      <c r="E26" s="1540">
        <f t="shared" si="2"/>
        <v>25000</v>
      </c>
      <c r="F26" s="1932">
        <f t="shared" si="1"/>
        <v>0</v>
      </c>
      <c r="G26" s="1793">
        <f t="shared" si="3"/>
        <v>0</v>
      </c>
    </row>
    <row r="27" spans="1:8" x14ac:dyDescent="0.25">
      <c r="A27" s="1941" t="s">
        <v>2111</v>
      </c>
      <c r="B27" s="1940" t="s">
        <v>2105</v>
      </c>
      <c r="C27" s="1938" t="s">
        <v>2098</v>
      </c>
      <c r="D27" s="1844">
        <v>29262</v>
      </c>
      <c r="E27" s="1540">
        <f t="shared" si="2"/>
        <v>25000</v>
      </c>
      <c r="F27" s="1932">
        <f t="shared" si="1"/>
        <v>25000</v>
      </c>
      <c r="G27" s="1793">
        <f t="shared" si="3"/>
        <v>4262</v>
      </c>
    </row>
    <row r="28" spans="1:8" x14ac:dyDescent="0.25">
      <c r="A28" s="1941" t="s">
        <v>2112</v>
      </c>
      <c r="B28" s="1940" t="s">
        <v>2108</v>
      </c>
      <c r="C28" s="1938" t="s">
        <v>2099</v>
      </c>
      <c r="D28" s="1844">
        <v>56743</v>
      </c>
      <c r="E28" s="1540">
        <f t="shared" si="2"/>
        <v>25000</v>
      </c>
      <c r="F28" s="1932">
        <f t="shared" si="1"/>
        <v>25000</v>
      </c>
      <c r="G28" s="1793">
        <f t="shared" si="3"/>
        <v>31743</v>
      </c>
    </row>
    <row r="29" spans="1:8" x14ac:dyDescent="0.25">
      <c r="A29" s="1941" t="s">
        <v>2113</v>
      </c>
      <c r="B29" s="1940" t="s">
        <v>2109</v>
      </c>
      <c r="C29" s="1938" t="s">
        <v>2100</v>
      </c>
      <c r="D29" s="1844">
        <v>103751</v>
      </c>
      <c r="E29" s="1540">
        <f t="shared" si="2"/>
        <v>25000</v>
      </c>
      <c r="F29" s="1932">
        <f t="shared" si="1"/>
        <v>25000</v>
      </c>
      <c r="G29" s="1793">
        <f t="shared" si="3"/>
        <v>78751</v>
      </c>
    </row>
    <row r="30" spans="1:8" x14ac:dyDescent="0.25">
      <c r="A30" s="1653"/>
      <c r="B30" s="1937" t="s">
        <v>2087</v>
      </c>
      <c r="C30" s="1938" t="s">
        <v>2101</v>
      </c>
      <c r="D30" s="1844">
        <v>71351</v>
      </c>
      <c r="E30" s="1540">
        <f t="shared" si="2"/>
        <v>25000</v>
      </c>
      <c r="F30" s="1932">
        <f t="shared" si="1"/>
        <v>0</v>
      </c>
      <c r="G30" s="1793">
        <f t="shared" si="3"/>
        <v>0</v>
      </c>
    </row>
    <row r="31" spans="1:8" x14ac:dyDescent="0.25">
      <c r="A31" s="1653"/>
      <c r="B31" s="1937"/>
      <c r="C31" s="1654"/>
      <c r="D31" s="1844"/>
      <c r="E31" s="1540">
        <f t="shared" si="2"/>
        <v>0</v>
      </c>
      <c r="F31" s="1932">
        <f t="shared" si="1"/>
        <v>0</v>
      </c>
      <c r="G31" s="1793">
        <f t="shared" si="3"/>
        <v>0</v>
      </c>
    </row>
    <row r="32" spans="1:8" x14ac:dyDescent="0.25">
      <c r="A32" s="1653"/>
      <c r="B32" s="1937"/>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1059242</v>
      </c>
      <c r="E141" s="1541">
        <f t="shared" si="0"/>
        <v>25000</v>
      </c>
      <c r="F141" s="1933">
        <f>SUM(F17:F140)</f>
        <v>225000</v>
      </c>
      <c r="G141" s="1795">
        <f>SUM(G17:G140)</f>
        <v>497211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8" t="s">
        <v>1977</v>
      </c>
      <c r="B11" s="2289"/>
      <c r="C11" s="2289"/>
      <c r="D11" s="229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3129041</v>
      </c>
      <c r="F19" s="1799"/>
      <c r="G19" s="1801">
        <f>'Expenditures 15-22'!K33-SUM('Expenditures 15-22'!G33,'Expenditures 15-22'!I33)+'Expenditures 15-22'!D229</f>
        <v>3129041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106257</v>
      </c>
      <c r="F21" s="1802"/>
      <c r="G21" s="1805">
        <f>'Expenditures 15-22'!K42-SUM('Expenditures 15-22'!G42,'Expenditures 15-22'!I42)+'Expenditures 15-22'!K120-SUM('Expenditures 15-22'!G120,'Expenditures 15-22'!I120)+'Expenditures 15-22'!K180-SUM('Expenditures 15-22'!G180,'Expenditures 15-22'!I180)+'Expenditures 15-22'!D238</f>
        <v>106257</v>
      </c>
      <c r="H21" s="987"/>
      <c r="I21" s="162"/>
    </row>
    <row r="22" spans="1:9" s="668" customFormat="1" ht="12" customHeight="1" x14ac:dyDescent="0.2">
      <c r="A22" s="994" t="s">
        <v>564</v>
      </c>
      <c r="B22" s="995"/>
      <c r="C22" s="993">
        <v>2200</v>
      </c>
      <c r="D22" s="1802"/>
      <c r="E22" s="1804">
        <f>'Expenditures 15-22'!K47-SUM('Expenditures 15-22'!G47,'Expenditures 15-22'!I47)+'Expenditures 15-22'!D243</f>
        <v>373268</v>
      </c>
      <c r="F22" s="1802"/>
      <c r="G22" s="1805">
        <f>'Expenditures 15-22'!K47-SUM('Expenditures 15-22'!G47,'Expenditures 15-22'!I47)+'Expenditures 15-22'!D243</f>
        <v>373268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416353</v>
      </c>
      <c r="F23" s="1802"/>
      <c r="G23" s="1804">
        <f>'Expenditures 15-22'!K53-SUM('Expenditures 15-22'!G53,'Expenditures 15-22'!I53)+'Expenditures 15-22'!D257+'Expenditures 15-22'!K330-SUM('Expenditures 15-22'!G330,'Expenditures 15-22'!I330)</f>
        <v>416353</v>
      </c>
      <c r="H23" s="987"/>
      <c r="I23" s="162"/>
    </row>
    <row r="24" spans="1:9" s="668" customFormat="1" ht="12" customHeight="1" x14ac:dyDescent="0.2">
      <c r="A24" s="994" t="s">
        <v>566</v>
      </c>
      <c r="B24" s="995"/>
      <c r="C24" s="993">
        <v>2400</v>
      </c>
      <c r="D24" s="1802"/>
      <c r="E24" s="1804">
        <f>'Expenditures 15-22'!K57-SUM('Expenditures 15-22'!G57,'Expenditures 15-22'!I57)+'Expenditures 15-22'!D261</f>
        <v>371332</v>
      </c>
      <c r="F24" s="1802"/>
      <c r="G24" s="1805">
        <f>'Expenditures 15-22'!K57-SUM('Expenditures 15-22'!G57,'Expenditures 15-22'!I57)+'Expenditures 15-22'!D261</f>
        <v>371332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137426</v>
      </c>
      <c r="E27" s="1804">
        <f>E8</f>
        <v>0</v>
      </c>
      <c r="F27" s="1804">
        <f>'Expenditures 15-22'!K60-SUM('Expenditures 15-22'!G60,'Expenditures 15-22'!I60)+'Expenditures 15-22'!D264-E8</f>
        <v>137426</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259745</v>
      </c>
      <c r="F28" s="1806">
        <f>'Expenditures 15-22'!K61-SUM('Expenditures 15-22'!G61,'Expenditures 15-22'!I61)+'Expenditures 15-22'!K124-SUM('Expenditures 15-22'!G124,'Expenditures 15-22'!I124)+'Expenditures 15-22'!D266-E9</f>
        <v>259745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415620</v>
      </c>
      <c r="F29" s="1802"/>
      <c r="G29" s="1805">
        <f>'Expenditures 15-22'!K62-SUM('Expenditures 15-22'!G62,'Expenditures 15-22'!I62)+'Expenditures 15-22'!K125-SUM('Expenditures 15-22'!G125,'Expenditures 15-22'!I125)+'Expenditures 15-22'!K182-SUM('Expenditures 15-22'!G182,'Expenditures 15-22'!I182)+'Expenditures 15-22'!D267</f>
        <v>415620</v>
      </c>
      <c r="H29" s="985"/>
    </row>
    <row r="30" spans="1:9" ht="12" customHeight="1" x14ac:dyDescent="0.2">
      <c r="A30" s="994" t="s">
        <v>100</v>
      </c>
      <c r="B30" s="997"/>
      <c r="C30" s="993">
        <v>2560</v>
      </c>
      <c r="D30" s="1802"/>
      <c r="E30" s="1804">
        <f>'Expenditures 15-22'!K63-SUM('Expenditures 15-22'!G63,'Expenditures 15-22'!I63)+'Expenditures 15-22'!D268-E10</f>
        <v>140110</v>
      </c>
      <c r="F30" s="1802"/>
      <c r="G30" s="1804">
        <f>'Expenditures 15-22'!K63-SUM('Expenditures 15-22'!G63,'Expenditures 15-22'!I63)+'Expenditures 15-22'!D268-E10</f>
        <v>140110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11842</v>
      </c>
      <c r="F39" s="1802"/>
      <c r="G39" s="1804">
        <f>'Expenditures 15-22'!K75-SUM('Expenditures 15-22'!G75,'Expenditures 15-22'!I75)+'Expenditures 15-22'!K130-SUM('Expenditures 15-22'!G130,'Expenditures 15-22'!I130)+'Expenditures 15-22'!K185-SUM('Expenditures 15-22'!G185,'Expenditures 15-22'!I185)+'Expenditures 15-22'!D280</f>
        <v>11842</v>
      </c>
    </row>
    <row r="40" spans="1:7" ht="12" customHeight="1" x14ac:dyDescent="0.2">
      <c r="A40" s="990" t="s">
        <v>1823</v>
      </c>
      <c r="B40" s="991"/>
      <c r="C40" s="993"/>
      <c r="D40" s="1802"/>
      <c r="E40" s="1806">
        <f>-'Contracts Paid in CY 29'!G141</f>
        <v>-497211</v>
      </c>
      <c r="F40" s="1802"/>
      <c r="G40" s="1806">
        <f>-'Contracts Paid in CY 29'!G141</f>
        <v>-497211</v>
      </c>
    </row>
    <row r="41" spans="1:7" ht="12" customHeight="1" x14ac:dyDescent="0.2">
      <c r="A41" s="998" t="s">
        <v>156</v>
      </c>
      <c r="B41" s="999"/>
      <c r="C41" s="1000"/>
      <c r="D41" s="1806">
        <f>SUM(D19:D39)</f>
        <v>137426</v>
      </c>
      <c r="E41" s="1806">
        <f>SUM(E19:E40)</f>
        <v>4726357</v>
      </c>
      <c r="F41" s="1806">
        <f>SUM(F19:F39)</f>
        <v>397171</v>
      </c>
      <c r="G41" s="1806">
        <f>SUM(G19:G40)</f>
        <v>4466612</v>
      </c>
    </row>
    <row r="42" spans="1:7" x14ac:dyDescent="0.2">
      <c r="A42" s="987"/>
      <c r="B42" s="162"/>
      <c r="C42" s="1001"/>
      <c r="D42" s="2286" t="s">
        <v>522</v>
      </c>
      <c r="E42" s="2287"/>
      <c r="F42" s="1002" t="s">
        <v>523</v>
      </c>
      <c r="G42" s="1003"/>
    </row>
    <row r="43" spans="1:7" ht="12" customHeight="1" x14ac:dyDescent="0.2">
      <c r="A43" s="987"/>
      <c r="B43" s="162"/>
      <c r="C43" s="1001"/>
      <c r="D43" s="1807" t="s">
        <v>473</v>
      </c>
      <c r="E43" s="1808">
        <f>D41</f>
        <v>137426</v>
      </c>
      <c r="F43" s="1807" t="s">
        <v>473</v>
      </c>
      <c r="G43" s="1808">
        <f>F41</f>
        <v>397171</v>
      </c>
    </row>
    <row r="44" spans="1:7" ht="12" customHeight="1" x14ac:dyDescent="0.2">
      <c r="A44" s="987"/>
      <c r="B44" s="162"/>
      <c r="C44" s="1001"/>
      <c r="D44" s="1807" t="s">
        <v>474</v>
      </c>
      <c r="E44" s="1808">
        <f>E41</f>
        <v>4726357</v>
      </c>
      <c r="F44" s="1807" t="s">
        <v>474</v>
      </c>
      <c r="G44" s="1808">
        <f>G41</f>
        <v>4466612</v>
      </c>
    </row>
    <row r="45" spans="1:7" ht="12" customHeight="1" x14ac:dyDescent="0.2">
      <c r="A45" s="987"/>
      <c r="B45" s="162"/>
      <c r="C45" s="162"/>
      <c r="D45" s="1809" t="s">
        <v>1006</v>
      </c>
      <c r="E45" s="1810">
        <f>(E43/E44)</f>
        <v>2.9076517072239783E-2</v>
      </c>
      <c r="F45" s="1809" t="s">
        <v>1006</v>
      </c>
      <c r="G45" s="1810">
        <f>(G43/G44)</f>
        <v>8.8919968871260816E-2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21" sqref="F2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4" t="s">
        <v>1379</v>
      </c>
      <c r="B1" s="2294"/>
      <c r="C1" s="2294"/>
      <c r="D1" s="2294"/>
      <c r="E1" s="2294"/>
      <c r="F1" s="229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5" t="s">
        <v>1546</v>
      </c>
      <c r="B5" s="2296"/>
      <c r="C5" s="2297"/>
      <c r="D5" s="2297"/>
      <c r="E5" s="2297"/>
      <c r="F5" s="2297"/>
    </row>
    <row r="6" spans="1:10" ht="12" customHeight="1" x14ac:dyDescent="0.25">
      <c r="A6" s="1850"/>
      <c r="B6" s="1851"/>
      <c r="C6" s="2298" t="str">
        <f>COVER!A17</f>
        <v>Winthrop Harbor SD 1</v>
      </c>
      <c r="D6" s="2298"/>
      <c r="E6" s="2298"/>
      <c r="F6" s="1852"/>
    </row>
    <row r="7" spans="1:10" ht="11.25" customHeight="1" thickBot="1" x14ac:dyDescent="0.3">
      <c r="A7" s="1850"/>
      <c r="B7" s="1851"/>
      <c r="C7" s="2299">
        <f>COVER!A13</f>
        <v>34049001002</v>
      </c>
      <c r="D7" s="2299"/>
      <c r="E7" s="229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2068</v>
      </c>
      <c r="D19" s="1865" t="s">
        <v>2068</v>
      </c>
      <c r="E19" s="1868"/>
      <c r="F19" s="1867" t="s">
        <v>2086</v>
      </c>
      <c r="H19" s="1878">
        <f t="shared" si="0"/>
        <v>5</v>
      </c>
      <c r="I19" s="1878">
        <f t="shared" si="1"/>
        <v>5</v>
      </c>
      <c r="J19" s="1878">
        <f t="shared" si="2"/>
        <v>0</v>
      </c>
    </row>
    <row r="20" spans="1:12" ht="12" customHeight="1" x14ac:dyDescent="0.2">
      <c r="A20" s="1863" t="s">
        <v>1528</v>
      </c>
      <c r="B20" s="1864"/>
      <c r="C20" s="1865" t="s">
        <v>2068</v>
      </c>
      <c r="D20" s="1865" t="s">
        <v>2068</v>
      </c>
      <c r="E20" s="1868"/>
      <c r="F20" s="1867" t="s">
        <v>2084</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2068</v>
      </c>
      <c r="D26" s="1865" t="s">
        <v>2068</v>
      </c>
      <c r="E26" s="1868"/>
      <c r="F26" s="1867" t="s">
        <v>2085</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0</v>
      </c>
      <c r="K34" s="1878">
        <f>SUM(H34:J34)</f>
        <v>30</v>
      </c>
    </row>
    <row r="35" spans="1:11" ht="12" customHeight="1" x14ac:dyDescent="0.2">
      <c r="A35" s="1871" t="s">
        <v>1392</v>
      </c>
      <c r="B35" s="1872"/>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302"/>
      <c r="B43" s="2303"/>
      <c r="C43" s="2303"/>
      <c r="D43" s="2303"/>
      <c r="E43" s="2303"/>
      <c r="F43" s="2304"/>
      <c r="H43" s="1879"/>
      <c r="I43" s="1879"/>
      <c r="J43" s="1879"/>
      <c r="K43" s="1879"/>
    </row>
    <row r="44" spans="1:11" s="1870" customFormat="1" ht="12" hidden="1" customHeight="1" x14ac:dyDescent="0.25">
      <c r="A44" s="2302"/>
      <c r="B44" s="2303"/>
      <c r="C44" s="2303"/>
      <c r="D44" s="2303"/>
      <c r="E44" s="2303"/>
      <c r="F44" s="2304"/>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8" t="str">
        <f>COVER!A17</f>
        <v>Winthrop Harbor SD 1</v>
      </c>
      <c r="J6" s="2319"/>
      <c r="Q6" s="1664"/>
    </row>
    <row r="7" spans="1:17" x14ac:dyDescent="0.2">
      <c r="A7" s="2320" t="s">
        <v>869</v>
      </c>
      <c r="B7" s="2321"/>
      <c r="C7" s="2321"/>
      <c r="D7" s="2321"/>
      <c r="E7" s="2322"/>
      <c r="F7" s="1017"/>
      <c r="G7" s="1009"/>
      <c r="H7" s="1016" t="s">
        <v>372</v>
      </c>
      <c r="I7" s="2323">
        <f>COVER!A13</f>
        <v>34049001002</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205987</v>
      </c>
      <c r="F12" s="1039"/>
      <c r="G12" s="1811">
        <f t="shared" ref="G12:G18" si="0">SUM(E12:F12)</f>
        <v>205987</v>
      </c>
      <c r="H12" s="1040">
        <v>263050</v>
      </c>
      <c r="I12" s="1039"/>
      <c r="J12" s="1811">
        <f t="shared" ref="J12:J18" si="1">SUM(H12:I12)</f>
        <v>263050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205987</v>
      </c>
      <c r="F19" s="1813">
        <f t="shared" si="2"/>
        <v>0</v>
      </c>
      <c r="G19" s="1813">
        <f t="shared" si="2"/>
        <v>205987</v>
      </c>
      <c r="H19" s="1813">
        <f t="shared" si="2"/>
        <v>263050</v>
      </c>
      <c r="I19" s="1813">
        <f t="shared" si="2"/>
        <v>0</v>
      </c>
      <c r="J19" s="1813">
        <f t="shared" si="2"/>
        <v>263050</v>
      </c>
    </row>
    <row r="20" spans="1:10" ht="13.5" thickTop="1" x14ac:dyDescent="0.2">
      <c r="A20" s="1035">
        <v>9</v>
      </c>
      <c r="B20" s="2330" t="s">
        <v>1981</v>
      </c>
      <c r="C20" s="2330"/>
      <c r="D20" s="2331"/>
      <c r="E20" s="1046"/>
      <c r="F20" s="1046"/>
      <c r="G20" s="1046"/>
      <c r="H20" s="1046"/>
      <c r="I20" s="1046"/>
      <c r="J20" s="1814">
        <f>IF(AND(G19&gt;0,J19&gt;0),(((J19-G19)/G19)),"Enter Budget Data")</f>
        <v>0.27702233636103252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1983</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Winthrop Harbor SD 1</v>
      </c>
    </row>
    <row r="65" spans="2:2" x14ac:dyDescent="0.2">
      <c r="B65" s="1070">
        <f>COVER!A13</f>
        <v>34049001002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0</xdr:colOff>
                <xdr:row>2</xdr:row>
                <xdr:rowOff>0</xdr:rowOff>
              </from>
              <to>
                <xdr:col>1</xdr:col>
                <xdr:colOff>857250</xdr:colOff>
                <xdr:row>5</xdr:row>
                <xdr:rowOff>28575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1987</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1988</v>
      </c>
      <c r="B4" s="2358"/>
      <c r="C4" s="2358"/>
      <c r="D4" s="2358"/>
      <c r="E4" s="2358"/>
      <c r="F4" s="2359"/>
      <c r="G4" s="1074"/>
      <c r="H4" s="1074"/>
    </row>
    <row r="5" spans="1:8" ht="14.25" customHeight="1" x14ac:dyDescent="0.2">
      <c r="A5" s="2360" t="s">
        <v>1984</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6148496</v>
      </c>
      <c r="C8" s="1815">
        <f>'Acct Summary 7-8'!D8</f>
        <v>526532</v>
      </c>
      <c r="D8" s="1815">
        <f>'Acct Summary 7-8'!F8</f>
        <v>215748</v>
      </c>
      <c r="E8" s="1815">
        <f>'Acct Summary 7-8'!I8</f>
        <v>30637</v>
      </c>
      <c r="F8" s="1815">
        <f>SUM(B8:E8)</f>
        <v>6921413</v>
      </c>
    </row>
    <row r="9" spans="1:8" s="1079" customFormat="1" ht="14.25" customHeight="1" thickBot="1" x14ac:dyDescent="0.25">
      <c r="A9" s="1078" t="s">
        <v>1369</v>
      </c>
      <c r="B9" s="1816">
        <f>'Acct Summary 7-8'!C17</f>
        <v>5451700</v>
      </c>
      <c r="C9" s="1816">
        <f>'Acct Summary 7-8'!D17</f>
        <v>410370</v>
      </c>
      <c r="D9" s="1816">
        <f>'Acct Summary 7-8'!F17</f>
        <v>414390</v>
      </c>
      <c r="E9" s="1815"/>
      <c r="F9" s="1815">
        <f>SUM(B9:E9)</f>
        <v>6276460</v>
      </c>
    </row>
    <row r="10" spans="1:8" s="1079" customFormat="1" ht="14.25" thickTop="1" thickBot="1" x14ac:dyDescent="0.25">
      <c r="A10" s="1080" t="s">
        <v>1370</v>
      </c>
      <c r="B10" s="1817">
        <f>(B8-B9)</f>
        <v>696796</v>
      </c>
      <c r="C10" s="1817">
        <f>(C8-C9)</f>
        <v>116162</v>
      </c>
      <c r="D10" s="1817">
        <f>(D8-D9)</f>
        <v>-198642</v>
      </c>
      <c r="E10" s="1816">
        <f>(E8-E9)</f>
        <v>30637</v>
      </c>
      <c r="F10" s="1818">
        <f>SUM(F8-F9)</f>
        <v>644953</v>
      </c>
    </row>
    <row r="11" spans="1:8" s="1079" customFormat="1" ht="14.25" thickTop="1" thickBot="1" x14ac:dyDescent="0.25">
      <c r="A11" s="1081" t="s">
        <v>1985</v>
      </c>
      <c r="B11" s="1819">
        <f>'Acct Summary 7-8'!C81</f>
        <v>6186156</v>
      </c>
      <c r="C11" s="1819">
        <f>'Acct Summary 7-8'!D81</f>
        <v>822375</v>
      </c>
      <c r="D11" s="1819">
        <f>'Acct Summary 7-8'!F81</f>
        <v>384190</v>
      </c>
      <c r="E11" s="1819">
        <f>'Acct Summary 7-8'!I81</f>
        <v>30637</v>
      </c>
      <c r="F11" s="1820">
        <f>SUM(B11:E11)</f>
        <v>7423358</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C1" sqref="C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34049001002</v>
      </c>
    </row>
    <row r="3" spans="1:2" x14ac:dyDescent="0.2">
      <c r="A3" t="s">
        <v>956</v>
      </c>
      <c r="B3" s="138" t="str">
        <f>COVER!A15</f>
        <v>LAKE</v>
      </c>
    </row>
    <row r="4" spans="1:2" x14ac:dyDescent="0.2">
      <c r="A4" t="s">
        <v>1007</v>
      </c>
      <c r="B4" s="138" t="str">
        <f>COVER!A17</f>
        <v>Winthrop Harbor SD 1</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066-003289</v>
      </c>
    </row>
    <row r="16" spans="1:2" x14ac:dyDescent="0.2">
      <c r="A16" t="s">
        <v>422</v>
      </c>
      <c r="B16" s="138" t="str">
        <f>COVER!T13</f>
        <v>EVOY, KAMSCHULTE, JACOBS &amp; CO., LLP</v>
      </c>
    </row>
    <row r="17" spans="1:2" x14ac:dyDescent="0.2">
      <c r="A17" t="s">
        <v>884</v>
      </c>
      <c r="B17" s="138" t="str">
        <f>COVER!T15</f>
        <v>KEVIN KINNAVY</v>
      </c>
    </row>
    <row r="18" spans="1:2" x14ac:dyDescent="0.2">
      <c r="A18" t="s">
        <v>1150</v>
      </c>
      <c r="B18" s="138" t="str">
        <f>COVER!T17</f>
        <v>2122 YEOMAN STREET</v>
      </c>
    </row>
    <row r="19" spans="1:2" x14ac:dyDescent="0.2">
      <c r="A19" t="s">
        <v>886</v>
      </c>
      <c r="B19" s="138" t="str">
        <f>COVER!T25</f>
        <v>kkinnavy@ekjllp.com</v>
      </c>
    </row>
    <row r="20" spans="1:2" x14ac:dyDescent="0.2">
      <c r="A20" t="s">
        <v>887</v>
      </c>
      <c r="B20" s="138" t="str">
        <f>COVER!T19</f>
        <v>WAUKEGAN</v>
      </c>
    </row>
    <row r="21" spans="1:2" x14ac:dyDescent="0.2">
      <c r="A21" t="s">
        <v>479</v>
      </c>
      <c r="B21" s="138" t="str">
        <f>COVER!X19</f>
        <v>IL</v>
      </c>
    </row>
    <row r="22" spans="1:2" x14ac:dyDescent="0.2">
      <c r="A22" t="s">
        <v>888</v>
      </c>
      <c r="B22" s="138">
        <f>COVER!Z19</f>
        <v>0</v>
      </c>
    </row>
    <row r="23" spans="1:2" x14ac:dyDescent="0.2">
      <c r="A23" t="s">
        <v>1152</v>
      </c>
      <c r="B23" s="138" t="str">
        <f>COVER!T21</f>
        <v>847-662-8300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33604</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6199715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13559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13559</v>
      </c>
      <c r="C91" s="2" t="s">
        <v>573</v>
      </c>
      <c r="D91" s="2" t="str">
        <f t="shared" si="0"/>
        <v>Error?</v>
      </c>
    </row>
    <row r="92" spans="1:4" x14ac:dyDescent="0.2">
      <c r="A92" s="5">
        <v>31</v>
      </c>
      <c r="B92" s="138">
        <f>'Assets-Liab 5-6'!C39</f>
        <v>6186156</v>
      </c>
      <c r="D92" s="2" t="str">
        <f t="shared" si="0"/>
        <v>Error?</v>
      </c>
    </row>
    <row r="93" spans="1:4" x14ac:dyDescent="0.2">
      <c r="A93" s="5">
        <v>32</v>
      </c>
      <c r="B93" s="138">
        <f>'Assets-Liab 5-6'!C41</f>
        <v>6199715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822375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822375</v>
      </c>
      <c r="D123" s="2" t="str">
        <f t="shared" si="0"/>
        <v>Error?</v>
      </c>
    </row>
    <row r="124" spans="1:4" x14ac:dyDescent="0.2">
      <c r="A124" s="5">
        <v>63</v>
      </c>
      <c r="B124" s="138">
        <f>'Assets-Liab 5-6'!D41</f>
        <v>822375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459731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45299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45299</v>
      </c>
      <c r="C139" s="2" t="s">
        <v>573</v>
      </c>
      <c r="D139" s="2" t="str">
        <f t="shared" si="1"/>
        <v>Error?</v>
      </c>
    </row>
    <row r="140" spans="1:4" x14ac:dyDescent="0.2">
      <c r="A140" s="5">
        <v>79</v>
      </c>
      <c r="B140" s="138">
        <f>'Assets-Liab 5-6'!E39</f>
        <v>414432</v>
      </c>
      <c r="D140" s="2" t="str">
        <f t="shared" si="1"/>
        <v>Error?</v>
      </c>
    </row>
    <row r="141" spans="1:4" x14ac:dyDescent="0.2">
      <c r="A141" s="5">
        <v>80</v>
      </c>
      <c r="B141" s="138">
        <f>'Assets-Liab 5-6'!E41</f>
        <v>459731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384190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384190</v>
      </c>
      <c r="D170" s="2" t="str">
        <f t="shared" si="1"/>
        <v>Error?</v>
      </c>
    </row>
    <row r="171" spans="1:4" x14ac:dyDescent="0.2">
      <c r="A171" s="5">
        <v>110</v>
      </c>
      <c r="B171" s="138">
        <f>'Assets-Liab 5-6'!F41</f>
        <v>384190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361008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361008</v>
      </c>
      <c r="D189" s="2" t="str">
        <f t="shared" si="1"/>
        <v>Error?</v>
      </c>
    </row>
    <row r="190" spans="1:4" x14ac:dyDescent="0.2">
      <c r="A190" s="5">
        <v>129</v>
      </c>
      <c r="B190" s="138">
        <f>'Assets-Liab 5-6'!G41</f>
        <v>361008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100201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100201</v>
      </c>
      <c r="D212" s="2" t="str">
        <f t="shared" si="2"/>
        <v>Error?</v>
      </c>
    </row>
    <row r="213" spans="1:4" x14ac:dyDescent="0.2">
      <c r="A213" s="12">
        <v>152</v>
      </c>
      <c r="B213" s="138">
        <f>'Assets-Liab 5-6'!H41</f>
        <v>100201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101187</v>
      </c>
      <c r="D273" s="2" t="str">
        <f t="shared" si="3"/>
        <v>Error?</v>
      </c>
    </row>
    <row r="274" spans="1:4" x14ac:dyDescent="0.2">
      <c r="A274" s="5">
        <v>213</v>
      </c>
      <c r="B274" s="138">
        <f>'Assets-Liab 5-6'!M17</f>
        <v>10527753</v>
      </c>
      <c r="D274" s="2" t="str">
        <f t="shared" si="3"/>
        <v>Error?</v>
      </c>
    </row>
    <row r="275" spans="1:4" x14ac:dyDescent="0.2">
      <c r="A275" s="5">
        <v>214</v>
      </c>
      <c r="B275" s="138">
        <f>'Assets-Liab 5-6'!M18</f>
        <v>702586</v>
      </c>
      <c r="D275" s="2" t="str">
        <f t="shared" si="3"/>
        <v>Error?</v>
      </c>
    </row>
    <row r="276" spans="1:4" x14ac:dyDescent="0.2">
      <c r="A276" s="5">
        <v>215</v>
      </c>
      <c r="B276" s="138">
        <f>'Assets-Liab 5-6'!M19</f>
        <v>484871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11816397</v>
      </c>
      <c r="C279" s="2" t="s">
        <v>573</v>
      </c>
      <c r="D279" s="2" t="str">
        <f t="shared" si="3"/>
        <v>Error?</v>
      </c>
    </row>
    <row r="280" spans="1:4" x14ac:dyDescent="0.2">
      <c r="A280" s="5">
        <v>219</v>
      </c>
      <c r="B280" s="138">
        <f>'Assets-Liab 5-6'!M40</f>
        <v>11816397</v>
      </c>
      <c r="D280" s="2" t="str">
        <f t="shared" si="3"/>
        <v>Error?</v>
      </c>
    </row>
    <row r="281" spans="1:4" x14ac:dyDescent="0.2">
      <c r="A281" s="5">
        <v>220</v>
      </c>
      <c r="B281" s="138">
        <f>'Assets-Liab 5-6'!M41</f>
        <v>11816397</v>
      </c>
      <c r="C281" s="2" t="s">
        <v>573</v>
      </c>
      <c r="D281" s="2" t="str">
        <f t="shared" si="3"/>
        <v>Error?</v>
      </c>
    </row>
    <row r="282" spans="1:4" x14ac:dyDescent="0.2">
      <c r="A282" s="5">
        <v>221</v>
      </c>
      <c r="B282" s="138">
        <f>'Assets-Liab 5-6'!N21</f>
        <v>414432</v>
      </c>
      <c r="D282" s="2" t="str">
        <f t="shared" si="3"/>
        <v>Error?</v>
      </c>
    </row>
    <row r="283" spans="1:4" x14ac:dyDescent="0.2">
      <c r="A283" s="5">
        <v>222</v>
      </c>
      <c r="B283" s="138">
        <f>'Assets-Liab 5-6'!N22</f>
        <v>5285084</v>
      </c>
      <c r="D283" s="2" t="str">
        <f t="shared" si="3"/>
        <v>Error?</v>
      </c>
    </row>
    <row r="284" spans="1:4" x14ac:dyDescent="0.2">
      <c r="A284" s="5">
        <v>223</v>
      </c>
      <c r="B284" s="138">
        <f>'Assets-Liab 5-6'!N23</f>
        <v>5699516</v>
      </c>
      <c r="C284" s="2" t="s">
        <v>573</v>
      </c>
      <c r="D284" s="2" t="str">
        <f t="shared" si="3"/>
        <v>Error?</v>
      </c>
    </row>
    <row r="285" spans="1:4" x14ac:dyDescent="0.2">
      <c r="A285" s="5">
        <v>224</v>
      </c>
      <c r="B285" s="138">
        <f>'Assets-Liab 5-6'!N36</f>
        <v>5699516</v>
      </c>
      <c r="D285" s="2" t="str">
        <f t="shared" si="3"/>
        <v>Error?</v>
      </c>
    </row>
    <row r="286" spans="1:4" x14ac:dyDescent="0.2">
      <c r="A286" s="10">
        <v>225</v>
      </c>
      <c r="D286" s="2" t="str">
        <f t="shared" si="3"/>
        <v>OK</v>
      </c>
    </row>
    <row r="287" spans="1:4" x14ac:dyDescent="0.2">
      <c r="A287" s="5">
        <v>226</v>
      </c>
      <c r="B287" s="138">
        <f>'Assets-Liab 5-6'!N37</f>
        <v>5699516</v>
      </c>
      <c r="C287" s="2" t="s">
        <v>573</v>
      </c>
      <c r="D287" s="2" t="str">
        <f t="shared" si="3"/>
        <v>Error?</v>
      </c>
    </row>
    <row r="288" spans="1:4" x14ac:dyDescent="0.2">
      <c r="A288" s="5">
        <v>227</v>
      </c>
      <c r="B288" s="138">
        <f>'Assets-Liab 5-6'!N41</f>
        <v>5699516</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1766774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49323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2320765</v>
      </c>
      <c r="C720" s="2" t="s">
        <v>573</v>
      </c>
      <c r="D720" s="2" t="str">
        <f t="shared" si="10"/>
        <v>Error?</v>
      </c>
    </row>
    <row r="721" spans="1:4" x14ac:dyDescent="0.2">
      <c r="A721" s="5">
        <v>660</v>
      </c>
      <c r="B721" s="138">
        <f>'Expenditures 15-22'!C36</f>
        <v>41966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16868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58834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193503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193503</v>
      </c>
      <c r="C731" s="2" t="s">
        <v>573</v>
      </c>
      <c r="D731" s="2" t="str">
        <f t="shared" si="10"/>
        <v>Error?</v>
      </c>
    </row>
    <row r="732" spans="1:4" x14ac:dyDescent="0.2">
      <c r="A732" s="5">
        <v>671</v>
      </c>
      <c r="B732" s="138">
        <f>'Expenditures 15-22'!C49</f>
        <v>25951</v>
      </c>
      <c r="D732" s="2" t="str">
        <f t="shared" si="10"/>
        <v>Error?</v>
      </c>
    </row>
    <row r="733" spans="1:4" x14ac:dyDescent="0.2">
      <c r="A733" s="5">
        <v>672</v>
      </c>
      <c r="B733" s="138">
        <f>'Expenditures 15-22'!C50</f>
        <v>144000</v>
      </c>
      <c r="D733" s="2" t="str">
        <f t="shared" si="10"/>
        <v>Error?</v>
      </c>
    </row>
    <row r="734" spans="1:4" x14ac:dyDescent="0.2">
      <c r="A734" s="5">
        <v>673</v>
      </c>
      <c r="B734" s="138">
        <f>'Expenditures 15-22'!C53</f>
        <v>169951</v>
      </c>
      <c r="C734" s="2" t="s">
        <v>573</v>
      </c>
      <c r="D734" s="2" t="str">
        <f t="shared" si="10"/>
        <v>Error?</v>
      </c>
    </row>
    <row r="735" spans="1:4" x14ac:dyDescent="0.2">
      <c r="A735" s="5">
        <v>674</v>
      </c>
      <c r="B735" s="138">
        <f>'Expenditures 15-22'!C55</f>
        <v>243414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243414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79031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31457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110488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776190</v>
      </c>
      <c r="C755" s="2" t="s">
        <v>573</v>
      </c>
      <c r="D755" s="2" t="str">
        <f t="shared" si="10"/>
        <v>Error?</v>
      </c>
    </row>
    <row r="756" spans="1:4" x14ac:dyDescent="0.2">
      <c r="A756" s="5">
        <v>695</v>
      </c>
      <c r="B756" s="138">
        <f>'Expenditures 15-22'!C75</f>
        <v>1500</v>
      </c>
      <c r="D756" s="2" t="str">
        <f t="shared" si="10"/>
        <v>Error?</v>
      </c>
    </row>
    <row r="757" spans="1:4" x14ac:dyDescent="0.2">
      <c r="A757" s="5">
        <v>696</v>
      </c>
      <c r="B757" s="138">
        <f>'Expenditures 15-22'!C114</f>
        <v>3098455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448624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6508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556311</v>
      </c>
      <c r="C778" s="2" t="s">
        <v>573</v>
      </c>
      <c r="D778" s="2" t="str">
        <f t="shared" si="11"/>
        <v>Error?</v>
      </c>
    </row>
    <row r="779" spans="1:4" x14ac:dyDescent="0.2">
      <c r="A779" s="5">
        <v>718</v>
      </c>
      <c r="B779" s="138">
        <f>'Expenditures 15-22'!D36</f>
        <v>17134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17134</v>
      </c>
      <c r="C785" s="2" t="s">
        <v>573</v>
      </c>
      <c r="D785" s="2" t="str">
        <f t="shared" si="11"/>
        <v>Error?</v>
      </c>
    </row>
    <row r="786" spans="1:4" x14ac:dyDescent="0.2">
      <c r="A786" s="5">
        <v>725</v>
      </c>
      <c r="B786" s="138">
        <f>'Expenditures 15-22'!D44</f>
        <v>1718</v>
      </c>
      <c r="D786" s="2" t="str">
        <f t="shared" si="11"/>
        <v>Error?</v>
      </c>
    </row>
    <row r="787" spans="1:4" x14ac:dyDescent="0.2">
      <c r="A787" s="5">
        <v>726</v>
      </c>
      <c r="B787" s="138">
        <f>'Expenditures 15-22'!D45</f>
        <v>27182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28900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55988</v>
      </c>
      <c r="D791" s="2" t="str">
        <f t="shared" si="11"/>
        <v>Error?</v>
      </c>
    </row>
    <row r="792" spans="1:4" x14ac:dyDescent="0.2">
      <c r="A792" s="5">
        <v>731</v>
      </c>
      <c r="B792" s="138">
        <f>'Expenditures 15-22'!D53</f>
        <v>55988</v>
      </c>
      <c r="C792" s="2" t="s">
        <v>573</v>
      </c>
      <c r="D792" s="2" t="str">
        <f t="shared" si="11"/>
        <v>Error?</v>
      </c>
    </row>
    <row r="793" spans="1:4" x14ac:dyDescent="0.2">
      <c r="A793" s="5">
        <v>732</v>
      </c>
      <c r="B793" s="138">
        <f>'Expenditures 15-22'!D55</f>
        <v>80361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80361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19730</v>
      </c>
      <c r="D797" s="2" t="str">
        <f t="shared" si="11"/>
        <v>Error?</v>
      </c>
    </row>
    <row r="798" spans="1:4" x14ac:dyDescent="0.2">
      <c r="A798" s="5">
        <v>737</v>
      </c>
      <c r="B798" s="138">
        <f>'Expenditures 15-22'!D61</f>
        <v>7172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2527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29429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211812</v>
      </c>
      <c r="C813" s="2" t="s">
        <v>573</v>
      </c>
      <c r="D813" s="2" t="str">
        <f t="shared" si="11"/>
        <v>Error?</v>
      </c>
    </row>
    <row r="814" spans="1:4" x14ac:dyDescent="0.2">
      <c r="A814" s="5">
        <v>753</v>
      </c>
      <c r="B814" s="138">
        <f>'Expenditures 15-22'!D75</f>
        <v>196</v>
      </c>
      <c r="D814" s="2" t="str">
        <f t="shared" si="11"/>
        <v>Error?</v>
      </c>
    </row>
    <row r="815" spans="1:4" x14ac:dyDescent="0.2">
      <c r="A815" s="5">
        <v>754</v>
      </c>
      <c r="B815" s="138">
        <f>'Expenditures 15-22'!D114</f>
        <v>768319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15897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46216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25125</v>
      </c>
      <c r="D839" s="2" t="str">
        <f t="shared" si="12"/>
        <v>Error?</v>
      </c>
    </row>
    <row r="840" spans="1:4" x14ac:dyDescent="0.2">
      <c r="A840" s="5">
        <v>779</v>
      </c>
      <c r="B840" s="138">
        <f>'Expenditures 15-22'!E39</f>
        <v>741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25866</v>
      </c>
      <c r="C843" s="2" t="s">
        <v>573</v>
      </c>
      <c r="D843" s="2" t="str">
        <f t="shared" si="12"/>
        <v>Error?</v>
      </c>
    </row>
    <row r="844" spans="1:4" x14ac:dyDescent="0.2">
      <c r="A844" s="5">
        <v>783</v>
      </c>
      <c r="B844" s="138">
        <f>'Expenditures 15-22'!E44</f>
        <v>15836</v>
      </c>
      <c r="D844" s="2" t="str">
        <f t="shared" si="12"/>
        <v>Error?</v>
      </c>
    </row>
    <row r="845" spans="1:4" x14ac:dyDescent="0.2">
      <c r="A845" s="5">
        <v>784</v>
      </c>
      <c r="B845" s="138">
        <f>'Expenditures 15-22'!E45</f>
        <v>102016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117852</v>
      </c>
      <c r="C847" s="2" t="s">
        <v>573</v>
      </c>
      <c r="D847" s="2" t="str">
        <f t="shared" si="12"/>
        <v>Error?</v>
      </c>
    </row>
    <row r="848" spans="1:4" x14ac:dyDescent="0.2">
      <c r="A848" s="5">
        <v>787</v>
      </c>
      <c r="B848" s="138">
        <f>'Expenditures 15-22'!E49</f>
        <v>175247</v>
      </c>
      <c r="D848" s="2" t="str">
        <f t="shared" si="12"/>
        <v>Error?</v>
      </c>
    </row>
    <row r="849" spans="1:4" x14ac:dyDescent="0.2">
      <c r="A849" s="5">
        <v>788</v>
      </c>
      <c r="B849" s="138">
        <f>'Expenditures 15-22'!E50</f>
        <v>2285</v>
      </c>
      <c r="D849" s="2" t="str">
        <f t="shared" si="12"/>
        <v>Error?</v>
      </c>
    </row>
    <row r="850" spans="1:4" x14ac:dyDescent="0.2">
      <c r="A850" s="5">
        <v>789</v>
      </c>
      <c r="B850" s="138">
        <f>'Expenditures 15-22'!E53</f>
        <v>177532</v>
      </c>
      <c r="C850" s="2" t="s">
        <v>573</v>
      </c>
      <c r="D850" s="2" t="str">
        <f t="shared" si="12"/>
        <v>Error?</v>
      </c>
    </row>
    <row r="851" spans="1:4" x14ac:dyDescent="0.2">
      <c r="A851" s="5">
        <v>790</v>
      </c>
      <c r="B851" s="138">
        <f>'Expenditures 15-22'!E55</f>
        <v>32997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32997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7555</v>
      </c>
      <c r="D855" s="2" t="str">
        <f t="shared" si="12"/>
        <v>Error?</v>
      </c>
    </row>
    <row r="856" spans="1:4" x14ac:dyDescent="0.2">
      <c r="A856" s="5">
        <v>795</v>
      </c>
      <c r="B856" s="138">
        <f>'Expenditures 15-22'!E61</f>
        <v>18974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101680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128209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482456</v>
      </c>
      <c r="C871" s="2" t="s">
        <v>573</v>
      </c>
      <c r="D871" s="2" t="str">
        <f t="shared" si="12"/>
        <v>Error?</v>
      </c>
    </row>
    <row r="872" spans="1:4" x14ac:dyDescent="0.2">
      <c r="A872" s="5">
        <v>811</v>
      </c>
      <c r="B872" s="138">
        <f>'Expenditures 15-22'!E75</f>
        <v>2280</v>
      </c>
      <c r="D872" s="2" t="str">
        <f t="shared" si="12"/>
        <v>Error?</v>
      </c>
    </row>
    <row r="873" spans="1:4" x14ac:dyDescent="0.2">
      <c r="A873" s="5">
        <v>812</v>
      </c>
      <c r="B873" s="138">
        <f>'Expenditures 15-22'!E114</f>
        <v>1301953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92306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146006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801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801</v>
      </c>
      <c r="C901" s="2" t="s">
        <v>573</v>
      </c>
      <c r="D901" s="2" t="str">
        <f t="shared" si="13"/>
        <v>Error?</v>
      </c>
    </row>
    <row r="902" spans="1:4" x14ac:dyDescent="0.2">
      <c r="A902" s="5">
        <v>841</v>
      </c>
      <c r="B902" s="138">
        <f>'Expenditures 15-22'!F44</f>
        <v>1159</v>
      </c>
      <c r="D902" s="2" t="str">
        <f t="shared" si="13"/>
        <v>Error?</v>
      </c>
    </row>
    <row r="903" spans="1:4" x14ac:dyDescent="0.2">
      <c r="A903" s="5">
        <v>842</v>
      </c>
      <c r="B903" s="138">
        <f>'Expenditures 15-22'!F45</f>
        <v>17500</v>
      </c>
      <c r="D903" s="2" t="str">
        <f t="shared" si="13"/>
        <v>Error?</v>
      </c>
    </row>
    <row r="904" spans="1:4" x14ac:dyDescent="0.2">
      <c r="A904" s="5">
        <v>843</v>
      </c>
      <c r="B904" s="138">
        <f>'Expenditures 15-22'!F46</f>
        <v>258</v>
      </c>
      <c r="D904" s="2" t="str">
        <f t="shared" si="13"/>
        <v>Error?</v>
      </c>
    </row>
    <row r="905" spans="1:4" x14ac:dyDescent="0.2">
      <c r="A905" s="5">
        <v>844</v>
      </c>
      <c r="B905" s="138">
        <f>'Expenditures 15-22'!F47</f>
        <v>18917</v>
      </c>
      <c r="C905" s="2" t="s">
        <v>573</v>
      </c>
      <c r="D905" s="2" t="str">
        <f t="shared" si="13"/>
        <v>Error?</v>
      </c>
    </row>
    <row r="906" spans="1:4" x14ac:dyDescent="0.2">
      <c r="A906" s="5">
        <v>845</v>
      </c>
      <c r="B906" s="138">
        <f>'Expenditures 15-22'!F49</f>
        <v>3916</v>
      </c>
      <c r="D906" s="2" t="str">
        <f t="shared" si="13"/>
        <v>Error?</v>
      </c>
    </row>
    <row r="907" spans="1:4" x14ac:dyDescent="0.2">
      <c r="A907" s="5">
        <v>846</v>
      </c>
      <c r="B907" s="138">
        <f>'Expenditures 15-22'!F50</f>
        <v>338</v>
      </c>
      <c r="D907" s="2" t="str">
        <f t="shared" si="13"/>
        <v>Error?</v>
      </c>
    </row>
    <row r="908" spans="1:4" x14ac:dyDescent="0.2">
      <c r="A908" s="5">
        <v>847</v>
      </c>
      <c r="B908" s="138">
        <f>'Expenditures 15-22'!F53</f>
        <v>4254</v>
      </c>
      <c r="C908" s="2" t="s">
        <v>573</v>
      </c>
      <c r="D908" s="2" t="str">
        <f t="shared" si="13"/>
        <v>Error?</v>
      </c>
    </row>
    <row r="909" spans="1:4" x14ac:dyDescent="0.2">
      <c r="A909" s="5">
        <v>848</v>
      </c>
      <c r="B909" s="138">
        <f>'Expenditures 15-22'!F55</f>
        <v>831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831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15562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2691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18253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43056</v>
      </c>
      <c r="C929" s="2" t="s">
        <v>573</v>
      </c>
      <c r="D929" s="2" t="str">
        <f t="shared" si="13"/>
        <v>Error?</v>
      </c>
    </row>
    <row r="930" spans="1:4" x14ac:dyDescent="0.2">
      <c r="A930" s="5">
        <v>869</v>
      </c>
      <c r="B930" s="138">
        <f>'Expenditures 15-22'!F75</f>
        <v>7842</v>
      </c>
      <c r="D930" s="2" t="str">
        <f t="shared" si="13"/>
        <v>Error?</v>
      </c>
    </row>
    <row r="931" spans="1:4" x14ac:dyDescent="0.2">
      <c r="A931" s="5">
        <v>870</v>
      </c>
      <c r="B931" s="138">
        <f>'Expenditures 15-22'!F114</f>
        <v>196904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7493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14595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63935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63935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1928</v>
      </c>
      <c r="D965" s="2" t="str">
        <f t="shared" si="14"/>
        <v>Error?</v>
      </c>
    </row>
    <row r="966" spans="1:4" x14ac:dyDescent="0.2">
      <c r="A966" s="5">
        <v>905</v>
      </c>
      <c r="B966" s="138">
        <f>'Expenditures 15-22'!G53</f>
        <v>1928</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65863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80458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400</v>
      </c>
      <c r="D1016" s="2" t="str">
        <f t="shared" si="14"/>
        <v>Error?</v>
      </c>
    </row>
    <row r="1017" spans="1:4" x14ac:dyDescent="0.2">
      <c r="A1017" s="5">
        <v>956</v>
      </c>
      <c r="B1017" s="138">
        <f>'Expenditures 15-22'!H42</f>
        <v>400</v>
      </c>
      <c r="C1017" s="2" t="s">
        <v>573</v>
      </c>
      <c r="D1017" s="2" t="str">
        <f t="shared" si="14"/>
        <v>Error?</v>
      </c>
    </row>
    <row r="1018" spans="1:4" x14ac:dyDescent="0.2">
      <c r="A1018" s="5">
        <v>957</v>
      </c>
      <c r="B1018" s="138">
        <f>'Expenditures 15-22'!H44</f>
        <v>769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769</v>
      </c>
      <c r="C1021" s="2" t="s">
        <v>573</v>
      </c>
      <c r="D1021" s="2" t="str">
        <f t="shared" si="14"/>
        <v>Error?</v>
      </c>
    </row>
    <row r="1022" spans="1:4" x14ac:dyDescent="0.2">
      <c r="A1022" s="5">
        <v>961</v>
      </c>
      <c r="B1022" s="138">
        <f>'Expenditures 15-22'!H49</f>
        <v>2994</v>
      </c>
      <c r="D1022" s="2" t="str">
        <f t="shared" si="14"/>
        <v>Error?</v>
      </c>
    </row>
    <row r="1023" spans="1:4" x14ac:dyDescent="0.2">
      <c r="A1023" s="5">
        <v>962</v>
      </c>
      <c r="B1023" s="138">
        <f>'Expenditures 15-22'!H50</f>
        <v>1448</v>
      </c>
      <c r="D1023" s="2" t="str">
        <f t="shared" ref="D1023:D1086" si="15">IF(ISBLANK(B1023),"OK",IF(A1023-B1023=0,"OK","Error?"))</f>
        <v>Error?</v>
      </c>
    </row>
    <row r="1024" spans="1:4" x14ac:dyDescent="0.2">
      <c r="A1024" s="5">
        <v>963</v>
      </c>
      <c r="B1024" s="138">
        <f>'Expenditures 15-22'!H53</f>
        <v>4442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5611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5611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2331094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55831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3083893</v>
      </c>
      <c r="C1108" s="2" t="s">
        <v>573</v>
      </c>
      <c r="D1108" s="2" t="str">
        <f t="shared" si="16"/>
        <v>Error?</v>
      </c>
    </row>
    <row r="1109" spans="1:4" x14ac:dyDescent="0.2">
      <c r="A1109" s="5">
        <v>1048</v>
      </c>
      <c r="B1109" s="138">
        <f>'Expenditures 15-22'!K36</f>
        <v>59100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42794</v>
      </c>
      <c r="C1111" s="2" t="s">
        <v>573</v>
      </c>
      <c r="D1111" s="2" t="str">
        <f t="shared" si="16"/>
        <v>Error?</v>
      </c>
    </row>
    <row r="1112" spans="1:4" x14ac:dyDescent="0.2">
      <c r="A1112" s="5">
        <v>1051</v>
      </c>
      <c r="B1112" s="138">
        <f>'Expenditures 15-22'!K39</f>
        <v>741</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400</v>
      </c>
      <c r="C1114" s="2" t="s">
        <v>573</v>
      </c>
      <c r="D1114" s="2" t="str">
        <f t="shared" si="16"/>
        <v>Error?</v>
      </c>
    </row>
    <row r="1115" spans="1:4" x14ac:dyDescent="0.2">
      <c r="A1115" s="5">
        <v>1054</v>
      </c>
      <c r="B1115" s="138">
        <f>'Expenditures 15-22'!K42</f>
        <v>103035</v>
      </c>
      <c r="C1115" s="2" t="s">
        <v>573</v>
      </c>
      <c r="D1115" s="2" t="str">
        <f t="shared" si="16"/>
        <v>Error?</v>
      </c>
    </row>
    <row r="1116" spans="1:4" x14ac:dyDescent="0.2">
      <c r="A1116" s="5">
        <v>1055</v>
      </c>
      <c r="B1116" s="138">
        <f>'Expenditures 15-22'!K44</f>
        <v>19482</v>
      </c>
      <c r="C1116" s="2" t="s">
        <v>573</v>
      </c>
      <c r="D1116" s="2" t="str">
        <f t="shared" si="16"/>
        <v>Error?</v>
      </c>
    </row>
    <row r="1117" spans="1:4" x14ac:dyDescent="0.2">
      <c r="A1117" s="5">
        <v>1056</v>
      </c>
      <c r="B1117" s="138">
        <f>'Expenditures 15-22'!K45</f>
        <v>404136</v>
      </c>
      <c r="C1117" s="2" t="s">
        <v>573</v>
      </c>
      <c r="D1117" s="2" t="str">
        <f t="shared" si="16"/>
        <v>Error?</v>
      </c>
    </row>
    <row r="1118" spans="1:4" x14ac:dyDescent="0.2">
      <c r="A1118" s="5">
        <v>1057</v>
      </c>
      <c r="B1118" s="138">
        <f>'Expenditures 15-22'!K46</f>
        <v>258</v>
      </c>
      <c r="C1118" s="2" t="s">
        <v>573</v>
      </c>
      <c r="D1118" s="2" t="str">
        <f t="shared" si="16"/>
        <v>Error?</v>
      </c>
    </row>
    <row r="1119" spans="1:4" x14ac:dyDescent="0.2">
      <c r="A1119" s="5">
        <v>1058</v>
      </c>
      <c r="B1119" s="138">
        <f>'Expenditures 15-22'!K47</f>
        <v>423876</v>
      </c>
      <c r="C1119" s="2" t="s">
        <v>573</v>
      </c>
      <c r="D1119" s="2" t="str">
        <f t="shared" si="16"/>
        <v>Error?</v>
      </c>
    </row>
    <row r="1120" spans="1:4" x14ac:dyDescent="0.2">
      <c r="A1120" s="5">
        <v>1059</v>
      </c>
      <c r="B1120" s="138">
        <f>'Expenditures 15-22'!K49</f>
        <v>208108</v>
      </c>
      <c r="C1120" s="2" t="s">
        <v>573</v>
      </c>
      <c r="D1120" s="2" t="str">
        <f t="shared" si="16"/>
        <v>Error?</v>
      </c>
    </row>
    <row r="1121" spans="1:4" x14ac:dyDescent="0.2">
      <c r="A1121" s="5">
        <v>1060</v>
      </c>
      <c r="B1121" s="138">
        <f>'Expenditures 15-22'!K50</f>
        <v>205987</v>
      </c>
      <c r="C1121" s="2" t="s">
        <v>573</v>
      </c>
      <c r="D1121" s="2" t="str">
        <f t="shared" si="16"/>
        <v>Error?</v>
      </c>
    </row>
    <row r="1122" spans="1:4" x14ac:dyDescent="0.2">
      <c r="A1122" s="5">
        <v>1061</v>
      </c>
      <c r="B1122" s="138">
        <f>'Expenditures 15-22'!K53</f>
        <v>414095</v>
      </c>
      <c r="C1122" s="2" t="s">
        <v>573</v>
      </c>
      <c r="D1122" s="2" t="str">
        <f t="shared" si="16"/>
        <v>Error?</v>
      </c>
    </row>
    <row r="1123" spans="1:4" x14ac:dyDescent="0.2">
      <c r="A1123" s="5">
        <v>1062</v>
      </c>
      <c r="B1123" s="138">
        <f>'Expenditures 15-22'!K55</f>
        <v>357603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357603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121878</v>
      </c>
      <c r="C1127" s="2" t="s">
        <v>573</v>
      </c>
      <c r="D1127" s="2" t="str">
        <f t="shared" si="16"/>
        <v>Error?</v>
      </c>
    </row>
    <row r="1128" spans="1:4" x14ac:dyDescent="0.2">
      <c r="A1128" s="5">
        <v>1067</v>
      </c>
      <c r="B1128" s="138">
        <f>'Expenditures 15-22'!K61</f>
        <v>26146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138355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286379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1584988</v>
      </c>
      <c r="C1143" s="2" t="s">
        <v>573</v>
      </c>
      <c r="D1143" s="2" t="str">
        <f t="shared" si="16"/>
        <v>Error?</v>
      </c>
    </row>
    <row r="1144" spans="1:4" x14ac:dyDescent="0.2">
      <c r="A1144" s="5">
        <v>1083</v>
      </c>
      <c r="B1144" s="138">
        <f>'Expenditures 15-22'!K75</f>
        <v>11818</v>
      </c>
      <c r="C1144" s="2" t="s">
        <v>573</v>
      </c>
      <c r="D1144" s="2" t="str">
        <f t="shared" si="16"/>
        <v>Error?</v>
      </c>
    </row>
    <row r="1145" spans="1:4" x14ac:dyDescent="0.2">
      <c r="A1145" s="5">
        <v>1084</v>
      </c>
      <c r="B1145" s="138">
        <f>'Expenditures 15-22'!K102</f>
        <v>771001</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5451700</v>
      </c>
      <c r="C1152" s="2" t="s">
        <v>573</v>
      </c>
      <c r="D1152" s="2" t="str">
        <f t="shared" si="17"/>
        <v>Error?</v>
      </c>
    </row>
    <row r="1153" spans="1:4" x14ac:dyDescent="0.2">
      <c r="A1153" s="5">
        <v>1092</v>
      </c>
      <c r="B1153" s="138">
        <f>'Expenditures 15-22'!K115</f>
        <v>696796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72731</v>
      </c>
      <c r="D1221" s="2" t="str">
        <f t="shared" si="18"/>
        <v>Error?</v>
      </c>
    </row>
    <row r="1222" spans="1:4" x14ac:dyDescent="0.2">
      <c r="A1222" s="10">
        <v>1161</v>
      </c>
      <c r="D1222" s="2" t="str">
        <f t="shared" si="18"/>
        <v>OK</v>
      </c>
    </row>
    <row r="1223" spans="1:4" x14ac:dyDescent="0.2">
      <c r="A1223" s="5">
        <v>1162</v>
      </c>
      <c r="B1223" s="138">
        <f>'Expenditures 15-22'!C127</f>
        <v>72731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72731</v>
      </c>
      <c r="C1225" s="2" t="s">
        <v>573</v>
      </c>
      <c r="D1225" s="2" t="str">
        <f t="shared" si="18"/>
        <v>Error?</v>
      </c>
    </row>
    <row r="1226" spans="1:4" x14ac:dyDescent="0.2">
      <c r="A1226" s="5">
        <v>1165</v>
      </c>
      <c r="B1226" s="138">
        <f>'Expenditures 15-22'!C151</f>
        <v>72731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4085</v>
      </c>
      <c r="D1229" s="2" t="str">
        <f t="shared" si="18"/>
        <v>Error?</v>
      </c>
    </row>
    <row r="1230" spans="1:4" x14ac:dyDescent="0.2">
      <c r="A1230" s="10">
        <v>1169</v>
      </c>
      <c r="D1230" s="2" t="str">
        <f t="shared" si="18"/>
        <v>OK</v>
      </c>
    </row>
    <row r="1231" spans="1:4" x14ac:dyDescent="0.2">
      <c r="A1231" s="5">
        <v>1170</v>
      </c>
      <c r="B1231" s="138">
        <f>'Expenditures 15-22'!D127</f>
        <v>4085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4085</v>
      </c>
      <c r="C1233" s="2" t="s">
        <v>573</v>
      </c>
      <c r="D1233" s="2" t="str">
        <f t="shared" si="18"/>
        <v>Error?</v>
      </c>
    </row>
    <row r="1234" spans="1:4" x14ac:dyDescent="0.2">
      <c r="A1234" s="5">
        <v>1173</v>
      </c>
      <c r="B1234" s="138">
        <f>'Expenditures 15-22'!D151</f>
        <v>4085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78736</v>
      </c>
      <c r="D1236" s="2" t="str">
        <f t="shared" si="18"/>
        <v>Error?</v>
      </c>
    </row>
    <row r="1237" spans="1:4" x14ac:dyDescent="0.2">
      <c r="A1237" s="5">
        <v>1176</v>
      </c>
      <c r="B1237" s="138">
        <f>'Expenditures 15-22'!E124</f>
        <v>49954</v>
      </c>
      <c r="D1237" s="2" t="str">
        <f t="shared" si="18"/>
        <v>Error?</v>
      </c>
    </row>
    <row r="1238" spans="1:4" x14ac:dyDescent="0.2">
      <c r="A1238" s="10">
        <v>1177</v>
      </c>
      <c r="D1238" s="2" t="str">
        <f t="shared" si="18"/>
        <v>OK</v>
      </c>
    </row>
    <row r="1239" spans="1:4" x14ac:dyDescent="0.2">
      <c r="A1239" s="5">
        <v>1178</v>
      </c>
      <c r="B1239" s="138">
        <f>'Expenditures 15-22'!E127</f>
        <v>128690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128690</v>
      </c>
      <c r="C1241" s="2" t="s">
        <v>573</v>
      </c>
      <c r="D1241" s="2" t="str">
        <f t="shared" si="18"/>
        <v>Error?</v>
      </c>
    </row>
    <row r="1242" spans="1:4" x14ac:dyDescent="0.2">
      <c r="A1242" s="5">
        <v>1181</v>
      </c>
      <c r="B1242" s="138">
        <f>'Expenditures 15-22'!E151</f>
        <v>128690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94536</v>
      </c>
      <c r="D1245" s="2" t="str">
        <f t="shared" si="18"/>
        <v>Error?</v>
      </c>
    </row>
    <row r="1246" spans="1:4" x14ac:dyDescent="0.2">
      <c r="A1246" s="10">
        <v>1185</v>
      </c>
      <c r="D1246" s="2" t="str">
        <f t="shared" si="18"/>
        <v>OK</v>
      </c>
    </row>
    <row r="1247" spans="1:4" x14ac:dyDescent="0.2">
      <c r="A1247" s="5">
        <v>1186</v>
      </c>
      <c r="B1247" s="138">
        <f>'Expenditures 15-22'!F127</f>
        <v>94536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94536</v>
      </c>
      <c r="C1249" s="2" t="s">
        <v>573</v>
      </c>
      <c r="D1249" s="2" t="str">
        <f t="shared" si="18"/>
        <v>Error?</v>
      </c>
    </row>
    <row r="1250" spans="1:4" x14ac:dyDescent="0.2">
      <c r="A1250" s="5">
        <v>1189</v>
      </c>
      <c r="B1250" s="138">
        <f>'Expenditures 15-22'!F151</f>
        <v>94536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110328</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110328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110328</v>
      </c>
      <c r="C1258" s="2" t="s">
        <v>573</v>
      </c>
      <c r="D1258" s="2" t="str">
        <f t="shared" si="18"/>
        <v>Error?</v>
      </c>
    </row>
    <row r="1259" spans="1:4" x14ac:dyDescent="0.2">
      <c r="A1259" s="5">
        <v>1198</v>
      </c>
      <c r="B1259" s="138">
        <f>'Expenditures 15-22'!G151</f>
        <v>110328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189064</v>
      </c>
      <c r="C1275" s="2" t="s">
        <v>573</v>
      </c>
      <c r="D1275" s="2" t="str">
        <f t="shared" si="18"/>
        <v>Error?</v>
      </c>
    </row>
    <row r="1276" spans="1:4" x14ac:dyDescent="0.2">
      <c r="A1276" s="5">
        <v>1215</v>
      </c>
      <c r="B1276" s="138">
        <f>'Expenditures 15-22'!K124</f>
        <v>221306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410370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410370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410370</v>
      </c>
      <c r="C1288" s="2" t="s">
        <v>573</v>
      </c>
      <c r="D1288" s="2" t="str">
        <f t="shared" si="19"/>
        <v>Error?</v>
      </c>
    </row>
    <row r="1289" spans="1:4" x14ac:dyDescent="0.2">
      <c r="A1289" s="5">
        <v>1228</v>
      </c>
      <c r="B1289" s="138">
        <f>'Expenditures 15-22'!K152</f>
        <v>116162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450</v>
      </c>
      <c r="D1307" s="2" t="str">
        <f t="shared" si="19"/>
        <v>Error?</v>
      </c>
    </row>
    <row r="1308" spans="1:4" x14ac:dyDescent="0.2">
      <c r="A1308" s="5">
        <v>1247</v>
      </c>
      <c r="B1308" s="138">
        <f>'Expenditures 15-22'!E172</f>
        <v>450</v>
      </c>
      <c r="C1308" s="2" t="s">
        <v>573</v>
      </c>
      <c r="D1308" s="2" t="str">
        <f t="shared" si="19"/>
        <v>Error?</v>
      </c>
    </row>
    <row r="1309" spans="1:4" x14ac:dyDescent="0.2">
      <c r="A1309" s="5">
        <v>1248</v>
      </c>
      <c r="B1309" s="138">
        <f>'Expenditures 15-22'!E174</f>
        <v>450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116781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275583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392364</v>
      </c>
      <c r="C1317" s="2" t="s">
        <v>573</v>
      </c>
      <c r="D1317" s="2" t="str">
        <f t="shared" si="19"/>
        <v>Error?</v>
      </c>
    </row>
    <row r="1318" spans="1:4" x14ac:dyDescent="0.2">
      <c r="A1318" s="5">
        <v>1257</v>
      </c>
      <c r="B1318" s="138">
        <f>'Expenditures 15-22'!H174</f>
        <v>392364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116781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275583</v>
      </c>
      <c r="C1329" s="2" t="s">
        <v>573</v>
      </c>
      <c r="D1329" s="2" t="str">
        <f t="shared" si="19"/>
        <v>Error?</v>
      </c>
    </row>
    <row r="1330" spans="1:4" x14ac:dyDescent="0.2">
      <c r="A1330" s="5">
        <v>1269</v>
      </c>
      <c r="B1330" s="138">
        <f>'Expenditures 15-22'!K171</f>
        <v>450</v>
      </c>
      <c r="C1330" s="2" t="s">
        <v>573</v>
      </c>
      <c r="D1330" s="2" t="str">
        <f t="shared" si="19"/>
        <v>Error?</v>
      </c>
    </row>
    <row r="1331" spans="1:4" x14ac:dyDescent="0.2">
      <c r="A1331" s="5">
        <v>1270</v>
      </c>
      <c r="B1331" s="138">
        <f>'Expenditures 15-22'!K172</f>
        <v>392814</v>
      </c>
      <c r="C1331" s="2" t="s">
        <v>573</v>
      </c>
      <c r="D1331" s="2" t="str">
        <f t="shared" si="19"/>
        <v>Error?</v>
      </c>
    </row>
    <row r="1332" spans="1:4" x14ac:dyDescent="0.2">
      <c r="A1332" s="5">
        <v>1271</v>
      </c>
      <c r="B1332" s="138">
        <f>'Expenditures 15-22'!K174</f>
        <v>392814</v>
      </c>
      <c r="C1332" s="2" t="s">
        <v>573</v>
      </c>
      <c r="D1332" s="2" t="str">
        <f t="shared" si="19"/>
        <v>Error?</v>
      </c>
    </row>
    <row r="1333" spans="1:4" x14ac:dyDescent="0.2">
      <c r="A1333" s="5">
        <v>1272</v>
      </c>
      <c r="B1333" s="138">
        <f>'Expenditures 15-22'!K175</f>
        <v>85645</v>
      </c>
      <c r="C1333" s="2" t="s">
        <v>573</v>
      </c>
      <c r="D1333" s="2" t="str">
        <f t="shared" si="19"/>
        <v>Error?</v>
      </c>
    </row>
    <row r="1334" spans="1:4" x14ac:dyDescent="0.2">
      <c r="A1334" s="10">
        <v>1273</v>
      </c>
      <c r="D1334" s="2" t="str">
        <f t="shared" si="19"/>
        <v>OK</v>
      </c>
    </row>
    <row r="1335" spans="1:4" x14ac:dyDescent="0.2">
      <c r="A1335" s="5">
        <v>1274</v>
      </c>
      <c r="B1335" s="138">
        <f>'Expenditures 15-22'!C182</f>
        <v>23395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23395</v>
      </c>
      <c r="C1339" s="2" t="s">
        <v>573</v>
      </c>
      <c r="D1339" s="2" t="str">
        <f t="shared" si="19"/>
        <v>Error?</v>
      </c>
    </row>
    <row r="1340" spans="1:4" x14ac:dyDescent="0.2">
      <c r="A1340" s="5">
        <v>1279</v>
      </c>
      <c r="B1340" s="138">
        <f>'Expenditures 15-22'!C210</f>
        <v>23395</v>
      </c>
      <c r="C1340" s="2" t="s">
        <v>573</v>
      </c>
      <c r="D1340" s="2" t="str">
        <f t="shared" si="19"/>
        <v>Error?</v>
      </c>
    </row>
    <row r="1341" spans="1:4" x14ac:dyDescent="0.2">
      <c r="A1341" s="5">
        <v>1280</v>
      </c>
      <c r="B1341" s="138">
        <f>'Expenditures 15-22'!D182</f>
        <v>1749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1749</v>
      </c>
      <c r="C1345" s="2" t="s">
        <v>573</v>
      </c>
      <c r="D1345" s="2" t="str">
        <f t="shared" si="20"/>
        <v>Error?</v>
      </c>
    </row>
    <row r="1346" spans="1:4" x14ac:dyDescent="0.2">
      <c r="A1346" s="5">
        <v>1285</v>
      </c>
      <c r="B1346" s="138">
        <f>'Expenditures 15-22'!D210</f>
        <v>1749</v>
      </c>
      <c r="C1346" s="2" t="s">
        <v>573</v>
      </c>
      <c r="D1346" s="2" t="str">
        <f t="shared" si="20"/>
        <v>Error?</v>
      </c>
    </row>
    <row r="1347" spans="1:4" x14ac:dyDescent="0.2">
      <c r="A1347" s="5">
        <v>1286</v>
      </c>
      <c r="B1347" s="138">
        <f>'Expenditures 15-22'!E182</f>
        <v>387945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387945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387945</v>
      </c>
      <c r="C1353" s="2" t="s">
        <v>573</v>
      </c>
      <c r="D1353" s="2" t="str">
        <f t="shared" si="20"/>
        <v>Error?</v>
      </c>
    </row>
    <row r="1354" spans="1:4" x14ac:dyDescent="0.2">
      <c r="A1354" s="5">
        <v>1293</v>
      </c>
      <c r="B1354" s="138">
        <f>'Expenditures 15-22'!F182</f>
        <v>1301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1301</v>
      </c>
      <c r="C1358" s="2" t="s">
        <v>573</v>
      </c>
      <c r="D1358" s="2" t="str">
        <f t="shared" si="20"/>
        <v>Error?</v>
      </c>
    </row>
    <row r="1359" spans="1:4" x14ac:dyDescent="0.2">
      <c r="A1359" s="5">
        <v>1298</v>
      </c>
      <c r="B1359" s="138">
        <f>'Expenditures 15-22'!F210</f>
        <v>1301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414390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414390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414390</v>
      </c>
      <c r="C1388" s="2" t="s">
        <v>573</v>
      </c>
      <c r="D1388" s="2" t="str">
        <f t="shared" si="20"/>
        <v>Error?</v>
      </c>
    </row>
    <row r="1389" spans="1:4" x14ac:dyDescent="0.2">
      <c r="A1389" s="5">
        <v>1328</v>
      </c>
      <c r="B1389" s="138">
        <f>'Expenditures 15-22'!K211</f>
        <v>-198642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995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59743</v>
      </c>
      <c r="C1410" s="2" t="s">
        <v>573</v>
      </c>
      <c r="D1410" s="2" t="str">
        <f t="shared" si="21"/>
        <v>Error?</v>
      </c>
    </row>
    <row r="1411" spans="1:4" x14ac:dyDescent="0.2">
      <c r="A1411" s="5">
        <v>1350</v>
      </c>
      <c r="B1411" s="138">
        <f>'Expenditures 15-22'!D232</f>
        <v>674</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2548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3222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13327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13327</v>
      </c>
      <c r="C1421" s="2" t="s">
        <v>573</v>
      </c>
      <c r="D1421" s="2" t="str">
        <f t="shared" si="21"/>
        <v>Error?</v>
      </c>
    </row>
    <row r="1422" spans="1:4" x14ac:dyDescent="0.2">
      <c r="A1422" s="5">
        <v>1361</v>
      </c>
      <c r="B1422" s="138">
        <f>'Expenditures 15-22'!D245</f>
        <v>4186</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4186</v>
      </c>
      <c r="C1424" s="2" t="s">
        <v>573</v>
      </c>
      <c r="D1424" s="2" t="str">
        <f t="shared" si="21"/>
        <v>Error?</v>
      </c>
    </row>
    <row r="1425" spans="1:4" x14ac:dyDescent="0.2">
      <c r="A1425" s="5">
        <v>1364</v>
      </c>
      <c r="B1425" s="138">
        <f>'Expenditures 15-22'!D259</f>
        <v>13729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13729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15548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12293</v>
      </c>
      <c r="D1431" s="2" t="str">
        <f t="shared" si="21"/>
        <v>Error?</v>
      </c>
    </row>
    <row r="1432" spans="1:4" x14ac:dyDescent="0.2">
      <c r="A1432" s="5">
        <v>1371</v>
      </c>
      <c r="B1432" s="138">
        <f>'Expenditures 15-22'!D267</f>
        <v>1230</v>
      </c>
      <c r="D1432" s="2" t="str">
        <f t="shared" si="21"/>
        <v>Error?</v>
      </c>
    </row>
    <row r="1433" spans="1:4" x14ac:dyDescent="0.2">
      <c r="A1433" s="5">
        <v>1372</v>
      </c>
      <c r="B1433" s="138">
        <f>'Expenditures 15-22'!D268</f>
        <v>1755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30826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65290</v>
      </c>
      <c r="C1446" s="2" t="s">
        <v>573</v>
      </c>
      <c r="D1446" s="2" t="str">
        <f t="shared" si="21"/>
        <v>Error?</v>
      </c>
    </row>
    <row r="1447" spans="1:4" x14ac:dyDescent="0.2">
      <c r="A1447" s="5">
        <v>1386</v>
      </c>
      <c r="B1447" s="138">
        <f>'Expenditures 15-22'!D280</f>
        <v>24</v>
      </c>
      <c r="D1447" s="2" t="str">
        <f t="shared" si="21"/>
        <v>Error?</v>
      </c>
    </row>
    <row r="1448" spans="1:4" x14ac:dyDescent="0.2">
      <c r="A1448" s="5">
        <v>1387</v>
      </c>
      <c r="B1448" s="138">
        <f>'Expenditures 15-22'!D295</f>
        <v>125057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995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59743</v>
      </c>
      <c r="C1474" s="2" t="s">
        <v>573</v>
      </c>
      <c r="D1474" s="2" t="str">
        <f t="shared" si="22"/>
        <v>Error?</v>
      </c>
    </row>
    <row r="1475" spans="1:4" x14ac:dyDescent="0.2">
      <c r="A1475" s="5">
        <v>1414</v>
      </c>
      <c r="B1475" s="138">
        <f>'Expenditures 15-22'!K232</f>
        <v>674</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2548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3222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13327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13327</v>
      </c>
      <c r="C1485" s="2" t="s">
        <v>573</v>
      </c>
      <c r="D1485" s="2" t="str">
        <f t="shared" si="22"/>
        <v>Error?</v>
      </c>
    </row>
    <row r="1486" spans="1:4" x14ac:dyDescent="0.2">
      <c r="A1486" s="5">
        <v>1425</v>
      </c>
      <c r="B1486" s="138">
        <f>'Expenditures 15-22'!K245</f>
        <v>4186</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4186</v>
      </c>
      <c r="C1488" s="2" t="s">
        <v>573</v>
      </c>
      <c r="D1488" s="2" t="str">
        <f t="shared" si="22"/>
        <v>Error?</v>
      </c>
    </row>
    <row r="1489" spans="1:4" x14ac:dyDescent="0.2">
      <c r="A1489" s="5">
        <v>1428</v>
      </c>
      <c r="B1489" s="138">
        <f>'Expenditures 15-22'!K259</f>
        <v>13729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13729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15548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12293</v>
      </c>
      <c r="C1495" s="2" t="s">
        <v>573</v>
      </c>
      <c r="D1495" s="2" t="str">
        <f t="shared" si="22"/>
        <v>Error?</v>
      </c>
    </row>
    <row r="1496" spans="1:4" x14ac:dyDescent="0.2">
      <c r="A1496" s="5">
        <v>1435</v>
      </c>
      <c r="B1496" s="138">
        <f>'Expenditures 15-22'!K267</f>
        <v>1230</v>
      </c>
      <c r="C1496" s="2" t="s">
        <v>573</v>
      </c>
      <c r="D1496" s="2" t="str">
        <f t="shared" si="22"/>
        <v>Error?</v>
      </c>
    </row>
    <row r="1497" spans="1:4" x14ac:dyDescent="0.2">
      <c r="A1497" s="5">
        <v>1436</v>
      </c>
      <c r="B1497" s="138">
        <f>'Expenditures 15-22'!K268</f>
        <v>1755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30826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65290</v>
      </c>
      <c r="C1510" s="2" t="s">
        <v>573</v>
      </c>
      <c r="D1510" s="2" t="str">
        <f t="shared" si="22"/>
        <v>Error?</v>
      </c>
    </row>
    <row r="1511" spans="1:4" x14ac:dyDescent="0.2">
      <c r="A1511" s="5">
        <v>1450</v>
      </c>
      <c r="B1511" s="138">
        <f>'Expenditures 15-22'!K280</f>
        <v>24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125057</v>
      </c>
      <c r="C1517" s="2" t="s">
        <v>573</v>
      </c>
      <c r="D1517" s="2" t="str">
        <f t="shared" si="22"/>
        <v>Error?</v>
      </c>
    </row>
    <row r="1518" spans="1:4" x14ac:dyDescent="0.2">
      <c r="A1518" s="5">
        <v>1457</v>
      </c>
      <c r="B1518" s="138">
        <f>'Expenditures 15-22'!K296</f>
        <v>91043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466708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466708</v>
      </c>
      <c r="C1547" s="2" t="s">
        <v>573</v>
      </c>
      <c r="D1547" s="2" t="str">
        <f t="shared" si="23"/>
        <v>Error?</v>
      </c>
    </row>
    <row r="1548" spans="1:4" x14ac:dyDescent="0.2">
      <c r="A1548" s="5">
        <v>1487</v>
      </c>
      <c r="B1548" s="138">
        <f>'Expenditures 15-22'!G312</f>
        <v>466708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466708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466708</v>
      </c>
      <c r="C1559" s="2" t="s">
        <v>573</v>
      </c>
      <c r="D1559" s="2" t="str">
        <f t="shared" si="23"/>
        <v>Error?</v>
      </c>
    </row>
    <row r="1560" spans="1:4" x14ac:dyDescent="0.2">
      <c r="A1560" s="5">
        <v>1499</v>
      </c>
      <c r="B1560" s="138">
        <f>'Expenditures 15-22'!K312</f>
        <v>466708</v>
      </c>
      <c r="C1560" s="2" t="s">
        <v>573</v>
      </c>
      <c r="D1560" s="2" t="str">
        <f t="shared" si="23"/>
        <v>Error?</v>
      </c>
    </row>
    <row r="1561" spans="1:4" x14ac:dyDescent="0.2">
      <c r="A1561" s="5">
        <v>1500</v>
      </c>
      <c r="B1561" s="138">
        <f>'Expenditures 15-22'!K313</f>
        <v>-448151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5513224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6186156</v>
      </c>
      <c r="C1630" s="2" t="s">
        <v>573</v>
      </c>
      <c r="D1630" s="2" t="str">
        <f t="shared" si="24"/>
        <v>Error?</v>
      </c>
    </row>
    <row r="1631" spans="1:4" x14ac:dyDescent="0.2">
      <c r="A1631" s="5">
        <v>1570</v>
      </c>
      <c r="B1631" s="138">
        <f>'Acct Summary 7-8'!D79</f>
        <v>706213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822375</v>
      </c>
      <c r="C1644" s="2" t="s">
        <v>573</v>
      </c>
      <c r="D1644" s="2" t="str">
        <f t="shared" si="24"/>
        <v>Error?</v>
      </c>
    </row>
    <row r="1645" spans="1:4" x14ac:dyDescent="0.2">
      <c r="A1645" s="5">
        <v>1584</v>
      </c>
      <c r="B1645" s="138">
        <f>'Acct Summary 7-8'!E79</f>
        <v>304923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414432</v>
      </c>
      <c r="C1658" s="2" t="s">
        <v>573</v>
      </c>
      <c r="D1658" s="2" t="str">
        <f t="shared" si="24"/>
        <v>Error?</v>
      </c>
    </row>
    <row r="1659" spans="1:4" x14ac:dyDescent="0.2">
      <c r="A1659" s="5">
        <v>1598</v>
      </c>
      <c r="B1659" s="138">
        <f>'Acct Summary 7-8'!F79</f>
        <v>582832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384190</v>
      </c>
      <c r="C1672" s="2" t="s">
        <v>573</v>
      </c>
      <c r="D1672" s="2" t="str">
        <f t="shared" si="25"/>
        <v>Error?</v>
      </c>
    </row>
    <row r="1673" spans="1:4" x14ac:dyDescent="0.2">
      <c r="A1673" s="5">
        <v>1612</v>
      </c>
      <c r="B1673" s="138">
        <f>'Acct Summary 7-8'!G79</f>
        <v>269965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361008</v>
      </c>
      <c r="C1686" s="2" t="s">
        <v>573</v>
      </c>
      <c r="D1686" s="2" t="str">
        <f t="shared" si="25"/>
        <v>Error?</v>
      </c>
    </row>
    <row r="1687" spans="1:4" x14ac:dyDescent="0.2">
      <c r="A1687" s="5">
        <v>1626</v>
      </c>
      <c r="B1687" s="138">
        <f>'Acct Summary 7-8'!H79</f>
        <v>548352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100201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3774246</v>
      </c>
      <c r="C1744" s="2" t="s">
        <v>573</v>
      </c>
      <c r="D1744" s="2" t="str">
        <f t="shared" si="26"/>
        <v>Error?</v>
      </c>
    </row>
    <row r="1745" spans="1:5" x14ac:dyDescent="0.2">
      <c r="A1745" s="5">
        <v>1684</v>
      </c>
      <c r="B1745" s="138">
        <f>'Tax Sched 23'!B5</f>
        <v>513417</v>
      </c>
      <c r="C1745" s="2" t="s">
        <v>573</v>
      </c>
      <c r="D1745" s="2" t="str">
        <f t="shared" si="26"/>
        <v>Error?</v>
      </c>
    </row>
    <row r="1746" spans="1:5" x14ac:dyDescent="0.2">
      <c r="A1746" s="5">
        <v>1685</v>
      </c>
      <c r="B1746" s="138">
        <f>'Tax Sched 23'!B6</f>
        <v>468461</v>
      </c>
      <c r="C1746" s="2" t="s">
        <v>573</v>
      </c>
      <c r="D1746" s="2" t="str">
        <f t="shared" si="26"/>
        <v>Error?</v>
      </c>
    </row>
    <row r="1747" spans="1:5" x14ac:dyDescent="0.2">
      <c r="A1747" s="5">
        <v>1686</v>
      </c>
      <c r="B1747" s="138">
        <f>'Tax Sched 23'!B7</f>
        <v>142617</v>
      </c>
      <c r="C1747" s="2" t="s">
        <v>573</v>
      </c>
      <c r="D1747" s="2" t="str">
        <f t="shared" si="26"/>
        <v>Error?</v>
      </c>
    </row>
    <row r="1748" spans="1:5" x14ac:dyDescent="0.2">
      <c r="A1748" s="5">
        <v>1687</v>
      </c>
      <c r="B1748" s="138">
        <f>'Tax Sched 23'!B8</f>
        <v>94077</v>
      </c>
      <c r="C1748" s="2" t="s">
        <v>573</v>
      </c>
      <c r="D1748" s="2" t="str">
        <f t="shared" si="26"/>
        <v>Error?</v>
      </c>
    </row>
    <row r="1749" spans="1:5" x14ac:dyDescent="0.2">
      <c r="A1749" s="5">
        <v>1688</v>
      </c>
      <c r="B1749" s="138">
        <f>'Tax Sched 23'!B10</f>
        <v>30622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387869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5505386</v>
      </c>
      <c r="C1759" s="2" t="s">
        <v>573</v>
      </c>
      <c r="D1759" s="2" t="str">
        <f t="shared" si="26"/>
        <v>Error?</v>
      </c>
    </row>
    <row r="1760" spans="1:5" x14ac:dyDescent="0.2">
      <c r="A1760" s="5">
        <v>1699</v>
      </c>
      <c r="B1760" s="138">
        <f>'Tax Sched 23'!D4</f>
        <v>1773126</v>
      </c>
      <c r="C1760" s="2" t="s">
        <v>573</v>
      </c>
      <c r="D1760" s="2" t="str">
        <f t="shared" si="26"/>
        <v>Error?</v>
      </c>
    </row>
    <row r="1761" spans="1:5" x14ac:dyDescent="0.2">
      <c r="A1761" s="5">
        <v>1700</v>
      </c>
      <c r="B1761" s="138">
        <f>'Tax Sched 23'!D5</f>
        <v>243266</v>
      </c>
      <c r="C1761" s="2" t="s">
        <v>573</v>
      </c>
      <c r="D1761" s="2" t="str">
        <f t="shared" si="26"/>
        <v>Error?</v>
      </c>
    </row>
    <row r="1762" spans="1:5" s="8" customFormat="1" x14ac:dyDescent="0.2">
      <c r="A1762" s="5">
        <v>1701</v>
      </c>
      <c r="B1762" s="138">
        <f>'Tax Sched 23'!D6</f>
        <v>210059</v>
      </c>
      <c r="C1762" s="2" t="s">
        <v>573</v>
      </c>
      <c r="D1762" s="2" t="str">
        <f t="shared" si="26"/>
        <v>Error?</v>
      </c>
      <c r="E1762" s="9"/>
    </row>
    <row r="1763" spans="1:5" x14ac:dyDescent="0.2">
      <c r="A1763" s="5">
        <v>1702</v>
      </c>
      <c r="B1763" s="138">
        <f>'Tax Sched 23'!D7</f>
        <v>67575</v>
      </c>
      <c r="C1763" s="2" t="s">
        <v>573</v>
      </c>
      <c r="D1763" s="2" t="str">
        <f t="shared" si="26"/>
        <v>Error?</v>
      </c>
    </row>
    <row r="1764" spans="1:5" x14ac:dyDescent="0.2">
      <c r="A1764" s="5">
        <v>1703</v>
      </c>
      <c r="B1764" s="138">
        <f>'Tax Sched 23'!D8</f>
        <v>45049</v>
      </c>
      <c r="C1764" s="2" t="s">
        <v>573</v>
      </c>
      <c r="D1764" s="2" t="str">
        <f t="shared" si="26"/>
        <v>Error?</v>
      </c>
    </row>
    <row r="1765" spans="1:5" x14ac:dyDescent="0.2">
      <c r="A1765" s="5">
        <v>1704</v>
      </c>
      <c r="B1765" s="138">
        <f>'Tax Sched 23'!D10</f>
        <v>-15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184030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2568139</v>
      </c>
      <c r="C1775" s="2" t="s">
        <v>573</v>
      </c>
      <c r="D1775" s="2" t="str">
        <f t="shared" si="26"/>
        <v>Error?</v>
      </c>
    </row>
    <row r="1776" spans="1:5" x14ac:dyDescent="0.2">
      <c r="A1776" s="5">
        <v>1715</v>
      </c>
      <c r="B1776" s="138">
        <f>'Tax Sched 23'!C4</f>
        <v>2001120</v>
      </c>
      <c r="D1776" s="2" t="str">
        <f t="shared" si="26"/>
        <v>Error?</v>
      </c>
    </row>
    <row r="1777" spans="1:4" x14ac:dyDescent="0.2">
      <c r="A1777" s="5">
        <v>1716</v>
      </c>
      <c r="B1777" s="138">
        <f>'Tax Sched 23'!C5</f>
        <v>270151</v>
      </c>
      <c r="D1777" s="2" t="str">
        <f t="shared" si="26"/>
        <v>Error?</v>
      </c>
    </row>
    <row r="1778" spans="1:4" x14ac:dyDescent="0.2">
      <c r="A1778" s="5">
        <v>1717</v>
      </c>
      <c r="B1778" s="138">
        <f>'Tax Sched 23'!C6</f>
        <v>258402</v>
      </c>
      <c r="D1778" s="2" t="str">
        <f t="shared" si="26"/>
        <v>Error?</v>
      </c>
    </row>
    <row r="1779" spans="1:4" x14ac:dyDescent="0.2">
      <c r="A1779" s="5">
        <v>1718</v>
      </c>
      <c r="B1779" s="138">
        <f>'Tax Sched 23'!C7</f>
        <v>75042</v>
      </c>
      <c r="D1779" s="2" t="str">
        <f t="shared" si="26"/>
        <v>Error?</v>
      </c>
    </row>
    <row r="1780" spans="1:4" x14ac:dyDescent="0.2">
      <c r="A1780" s="5">
        <v>1719</v>
      </c>
      <c r="B1780" s="138">
        <f>'Tax Sched 23'!C8</f>
        <v>49028</v>
      </c>
      <c r="D1780" s="2" t="str">
        <f t="shared" si="26"/>
        <v>Error?</v>
      </c>
    </row>
    <row r="1781" spans="1:4" x14ac:dyDescent="0.2">
      <c r="A1781" s="5">
        <v>1720</v>
      </c>
      <c r="B1781" s="138">
        <f>'Tax Sched 23'!C10</f>
        <v>30637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203839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2937247</v>
      </c>
      <c r="C1791" s="2" t="s">
        <v>573</v>
      </c>
      <c r="D1791" s="2" t="str">
        <f t="shared" ref="D1791:D1854" si="27">IF(ISBLANK(B1791),"OK",IF(A1791-B1791=0,"OK","Error?"))</f>
        <v>Error?</v>
      </c>
    </row>
    <row r="1792" spans="1:4" x14ac:dyDescent="0.2">
      <c r="A1792" s="5">
        <v>1731</v>
      </c>
      <c r="B1792" s="138">
        <f>'Tax Sched 23'!F4</f>
        <v>1892742</v>
      </c>
      <c r="C1792" s="2" t="s">
        <v>573</v>
      </c>
      <c r="D1792" s="2" t="str">
        <f t="shared" si="27"/>
        <v>Error?</v>
      </c>
    </row>
    <row r="1793" spans="1:4" x14ac:dyDescent="0.2">
      <c r="A1793" s="5">
        <v>1732</v>
      </c>
      <c r="B1793" s="138">
        <f>'Tax Sched 23'!F5</f>
        <v>255521</v>
      </c>
      <c r="C1793" s="2" t="s">
        <v>573</v>
      </c>
      <c r="D1793" s="2" t="str">
        <f t="shared" si="27"/>
        <v>Error?</v>
      </c>
    </row>
    <row r="1794" spans="1:4" x14ac:dyDescent="0.2">
      <c r="A1794" s="5">
        <v>1733</v>
      </c>
      <c r="B1794" s="138">
        <f>'Tax Sched 23'!F6</f>
        <v>244408</v>
      </c>
      <c r="C1794" s="2" t="s">
        <v>573</v>
      </c>
      <c r="D1794" s="2" t="str">
        <f t="shared" si="27"/>
        <v>Error?</v>
      </c>
    </row>
    <row r="1795" spans="1:4" x14ac:dyDescent="0.2">
      <c r="A1795" s="5">
        <v>1734</v>
      </c>
      <c r="B1795" s="138">
        <f>'Tax Sched 23'!F7</f>
        <v>70978</v>
      </c>
      <c r="C1795" s="2" t="s">
        <v>573</v>
      </c>
      <c r="D1795" s="2" t="str">
        <f t="shared" si="27"/>
        <v>Error?</v>
      </c>
    </row>
    <row r="1796" spans="1:4" x14ac:dyDescent="0.2">
      <c r="A1796" s="5">
        <v>1735</v>
      </c>
      <c r="B1796" s="138">
        <f>'Tax Sched 23'!F8</f>
        <v>46372</v>
      </c>
      <c r="C1796" s="2" t="s">
        <v>573</v>
      </c>
      <c r="D1796" s="2" t="str">
        <f t="shared" si="27"/>
        <v>Error?</v>
      </c>
    </row>
    <row r="1797" spans="1:4" x14ac:dyDescent="0.2">
      <c r="A1797" s="5">
        <v>1736</v>
      </c>
      <c r="B1797" s="138">
        <f>'Tax Sched 23'!F10</f>
        <v>28948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192798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2778139</v>
      </c>
      <c r="C1807" s="2" t="s">
        <v>573</v>
      </c>
      <c r="D1807" s="2" t="str">
        <f t="shared" si="27"/>
        <v>Error?</v>
      </c>
    </row>
    <row r="1808" spans="1:4" x14ac:dyDescent="0.2">
      <c r="A1808" s="5">
        <v>1747</v>
      </c>
      <c r="B1808" s="138">
        <f>'Tax Sched 23'!E4</f>
        <v>3893862</v>
      </c>
      <c r="D1808" s="2" t="str">
        <f t="shared" si="27"/>
        <v>Error?</v>
      </c>
    </row>
    <row r="1809" spans="1:4" x14ac:dyDescent="0.2">
      <c r="A1809" s="5">
        <v>1748</v>
      </c>
      <c r="B1809" s="138">
        <f>'Tax Sched 23'!E5</f>
        <v>525672</v>
      </c>
      <c r="D1809" s="2" t="str">
        <f t="shared" si="27"/>
        <v>Error?</v>
      </c>
    </row>
    <row r="1810" spans="1:4" x14ac:dyDescent="0.2">
      <c r="A1810" s="5">
        <v>1749</v>
      </c>
      <c r="B1810" s="138">
        <f>'Tax Sched 23'!E6</f>
        <v>502810</v>
      </c>
      <c r="D1810" s="2" t="str">
        <f t="shared" si="27"/>
        <v>Error?</v>
      </c>
    </row>
    <row r="1811" spans="1:4" x14ac:dyDescent="0.2">
      <c r="A1811" s="5">
        <v>1750</v>
      </c>
      <c r="B1811" s="138">
        <f>'Tax Sched 23'!E7</f>
        <v>146020</v>
      </c>
      <c r="D1811" s="2" t="str">
        <f t="shared" si="27"/>
        <v>Error?</v>
      </c>
    </row>
    <row r="1812" spans="1:4" x14ac:dyDescent="0.2">
      <c r="A1812" s="5">
        <v>1751</v>
      </c>
      <c r="B1812" s="138">
        <f>'Tax Sched 23'!E8</f>
        <v>95400</v>
      </c>
      <c r="D1812" s="2" t="str">
        <f t="shared" si="27"/>
        <v>Error?</v>
      </c>
    </row>
    <row r="1813" spans="1:4" x14ac:dyDescent="0.2">
      <c r="A1813" s="5">
        <v>1752</v>
      </c>
      <c r="B1813" s="138">
        <f>'Tax Sched 23'!E10</f>
        <v>59585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396637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5715386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5906497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101187</v>
      </c>
      <c r="D2008" s="2" t="str">
        <f t="shared" si="30"/>
        <v>Error?</v>
      </c>
    </row>
    <row r="2009" spans="1:4" x14ac:dyDescent="0.2">
      <c r="A2009" s="5">
        <v>1948</v>
      </c>
      <c r="B2009" s="138">
        <f>'Cap Outlay Deprec 26'!C8</f>
        <v>14843914</v>
      </c>
      <c r="D2009" s="2" t="str">
        <f t="shared" si="30"/>
        <v>Error?</v>
      </c>
    </row>
    <row r="2010" spans="1:4" x14ac:dyDescent="0.2">
      <c r="A2010" s="5">
        <v>1949</v>
      </c>
      <c r="B2010" s="138">
        <f>'Cap Outlay Deprec 26'!C10</f>
        <v>440379</v>
      </c>
      <c r="D2010" s="2" t="str">
        <f t="shared" si="30"/>
        <v>Error?</v>
      </c>
    </row>
    <row r="2011" spans="1:4" x14ac:dyDescent="0.2">
      <c r="A2011" s="5">
        <v>1950</v>
      </c>
      <c r="B2011" s="138">
        <f>'Cap Outlay Deprec 26'!C12</f>
        <v>2527083</v>
      </c>
      <c r="D2011" s="2" t="str">
        <f t="shared" si="30"/>
        <v>Error?</v>
      </c>
    </row>
    <row r="2012" spans="1:4" x14ac:dyDescent="0.2">
      <c r="A2012" s="5">
        <v>1951</v>
      </c>
      <c r="B2012" s="138">
        <f>'Cap Outlay Deprec 26'!C13</f>
        <v>74863</v>
      </c>
      <c r="D2012" s="2" t="str">
        <f t="shared" si="30"/>
        <v>Error?</v>
      </c>
    </row>
    <row r="2013" spans="1:4" x14ac:dyDescent="0.2">
      <c r="A2013" s="5">
        <v>1952</v>
      </c>
      <c r="B2013" s="138">
        <f>'Cap Outlay Deprec 26'!C16</f>
        <v>17987426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541383</v>
      </c>
      <c r="D2016" s="2" t="str">
        <f t="shared" si="30"/>
        <v>Error?</v>
      </c>
    </row>
    <row r="2017" spans="1:4" x14ac:dyDescent="0.2">
      <c r="A2017" s="5">
        <v>1956</v>
      </c>
      <c r="B2017" s="138">
        <f>'Cap Outlay Deprec 26'!D12</f>
        <v>184714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726097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101187</v>
      </c>
      <c r="C2026" s="2" t="s">
        <v>573</v>
      </c>
      <c r="D2026" s="2" t="str">
        <f t="shared" si="30"/>
        <v>Error?</v>
      </c>
    </row>
    <row r="2027" spans="1:4" x14ac:dyDescent="0.2">
      <c r="A2027" s="5">
        <v>1966</v>
      </c>
      <c r="B2027" s="138">
        <f>'Cap Outlay Deprec 26'!F8</f>
        <v>14843914</v>
      </c>
      <c r="C2027" s="2" t="s">
        <v>573</v>
      </c>
      <c r="D2027" s="2" t="str">
        <f t="shared" si="30"/>
        <v>Error?</v>
      </c>
    </row>
    <row r="2028" spans="1:4" x14ac:dyDescent="0.2">
      <c r="A2028" s="5">
        <v>1967</v>
      </c>
      <c r="B2028" s="138">
        <f>'Cap Outlay Deprec 26'!F10</f>
        <v>981762</v>
      </c>
      <c r="C2028" s="2" t="s">
        <v>573</v>
      </c>
      <c r="D2028" s="2" t="str">
        <f t="shared" si="30"/>
        <v>Error?</v>
      </c>
    </row>
    <row r="2029" spans="1:4" x14ac:dyDescent="0.2">
      <c r="A2029" s="5">
        <v>1968</v>
      </c>
      <c r="B2029" s="138">
        <f>'Cap Outlay Deprec 26'!F12</f>
        <v>2711797</v>
      </c>
      <c r="C2029" s="2" t="s">
        <v>573</v>
      </c>
      <c r="D2029" s="2" t="str">
        <f t="shared" si="30"/>
        <v>Error?</v>
      </c>
    </row>
    <row r="2030" spans="1:4" x14ac:dyDescent="0.2">
      <c r="A2030" s="5">
        <v>1969</v>
      </c>
      <c r="B2030" s="138">
        <f>'Cap Outlay Deprec 26'!F13</f>
        <v>74863</v>
      </c>
      <c r="C2030" s="2" t="s">
        <v>573</v>
      </c>
      <c r="D2030" s="2" t="str">
        <f t="shared" si="30"/>
        <v>Error?</v>
      </c>
    </row>
    <row r="2031" spans="1:4" x14ac:dyDescent="0.2">
      <c r="A2031" s="5">
        <v>1970</v>
      </c>
      <c r="B2031" s="138">
        <f>'Cap Outlay Deprec 26'!F16</f>
        <v>18713523</v>
      </c>
      <c r="C2031" s="2" t="s">
        <v>573</v>
      </c>
      <c r="D2031" s="2" t="str">
        <f t="shared" si="30"/>
        <v>Error?</v>
      </c>
    </row>
    <row r="2032" spans="1:4" x14ac:dyDescent="0.2">
      <c r="A2032" s="10">
        <v>1971</v>
      </c>
      <c r="D2032" s="2" t="str">
        <f t="shared" si="30"/>
        <v>OK</v>
      </c>
    </row>
    <row r="2033" spans="1:4" x14ac:dyDescent="0.2">
      <c r="A2033" s="5">
        <v>1972</v>
      </c>
      <c r="B2033" s="138">
        <f>'Cap Outlay Deprec 26'!H8</f>
        <v>4014537</v>
      </c>
      <c r="D2033" s="2" t="str">
        <f t="shared" si="30"/>
        <v>Error?</v>
      </c>
    </row>
    <row r="2034" spans="1:4" x14ac:dyDescent="0.2">
      <c r="A2034" s="5">
        <v>1973</v>
      </c>
      <c r="B2034" s="138">
        <f>'Cap Outlay Deprec 26'!H10</f>
        <v>254287</v>
      </c>
      <c r="D2034" s="2" t="str">
        <f t="shared" si="30"/>
        <v>Error?</v>
      </c>
    </row>
    <row r="2035" spans="1:4" x14ac:dyDescent="0.2">
      <c r="A2035" s="5">
        <v>1974</v>
      </c>
      <c r="B2035" s="138">
        <f>'Cap Outlay Deprec 26'!H12</f>
        <v>2185138</v>
      </c>
      <c r="D2035" s="2" t="str">
        <f t="shared" si="30"/>
        <v>Error?</v>
      </c>
    </row>
    <row r="2036" spans="1:4" x14ac:dyDescent="0.2">
      <c r="A2036" s="5">
        <v>1975</v>
      </c>
      <c r="B2036" s="138">
        <f>'Cap Outlay Deprec 26'!H13</f>
        <v>21823</v>
      </c>
      <c r="D2036" s="2" t="str">
        <f t="shared" si="30"/>
        <v>Error?</v>
      </c>
    </row>
    <row r="2037" spans="1:4" x14ac:dyDescent="0.2">
      <c r="A2037" s="5">
        <v>1976</v>
      </c>
      <c r="B2037" s="138">
        <f>'Cap Outlay Deprec 26'!H16</f>
        <v>6475785</v>
      </c>
      <c r="C2037" s="2" t="s">
        <v>573</v>
      </c>
      <c r="D2037" s="2" t="str">
        <f t="shared" si="30"/>
        <v>Error?</v>
      </c>
    </row>
    <row r="2038" spans="1:4" x14ac:dyDescent="0.2">
      <c r="A2038" s="10">
        <v>1977</v>
      </c>
      <c r="D2038" s="2" t="str">
        <f t="shared" si="30"/>
        <v>OK</v>
      </c>
    </row>
    <row r="2039" spans="1:4" x14ac:dyDescent="0.2">
      <c r="A2039" s="5">
        <v>1978</v>
      </c>
      <c r="B2039" s="138">
        <f>'Cap Outlay Deprec 26'!I8</f>
        <v>301624</v>
      </c>
      <c r="D2039" s="2" t="str">
        <f t="shared" si="30"/>
        <v>Error?</v>
      </c>
    </row>
    <row r="2040" spans="1:4" x14ac:dyDescent="0.2">
      <c r="A2040" s="5">
        <v>1979</v>
      </c>
      <c r="B2040" s="138">
        <f>'Cap Outlay Deprec 26'!I10</f>
        <v>24889</v>
      </c>
      <c r="D2040" s="2" t="str">
        <f t="shared" si="30"/>
        <v>Error?</v>
      </c>
    </row>
    <row r="2041" spans="1:4" x14ac:dyDescent="0.2">
      <c r="A2041" s="5">
        <v>1980</v>
      </c>
      <c r="B2041" s="138">
        <f>'Cap Outlay Deprec 26'!I12</f>
        <v>81568</v>
      </c>
      <c r="D2041" s="2" t="str">
        <f t="shared" si="30"/>
        <v>Error?</v>
      </c>
    </row>
    <row r="2042" spans="1:4" x14ac:dyDescent="0.2">
      <c r="A2042" s="5">
        <v>1981</v>
      </c>
      <c r="B2042" s="138">
        <f>'Cap Outlay Deprec 26'!I13</f>
        <v>13260</v>
      </c>
      <c r="D2042" s="2" t="str">
        <f t="shared" si="30"/>
        <v>Error?</v>
      </c>
    </row>
    <row r="2043" spans="1:4" x14ac:dyDescent="0.2">
      <c r="A2043" s="5">
        <v>1982</v>
      </c>
      <c r="B2043" s="138">
        <f>'Cap Outlay Deprec 26'!I16</f>
        <v>421341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4316161</v>
      </c>
      <c r="C2051" s="2" t="s">
        <v>573</v>
      </c>
      <c r="D2051" s="2" t="str">
        <f t="shared" si="31"/>
        <v>Error?</v>
      </c>
    </row>
    <row r="2052" spans="1:4" x14ac:dyDescent="0.2">
      <c r="A2052" s="5">
        <v>1991</v>
      </c>
      <c r="B2052" s="138">
        <f>'Cap Outlay Deprec 26'!K10</f>
        <v>279176</v>
      </c>
      <c r="C2052" s="2" t="s">
        <v>573</v>
      </c>
      <c r="D2052" s="2" t="str">
        <f t="shared" si="31"/>
        <v>Error?</v>
      </c>
    </row>
    <row r="2053" spans="1:4" x14ac:dyDescent="0.2">
      <c r="A2053" s="5">
        <v>1992</v>
      </c>
      <c r="B2053" s="138">
        <f>'Cap Outlay Deprec 26'!K12</f>
        <v>2266706</v>
      </c>
      <c r="C2053" s="2" t="s">
        <v>573</v>
      </c>
      <c r="D2053" s="2" t="str">
        <f t="shared" si="31"/>
        <v>Error?</v>
      </c>
    </row>
    <row r="2054" spans="1:4" x14ac:dyDescent="0.2">
      <c r="A2054" s="5">
        <v>1993</v>
      </c>
      <c r="B2054" s="138">
        <f>'Cap Outlay Deprec 26'!K13</f>
        <v>35083</v>
      </c>
      <c r="C2054" s="2" t="s">
        <v>573</v>
      </c>
      <c r="D2054" s="2" t="str">
        <f t="shared" si="31"/>
        <v>Error?</v>
      </c>
    </row>
    <row r="2055" spans="1:4" x14ac:dyDescent="0.2">
      <c r="A2055" s="5">
        <v>1994</v>
      </c>
      <c r="B2055" s="138">
        <f>'Cap Outlay Deprec 26'!K16</f>
        <v>6897126</v>
      </c>
      <c r="C2055" s="2" t="s">
        <v>573</v>
      </c>
      <c r="D2055" s="2" t="str">
        <f t="shared" si="31"/>
        <v>Error?</v>
      </c>
    </row>
    <row r="2056" spans="1:4" x14ac:dyDescent="0.2">
      <c r="A2056" s="5">
        <v>1995</v>
      </c>
      <c r="B2056" s="138">
        <f>'Cap Outlay Deprec 26'!L5</f>
        <v>101187</v>
      </c>
      <c r="C2056" s="2" t="s">
        <v>573</v>
      </c>
      <c r="D2056" s="2" t="str">
        <f t="shared" si="31"/>
        <v>Error?</v>
      </c>
    </row>
    <row r="2057" spans="1:4" x14ac:dyDescent="0.2">
      <c r="A2057" s="5">
        <v>1996</v>
      </c>
      <c r="B2057" s="138">
        <f>'Cap Outlay Deprec 26'!L8</f>
        <v>10527753</v>
      </c>
      <c r="C2057" s="2" t="s">
        <v>573</v>
      </c>
      <c r="D2057" s="2" t="str">
        <f t="shared" si="31"/>
        <v>Error?</v>
      </c>
    </row>
    <row r="2058" spans="1:4" x14ac:dyDescent="0.2">
      <c r="A2058" s="5">
        <v>1997</v>
      </c>
      <c r="B2058" s="138">
        <f>'Cap Outlay Deprec 26'!L10</f>
        <v>702586</v>
      </c>
      <c r="C2058" s="2" t="s">
        <v>573</v>
      </c>
      <c r="D2058" s="2" t="str">
        <f t="shared" si="31"/>
        <v>Error?</v>
      </c>
    </row>
    <row r="2059" spans="1:4" x14ac:dyDescent="0.2">
      <c r="A2059" s="5">
        <v>1998</v>
      </c>
      <c r="B2059" s="138">
        <f>'Cap Outlay Deprec 26'!L12</f>
        <v>445091</v>
      </c>
      <c r="C2059" s="2" t="s">
        <v>573</v>
      </c>
      <c r="D2059" s="2" t="str">
        <f t="shared" si="31"/>
        <v>Error?</v>
      </c>
    </row>
    <row r="2060" spans="1:4" x14ac:dyDescent="0.2">
      <c r="A2060" s="5">
        <v>1999</v>
      </c>
      <c r="B2060" s="138">
        <f>'Cap Outlay Deprec 26'!L13</f>
        <v>39780</v>
      </c>
      <c r="C2060" s="2" t="s">
        <v>573</v>
      </c>
      <c r="D2060" s="2" t="str">
        <f t="shared" si="31"/>
        <v>Error?</v>
      </c>
    </row>
    <row r="2061" spans="1:4" x14ac:dyDescent="0.2">
      <c r="A2061" s="5">
        <v>2000</v>
      </c>
      <c r="B2061" s="138">
        <f>'Cap Outlay Deprec 26'!L16</f>
        <v>11816397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771001</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4433571</v>
      </c>
      <c r="C2551" s="2" t="s">
        <v>573</v>
      </c>
      <c r="D2551" s="2" t="str">
        <f t="shared" si="38"/>
        <v>Error?</v>
      </c>
    </row>
    <row r="2552" spans="1:4" x14ac:dyDescent="0.2">
      <c r="A2552" s="10">
        <v>2491</v>
      </c>
      <c r="D2552" s="2" t="str">
        <f t="shared" si="38"/>
        <v>OK</v>
      </c>
    </row>
    <row r="2553" spans="1:4" x14ac:dyDescent="0.2">
      <c r="A2553" s="5">
        <v>2492</v>
      </c>
      <c r="B2553" s="138">
        <f>'Acct Summary 7-8'!C6</f>
        <v>1501507</v>
      </c>
      <c r="C2553" s="2" t="s">
        <v>573</v>
      </c>
      <c r="D2553" s="2" t="str">
        <f t="shared" si="38"/>
        <v>Error?</v>
      </c>
    </row>
    <row r="2554" spans="1:4" x14ac:dyDescent="0.2">
      <c r="A2554" s="5">
        <v>2493</v>
      </c>
      <c r="B2554" s="138">
        <f>'Acct Summary 7-8'!C7</f>
        <v>213418</v>
      </c>
      <c r="C2554" s="2" t="s">
        <v>573</v>
      </c>
      <c r="D2554" s="2" t="str">
        <f t="shared" si="38"/>
        <v>Error?</v>
      </c>
    </row>
    <row r="2555" spans="1:4" x14ac:dyDescent="0.2">
      <c r="A2555" s="5">
        <v>2494</v>
      </c>
      <c r="B2555" s="138">
        <f>'Acct Summary 7-8'!C8</f>
        <v>6148496</v>
      </c>
      <c r="C2555" s="2" t="s">
        <v>573</v>
      </c>
      <c r="D2555" s="2" t="str">
        <f t="shared" si="38"/>
        <v>Error?</v>
      </c>
    </row>
    <row r="2556" spans="1:4" x14ac:dyDescent="0.2">
      <c r="A2556" s="5">
        <v>2495</v>
      </c>
      <c r="B2556" s="138">
        <f>'Acct Summary 7-8'!C12</f>
        <v>3083893</v>
      </c>
      <c r="C2556" s="2" t="s">
        <v>573</v>
      </c>
      <c r="D2556" s="2" t="str">
        <f t="shared" si="38"/>
        <v>Error?</v>
      </c>
    </row>
    <row r="2557" spans="1:4" x14ac:dyDescent="0.2">
      <c r="A2557" s="5">
        <v>2496</v>
      </c>
      <c r="B2557" s="138">
        <f>'Acct Summary 7-8'!C13</f>
        <v>1584988</v>
      </c>
      <c r="C2557" s="2" t="s">
        <v>573</v>
      </c>
      <c r="D2557" s="2" t="str">
        <f t="shared" si="38"/>
        <v>Error?</v>
      </c>
    </row>
    <row r="2558" spans="1:4" x14ac:dyDescent="0.2">
      <c r="A2558" s="5">
        <v>2497</v>
      </c>
      <c r="B2558" s="138">
        <f>'Acct Summary 7-8'!C14</f>
        <v>11818</v>
      </c>
      <c r="C2558" s="2" t="s">
        <v>573</v>
      </c>
      <c r="D2558" s="2" t="str">
        <f t="shared" si="38"/>
        <v>Error?</v>
      </c>
    </row>
    <row r="2559" spans="1:4" x14ac:dyDescent="0.2">
      <c r="A2559" s="5">
        <v>2498</v>
      </c>
      <c r="B2559" s="138">
        <f>'Acct Summary 7-8'!C15</f>
        <v>771001</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5451700</v>
      </c>
      <c r="C2561" s="2" t="s">
        <v>573</v>
      </c>
      <c r="D2561" s="2" t="str">
        <f t="shared" si="39"/>
        <v>Error?</v>
      </c>
    </row>
    <row r="2562" spans="1:4" x14ac:dyDescent="0.2">
      <c r="A2562" s="5">
        <v>2501</v>
      </c>
      <c r="B2562" s="138">
        <f>'Acct Summary 7-8'!C20</f>
        <v>696796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526532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526532</v>
      </c>
      <c r="C2568" s="2" t="s">
        <v>573</v>
      </c>
      <c r="D2568" s="2" t="str">
        <f t="shared" si="39"/>
        <v>Error?</v>
      </c>
    </row>
    <row r="2569" spans="1:4" x14ac:dyDescent="0.2">
      <c r="A2569" s="5">
        <v>2508</v>
      </c>
      <c r="B2569" s="138">
        <f>'Acct Summary 7-8'!D13</f>
        <v>410370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410370</v>
      </c>
      <c r="C2573" s="2" t="s">
        <v>573</v>
      </c>
      <c r="D2573" s="2" t="str">
        <f t="shared" si="39"/>
        <v>Error?</v>
      </c>
    </row>
    <row r="2574" spans="1:4" x14ac:dyDescent="0.2">
      <c r="A2574" s="5">
        <v>2513</v>
      </c>
      <c r="B2574" s="138">
        <f>'Acct Summary 7-8'!D20</f>
        <v>116162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146472</v>
      </c>
      <c r="C2591" s="2" t="s">
        <v>573</v>
      </c>
      <c r="D2591" s="2" t="str">
        <f t="shared" si="39"/>
        <v>Error?</v>
      </c>
    </row>
    <row r="2592" spans="1:4" x14ac:dyDescent="0.2">
      <c r="A2592" s="10">
        <v>2531</v>
      </c>
      <c r="D2592" s="2" t="str">
        <f t="shared" si="39"/>
        <v>OK</v>
      </c>
    </row>
    <row r="2593" spans="1:4" x14ac:dyDescent="0.2">
      <c r="A2593" s="5">
        <v>2532</v>
      </c>
      <c r="B2593" s="138">
        <f>'Acct Summary 7-8'!F6</f>
        <v>69276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215748</v>
      </c>
      <c r="C2595" s="2" t="s">
        <v>573</v>
      </c>
      <c r="D2595" s="2" t="str">
        <f t="shared" si="39"/>
        <v>Error?</v>
      </c>
    </row>
    <row r="2596" spans="1:4" x14ac:dyDescent="0.2">
      <c r="A2596" s="5">
        <v>2535</v>
      </c>
      <c r="B2596" s="138">
        <f>'Acct Summary 7-8'!F13</f>
        <v>414390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414390</v>
      </c>
      <c r="C2600" s="2" t="s">
        <v>573</v>
      </c>
      <c r="D2600" s="2" t="str">
        <f t="shared" si="39"/>
        <v>Error?</v>
      </c>
    </row>
    <row r="2601" spans="1:4" x14ac:dyDescent="0.2">
      <c r="A2601" s="5">
        <v>2540</v>
      </c>
      <c r="B2601" s="138">
        <f>'Acct Summary 7-8'!F20</f>
        <v>-198642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216100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216100</v>
      </c>
      <c r="C2606" s="2" t="s">
        <v>573</v>
      </c>
      <c r="D2606" s="2" t="str">
        <f t="shared" si="39"/>
        <v>Error?</v>
      </c>
    </row>
    <row r="2607" spans="1:4" x14ac:dyDescent="0.2">
      <c r="A2607" s="5">
        <v>2546</v>
      </c>
      <c r="B2607" s="138">
        <f>'Acct Summary 7-8'!G12</f>
        <v>59743</v>
      </c>
      <c r="C2607" s="2" t="s">
        <v>573</v>
      </c>
      <c r="D2607" s="2" t="str">
        <f t="shared" si="39"/>
        <v>Error?</v>
      </c>
    </row>
    <row r="2608" spans="1:4" x14ac:dyDescent="0.2">
      <c r="A2608" s="5">
        <v>2547</v>
      </c>
      <c r="B2608" s="138">
        <f>'Acct Summary 7-8'!G13</f>
        <v>65290</v>
      </c>
      <c r="C2608" s="2" t="s">
        <v>573</v>
      </c>
      <c r="D2608" s="2" t="str">
        <f t="shared" si="39"/>
        <v>Error?</v>
      </c>
    </row>
    <row r="2609" spans="1:4" x14ac:dyDescent="0.2">
      <c r="A2609" s="5">
        <v>2548</v>
      </c>
      <c r="B2609" s="138">
        <f>'Acct Summary 7-8'!G14</f>
        <v>24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125057</v>
      </c>
      <c r="C2612" s="2" t="s">
        <v>573</v>
      </c>
      <c r="D2612" s="2" t="str">
        <f t="shared" si="39"/>
        <v>Error?</v>
      </c>
    </row>
    <row r="2613" spans="1:4" x14ac:dyDescent="0.2">
      <c r="A2613" s="5">
        <v>2552</v>
      </c>
      <c r="B2613" s="138">
        <f>'Acct Summary 7-8'!G20</f>
        <v>91043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478459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478459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392814</v>
      </c>
      <c r="C2634" s="2" t="s">
        <v>573</v>
      </c>
      <c r="D2634" s="2" t="str">
        <f t="shared" si="40"/>
        <v>Error?</v>
      </c>
    </row>
    <row r="2635" spans="1:4" x14ac:dyDescent="0.2">
      <c r="A2635" s="5">
        <v>2574</v>
      </c>
      <c r="B2635" s="138">
        <f>'Acct Summary 7-8'!E17</f>
        <v>392814</v>
      </c>
      <c r="C2635" s="2" t="s">
        <v>573</v>
      </c>
      <c r="D2635" s="2" t="str">
        <f t="shared" si="40"/>
        <v>Error?</v>
      </c>
    </row>
    <row r="2636" spans="1:4" x14ac:dyDescent="0.2">
      <c r="A2636" s="5">
        <v>2575</v>
      </c>
      <c r="B2636" s="138">
        <f>'Acct Summary 7-8'!E20</f>
        <v>85645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18557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18557</v>
      </c>
      <c r="C2658" s="2" t="s">
        <v>573</v>
      </c>
      <c r="D2658" s="2" t="str">
        <f t="shared" si="40"/>
        <v>Error?</v>
      </c>
    </row>
    <row r="2659" spans="1:4" x14ac:dyDescent="0.2">
      <c r="A2659" s="5">
        <v>2598</v>
      </c>
      <c r="B2659" s="138">
        <f>'Acct Summary 7-8'!H13</f>
        <v>466708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466708</v>
      </c>
      <c r="C2661" s="2" t="s">
        <v>573</v>
      </c>
      <c r="D2661" s="2" t="str">
        <f t="shared" si="40"/>
        <v>Error?</v>
      </c>
    </row>
    <row r="2662" spans="1:4" x14ac:dyDescent="0.2">
      <c r="A2662" s="5">
        <v>2601</v>
      </c>
      <c r="B2662" s="138">
        <f>'Acct Summary 7-8'!H20</f>
        <v>-448151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771001</v>
      </c>
      <c r="C2789" s="2" t="s">
        <v>573</v>
      </c>
      <c r="D2789" s="2" t="str">
        <f t="shared" si="42"/>
        <v>Error?</v>
      </c>
    </row>
    <row r="2790" spans="1:4" x14ac:dyDescent="0.2">
      <c r="A2790" s="5">
        <v>2729</v>
      </c>
      <c r="B2790" s="138">
        <f>'Expenditures 15-22'!E102</f>
        <v>771001</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30637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53235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30637</v>
      </c>
      <c r="D2912" s="2" t="str">
        <f t="shared" si="44"/>
        <v>Error?</v>
      </c>
    </row>
    <row r="2913" spans="1:4" x14ac:dyDescent="0.2">
      <c r="A2913" s="5">
        <v>2852</v>
      </c>
      <c r="B2913" s="138">
        <f>'Assets-Liab 5-6'!I41</f>
        <v>30637</v>
      </c>
      <c r="C2913" s="2" t="s">
        <v>573</v>
      </c>
      <c r="D2913" s="2" t="str">
        <f t="shared" si="44"/>
        <v>Error?</v>
      </c>
    </row>
    <row r="2914" spans="1:4" x14ac:dyDescent="0.2">
      <c r="A2914" s="5">
        <v>2853</v>
      </c>
      <c r="B2914" s="138">
        <f>'Assets-Liab 5-6'!L33</f>
        <v>53235</v>
      </c>
      <c r="D2914" s="2" t="str">
        <f t="shared" si="44"/>
        <v>Error?</v>
      </c>
    </row>
    <row r="2915" spans="1:4" x14ac:dyDescent="0.2">
      <c r="A2915" s="10">
        <v>2854</v>
      </c>
      <c r="D2915" s="2" t="str">
        <f t="shared" si="44"/>
        <v>OK</v>
      </c>
    </row>
    <row r="2916" spans="1:4" x14ac:dyDescent="0.2">
      <c r="A2916" s="5">
        <v>2855</v>
      </c>
      <c r="B2916" s="138">
        <f>'Assets-Liab 5-6'!L34</f>
        <v>53235</v>
      </c>
      <c r="C2916" s="2" t="s">
        <v>573</v>
      </c>
      <c r="D2916" s="2" t="str">
        <f t="shared" si="44"/>
        <v>Error?</v>
      </c>
    </row>
    <row r="2917" spans="1:4" x14ac:dyDescent="0.2">
      <c r="A2917" s="5">
        <v>2856</v>
      </c>
      <c r="B2917" s="138">
        <f>'Assets-Liab 5-6'!L41</f>
        <v>53235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771001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771001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30219</v>
      </c>
      <c r="D3057" s="2" t="str">
        <f t="shared" si="46"/>
        <v>Error?</v>
      </c>
    </row>
    <row r="3058" spans="1:4" x14ac:dyDescent="0.2">
      <c r="A3058" s="5">
        <v>2997</v>
      </c>
      <c r="B3058" s="138">
        <f>'Expenditures 15-22'!F10</f>
        <v>39706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69925</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30637</v>
      </c>
      <c r="C3225" s="2" t="s">
        <v>573</v>
      </c>
      <c r="D3225" s="2" t="str">
        <f t="shared" si="49"/>
        <v>Error?</v>
      </c>
    </row>
    <row r="3226" spans="1:4" x14ac:dyDescent="0.2">
      <c r="A3226" s="5">
        <v>3165</v>
      </c>
      <c r="B3226" s="138">
        <f>'Acct Summary 7-8'!I8</f>
        <v>30637</v>
      </c>
      <c r="C3226" s="2" t="s">
        <v>573</v>
      </c>
      <c r="D3226" s="2" t="str">
        <f t="shared" si="49"/>
        <v>Error?</v>
      </c>
    </row>
    <row r="3227" spans="1:4" x14ac:dyDescent="0.2">
      <c r="A3227" s="5">
        <v>3166</v>
      </c>
      <c r="B3227" s="138">
        <f>'Acct Summary 7-8'!I20</f>
        <v>30637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23864</v>
      </c>
      <c r="C3231" s="2" t="s">
        <v>573</v>
      </c>
      <c r="D3231" s="2" t="str">
        <f t="shared" si="49"/>
        <v>Error?</v>
      </c>
    </row>
    <row r="3232" spans="1:4" x14ac:dyDescent="0.2">
      <c r="A3232" s="5">
        <v>3171</v>
      </c>
      <c r="B3232" s="138">
        <f>'Acct Summary 7-8'!C77</f>
        <v>-23864</v>
      </c>
      <c r="C3232" s="2" t="s">
        <v>573</v>
      </c>
      <c r="D3232" s="2" t="str">
        <f t="shared" si="49"/>
        <v>Error?</v>
      </c>
    </row>
    <row r="3233" spans="1:4" x14ac:dyDescent="0.2">
      <c r="A3233" s="5">
        <v>3172</v>
      </c>
      <c r="B3233" s="138">
        <f>'Acct Summary 7-8'!C78</f>
        <v>672932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116162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-198642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91043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23864</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23864</v>
      </c>
      <c r="C3277" s="2" t="s">
        <v>573</v>
      </c>
      <c r="D3277" s="2" t="str">
        <f t="shared" si="50"/>
        <v>Error?</v>
      </c>
    </row>
    <row r="3278" spans="1:4" x14ac:dyDescent="0.2">
      <c r="A3278" s="5">
        <v>3217</v>
      </c>
      <c r="B3278" s="138">
        <f>'Acct Summary 7-8'!E78</f>
        <v>109509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-448151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30637</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30637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475740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97370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7102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592455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37561</v>
      </c>
      <c r="D3387" s="2" t="str">
        <f t="shared" si="51"/>
        <v>Error?</v>
      </c>
    </row>
    <row r="3388" spans="1:4" x14ac:dyDescent="0.2">
      <c r="A3388" s="5">
        <v>3327</v>
      </c>
      <c r="B3388" s="138">
        <f>'Expenditures 15-22'!D217</f>
        <v>16518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37561</v>
      </c>
      <c r="C3390" s="2" t="s">
        <v>573</v>
      </c>
      <c r="D3390" s="2" t="str">
        <f t="shared" si="51"/>
        <v>Error?</v>
      </c>
    </row>
    <row r="3391" spans="1:4" x14ac:dyDescent="0.2">
      <c r="A3391" s="5">
        <v>3330</v>
      </c>
      <c r="B3391" s="138">
        <f>'Expenditures 15-22'!K217</f>
        <v>16518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6199715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822375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459731</v>
      </c>
      <c r="D3417" s="2" t="str">
        <f t="shared" si="52"/>
        <v>Error?</v>
      </c>
    </row>
    <row r="3418" spans="1:4" x14ac:dyDescent="0.2">
      <c r="A3418" s="10">
        <v>3357</v>
      </c>
      <c r="D3418" s="2" t="str">
        <f t="shared" si="52"/>
        <v>OK</v>
      </c>
    </row>
    <row r="3419" spans="1:4" x14ac:dyDescent="0.2">
      <c r="A3419" s="5">
        <v>3358</v>
      </c>
      <c r="B3419" s="138">
        <f>'Assets-Liab 5-6'!F4</f>
        <v>384190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361008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100201</v>
      </c>
      <c r="D3425" s="2" t="str">
        <f t="shared" si="52"/>
        <v>Error?</v>
      </c>
    </row>
    <row r="3426" spans="1:4" x14ac:dyDescent="0.2">
      <c r="A3426" s="10">
        <v>3365</v>
      </c>
      <c r="D3426" s="2" t="str">
        <f t="shared" si="52"/>
        <v>OK</v>
      </c>
    </row>
    <row r="3427" spans="1:4" x14ac:dyDescent="0.2">
      <c r="A3427" s="5">
        <v>3366</v>
      </c>
      <c r="B3427" s="138">
        <f>'Assets-Liab 5-6'!I4</f>
        <v>30637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53235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94077</v>
      </c>
      <c r="C3446" s="2" t="s">
        <v>573</v>
      </c>
      <c r="D3446" s="2" t="str">
        <f t="shared" si="52"/>
        <v>Error?</v>
      </c>
    </row>
    <row r="3447" spans="1:4" x14ac:dyDescent="0.2">
      <c r="A3447" s="5">
        <v>3386</v>
      </c>
      <c r="B3447" s="138">
        <f>'Tax Sched 23'!D16</f>
        <v>45049</v>
      </c>
      <c r="C3447" s="2" t="s">
        <v>573</v>
      </c>
      <c r="D3447" s="2" t="str">
        <f t="shared" si="52"/>
        <v>Error?</v>
      </c>
    </row>
    <row r="3448" spans="1:4" x14ac:dyDescent="0.2">
      <c r="A3448" s="5">
        <v>3387</v>
      </c>
      <c r="B3448" s="138">
        <f>'Tax Sched 23'!C16</f>
        <v>49028</v>
      </c>
      <c r="D3448" s="2" t="str">
        <f t="shared" si="52"/>
        <v>Error?</v>
      </c>
    </row>
    <row r="3449" spans="1:4" x14ac:dyDescent="0.2">
      <c r="A3449" s="5">
        <v>3388</v>
      </c>
      <c r="B3449" s="138">
        <f>'Tax Sched 23'!F16</f>
        <v>46372</v>
      </c>
      <c r="C3449" s="2" t="s">
        <v>573</v>
      </c>
      <c r="D3449" s="2" t="str">
        <f t="shared" si="52"/>
        <v>Error?</v>
      </c>
    </row>
    <row r="3450" spans="1:4" x14ac:dyDescent="0.2">
      <c r="A3450" s="5">
        <v>3389</v>
      </c>
      <c r="B3450" s="138">
        <f>'Tax Sched 23'!E16</f>
        <v>95400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2238138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8386634</v>
      </c>
      <c r="C4122" s="2" t="s">
        <v>573</v>
      </c>
      <c r="D4122" s="2" t="str">
        <f t="shared" si="63"/>
        <v>Error?</v>
      </c>
    </row>
    <row r="4123" spans="1:4" x14ac:dyDescent="0.2">
      <c r="A4123" s="5">
        <v>4062</v>
      </c>
      <c r="B4123" s="138">
        <f>'Acct Summary 7-8'!D10</f>
        <v>526532</v>
      </c>
      <c r="C4123" s="2" t="s">
        <v>573</v>
      </c>
      <c r="D4123" s="2" t="str">
        <f t="shared" si="63"/>
        <v>Error?</v>
      </c>
    </row>
    <row r="4124" spans="1:4" x14ac:dyDescent="0.2">
      <c r="A4124" s="5">
        <v>4063</v>
      </c>
      <c r="B4124" s="138">
        <f>'Acct Summary 7-8'!E10</f>
        <v>478459</v>
      </c>
      <c r="C4124" s="2" t="s">
        <v>573</v>
      </c>
      <c r="D4124" s="2" t="str">
        <f t="shared" si="63"/>
        <v>Error?</v>
      </c>
    </row>
    <row r="4125" spans="1:4" x14ac:dyDescent="0.2">
      <c r="A4125" s="5">
        <v>4064</v>
      </c>
      <c r="B4125" s="138">
        <f>'Acct Summary 7-8'!F10</f>
        <v>215748</v>
      </c>
      <c r="C4125" s="2" t="s">
        <v>573</v>
      </c>
      <c r="D4125" s="2" t="str">
        <f t="shared" si="63"/>
        <v>Error?</v>
      </c>
    </row>
    <row r="4126" spans="1:4" x14ac:dyDescent="0.2">
      <c r="A4126" s="5">
        <v>4065</v>
      </c>
      <c r="B4126" s="138">
        <f>'Acct Summary 7-8'!G10</f>
        <v>216100</v>
      </c>
      <c r="C4126" s="2" t="s">
        <v>573</v>
      </c>
      <c r="D4126" s="2" t="str">
        <f t="shared" si="63"/>
        <v>Error?</v>
      </c>
    </row>
    <row r="4127" spans="1:4" x14ac:dyDescent="0.2">
      <c r="A4127" s="5">
        <v>4066</v>
      </c>
      <c r="B4127" s="138">
        <f>'Acct Summary 7-8'!H10</f>
        <v>18557</v>
      </c>
      <c r="C4127" s="2" t="s">
        <v>573</v>
      </c>
      <c r="D4127" s="2" t="str">
        <f t="shared" si="63"/>
        <v>Error?</v>
      </c>
    </row>
    <row r="4128" spans="1:4" x14ac:dyDescent="0.2">
      <c r="A4128" s="5">
        <v>4067</v>
      </c>
      <c r="B4128" s="138">
        <f>'Acct Summary 7-8'!I10</f>
        <v>30637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2238138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7689838</v>
      </c>
      <c r="C4136" s="2" t="s">
        <v>573</v>
      </c>
      <c r="D4136" s="2" t="str">
        <f t="shared" si="63"/>
        <v>Error?</v>
      </c>
    </row>
    <row r="4137" spans="1:4" x14ac:dyDescent="0.2">
      <c r="A4137" s="5">
        <v>4076</v>
      </c>
      <c r="B4137" s="138">
        <f>'Acct Summary 7-8'!D19</f>
        <v>410370</v>
      </c>
      <c r="C4137" s="2" t="s">
        <v>573</v>
      </c>
      <c r="D4137" s="2" t="str">
        <f t="shared" si="63"/>
        <v>Error?</v>
      </c>
    </row>
    <row r="4138" spans="1:4" x14ac:dyDescent="0.2">
      <c r="A4138" s="5">
        <v>4077</v>
      </c>
      <c r="B4138" s="138">
        <f>'Acct Summary 7-8'!E19</f>
        <v>392814</v>
      </c>
      <c r="C4138" s="2" t="s">
        <v>573</v>
      </c>
      <c r="D4138" s="2" t="str">
        <f t="shared" si="63"/>
        <v>Error?</v>
      </c>
    </row>
    <row r="4139" spans="1:4" x14ac:dyDescent="0.2">
      <c r="A4139" s="5">
        <v>4078</v>
      </c>
      <c r="B4139" s="138">
        <f>'Acct Summary 7-8'!F19</f>
        <v>414390</v>
      </c>
      <c r="C4139" s="2" t="s">
        <v>573</v>
      </c>
      <c r="D4139" s="2" t="str">
        <f t="shared" si="63"/>
        <v>Error?</v>
      </c>
    </row>
    <row r="4140" spans="1:4" x14ac:dyDescent="0.2">
      <c r="A4140" s="5">
        <v>4079</v>
      </c>
      <c r="B4140" s="138">
        <f>'Acct Summary 7-8'!G19</f>
        <v>125057</v>
      </c>
      <c r="C4140" s="2" t="s">
        <v>573</v>
      </c>
      <c r="D4140" s="2" t="str">
        <f t="shared" si="63"/>
        <v>Error?</v>
      </c>
    </row>
    <row r="4141" spans="1:4" x14ac:dyDescent="0.2">
      <c r="A4141" s="5">
        <v>4080</v>
      </c>
      <c r="B4141" s="138">
        <f>'Acct Summary 7-8'!H19</f>
        <v>466708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5699516</v>
      </c>
      <c r="C4171" s="2" t="s">
        <v>573</v>
      </c>
      <c r="D4171" s="2" t="str">
        <f t="shared" si="64"/>
        <v>Error?</v>
      </c>
    </row>
    <row r="4172" spans="1:4" x14ac:dyDescent="0.2">
      <c r="A4172" s="5">
        <v>4111</v>
      </c>
      <c r="B4172" s="138">
        <f>'Short-Term Long-Term Debt 24'!J49</f>
        <v>5285084</v>
      </c>
      <c r="C4172" s="2" t="s">
        <v>573</v>
      </c>
      <c r="D4172" s="2" t="str">
        <f t="shared" si="64"/>
        <v>Error?</v>
      </c>
    </row>
    <row r="4173" spans="1:4" x14ac:dyDescent="0.2">
      <c r="A4173" s="5">
        <v>4112</v>
      </c>
      <c r="B4173" s="138">
        <f>'Short-Term Long-Term Debt 24'!H49</f>
        <v>275583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68602</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3180.761</v>
      </c>
      <c r="C4265" s="2" t="s">
        <v>573</v>
      </c>
      <c r="D4265" s="2" t="str">
        <f t="shared" si="65"/>
        <v>Error?</v>
      </c>
      <c r="E4265" s="128"/>
    </row>
    <row r="4266" spans="1:5" x14ac:dyDescent="0.2">
      <c r="A4266" s="12">
        <v>4205</v>
      </c>
      <c r="B4266" s="138">
        <f>('FP Info 3'!F10)*100000</f>
        <v>429.40299999999996</v>
      </c>
      <c r="C4266" s="2" t="s">
        <v>573</v>
      </c>
      <c r="D4266" s="2" t="str">
        <f t="shared" si="65"/>
        <v>Error?</v>
      </c>
      <c r="E4266" s="128"/>
    </row>
    <row r="4267" spans="1:5" x14ac:dyDescent="0.2">
      <c r="A4267" s="12">
        <v>4206</v>
      </c>
      <c r="B4267" s="138">
        <f>('FP Info 3'!H10)*100000</f>
        <v>119.279</v>
      </c>
      <c r="C4267" s="2" t="s">
        <v>573</v>
      </c>
      <c r="D4267" s="2" t="str">
        <f t="shared" si="65"/>
        <v>Error?</v>
      </c>
      <c r="E4267" s="128"/>
    </row>
    <row r="4268" spans="1:5" x14ac:dyDescent="0.2">
      <c r="A4268" s="12">
        <v>4207</v>
      </c>
      <c r="B4268" s="138">
        <f>('FP Info 3'!J10)*100000</f>
        <v>3728.9999999999995</v>
      </c>
      <c r="C4268" s="2" t="s">
        <v>573</v>
      </c>
      <c r="D4268" s="2" t="str">
        <f t="shared" si="65"/>
        <v>Error?</v>
      </c>
    </row>
    <row r="4269" spans="1:5" x14ac:dyDescent="0.2">
      <c r="A4269" s="12">
        <v>4208</v>
      </c>
      <c r="B4269" s="138">
        <f>'FP Info 3'!J16</f>
        <v>7423358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72596</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62637</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6962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486.72999999999996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122419199</v>
      </c>
      <c r="D4995" s="2" t="str">
        <f t="shared" si="77"/>
        <v>Error?</v>
      </c>
    </row>
    <row r="4996" spans="1:4" x14ac:dyDescent="0.2">
      <c r="A4996" s="12">
        <v>4935</v>
      </c>
      <c r="B4996" s="138">
        <f>'FP Info 3'!H31</f>
        <v>8446924.7310000006</v>
      </c>
      <c r="D4996" s="2" t="str">
        <f t="shared" si="77"/>
        <v>Error?</v>
      </c>
    </row>
    <row r="4997" spans="1:4" x14ac:dyDescent="0.2">
      <c r="A4997" s="12">
        <v>4936</v>
      </c>
      <c r="B4997" s="138">
        <f>'FP Info 3'!H37</f>
        <v>5699516</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3774246</v>
      </c>
      <c r="D5061" s="2" t="str">
        <f t="shared" si="78"/>
        <v>Error?</v>
      </c>
    </row>
    <row r="5062" spans="1:4" x14ac:dyDescent="0.2">
      <c r="A5062" s="10">
        <v>5001</v>
      </c>
      <c r="D5062" s="2" t="str">
        <f t="shared" si="78"/>
        <v>OK</v>
      </c>
    </row>
    <row r="5063" spans="1:4" x14ac:dyDescent="0.2">
      <c r="A5063" s="5">
        <v>5002</v>
      </c>
      <c r="B5063" s="138">
        <f>'Revenues 9-14'!C7</f>
        <v>380309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4154555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19525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19525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84446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84446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23383</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44281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20687</v>
      </c>
      <c r="D5101" s="2" t="str">
        <f t="shared" si="78"/>
        <v>Error?</v>
      </c>
    </row>
    <row r="5102" spans="1:4" x14ac:dyDescent="0.2">
      <c r="A5102" s="5">
        <v>5041</v>
      </c>
      <c r="B5102" s="138">
        <f>'Revenues 9-14'!C82</f>
        <v>64968</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4575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82119</v>
      </c>
      <c r="D5119" s="2" t="str">
        <f t="shared" ref="D5119:D5182" si="79">IF(ISBLANK(B5119),"OK",IF(A5119-B5119=0,"OK","Error?"))</f>
        <v>Error?</v>
      </c>
    </row>
    <row r="5120" spans="1:4" x14ac:dyDescent="0.2">
      <c r="A5120" s="5">
        <v>5059</v>
      </c>
      <c r="B5120" s="138">
        <f>'Revenues 9-14'!C108</f>
        <v>86694</v>
      </c>
      <c r="C5120" s="2" t="s">
        <v>573</v>
      </c>
      <c r="D5120" s="2" t="str">
        <f t="shared" si="79"/>
        <v>Error?</v>
      </c>
    </row>
    <row r="5121" spans="1:4" x14ac:dyDescent="0.2">
      <c r="A5121" s="5">
        <v>5060</v>
      </c>
      <c r="B5121" s="138">
        <f>'Revenues 9-14'!C109</f>
        <v>4433571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1398973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1398973</v>
      </c>
      <c r="C5132" s="2" t="s">
        <v>573</v>
      </c>
      <c r="D5132" s="2" t="str">
        <f t="shared" si="79"/>
        <v>Error?</v>
      </c>
    </row>
    <row r="5133" spans="1:4" x14ac:dyDescent="0.2">
      <c r="A5133" s="5">
        <v>5072</v>
      </c>
      <c r="B5133" s="138">
        <f>'Revenues 9-14'!C125</f>
        <v>4774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4774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1260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96500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102534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1501507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66517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3792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70309</v>
      </c>
      <c r="C5246" s="2" t="s">
        <v>573</v>
      </c>
      <c r="D5246" s="2" t="str">
        <f t="shared" si="80"/>
        <v>Error?</v>
      </c>
    </row>
    <row r="5247" spans="1:4" x14ac:dyDescent="0.2">
      <c r="A5247" s="5">
        <v>5186</v>
      </c>
      <c r="B5247" s="138">
        <f>'Revenues 9-14'!C200</f>
        <v>49155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49155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3579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83413</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86992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213418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213418</v>
      </c>
      <c r="C5326" s="2" t="s">
        <v>573</v>
      </c>
      <c r="D5326" s="2" t="str">
        <f t="shared" si="82"/>
        <v>Error?</v>
      </c>
    </row>
    <row r="5327" spans="1:5" x14ac:dyDescent="0.2">
      <c r="A5327" s="5">
        <v>5266</v>
      </c>
      <c r="B5327" s="138">
        <f>'Revenues 9-14'!C268</f>
        <v>6148496</v>
      </c>
      <c r="C5327" s="2" t="s">
        <v>573</v>
      </c>
      <c r="D5327" s="2" t="str">
        <f t="shared" si="82"/>
        <v>Error?</v>
      </c>
    </row>
    <row r="5328" spans="1:5" x14ac:dyDescent="0.2">
      <c r="A5328" s="5">
        <v>5267</v>
      </c>
      <c r="B5328" s="138">
        <f>'Revenues 9-14'!D5</f>
        <v>513417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513417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11274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11274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1191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650</v>
      </c>
      <c r="D5354" s="2" t="str">
        <f t="shared" si="82"/>
        <v>Error?</v>
      </c>
    </row>
    <row r="5355" spans="1:4" x14ac:dyDescent="0.2">
      <c r="A5355" s="5">
        <v>5294</v>
      </c>
      <c r="B5355" s="138">
        <f>'Revenues 9-14'!D108</f>
        <v>1841</v>
      </c>
      <c r="C5355" s="2" t="s">
        <v>573</v>
      </c>
      <c r="D5355" s="2" t="str">
        <f t="shared" si="82"/>
        <v>Error?</v>
      </c>
    </row>
    <row r="5356" spans="1:4" x14ac:dyDescent="0.2">
      <c r="A5356" s="5">
        <v>5295</v>
      </c>
      <c r="B5356" s="138">
        <f>'Revenues 9-14'!D109</f>
        <v>526532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526532</v>
      </c>
      <c r="C5508" s="2" t="s">
        <v>573</v>
      </c>
      <c r="D5508" s="2" t="str">
        <f t="shared" si="85"/>
        <v>Error?</v>
      </c>
    </row>
    <row r="5509" spans="1:4" x14ac:dyDescent="0.2">
      <c r="A5509" s="5">
        <v>5448</v>
      </c>
      <c r="B5509" s="138">
        <f>'Revenues 9-14'!E5</f>
        <v>468461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468461</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9998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9998</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478459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478459</v>
      </c>
      <c r="C5552" s="2" t="s">
        <v>573</v>
      </c>
      <c r="D5552" s="2" t="str">
        <f t="shared" si="85"/>
        <v>Error?</v>
      </c>
    </row>
    <row r="5553" spans="1:4" x14ac:dyDescent="0.2">
      <c r="A5553" s="5">
        <v>5492</v>
      </c>
      <c r="B5553" s="138">
        <f>'Revenues 9-14'!F5</f>
        <v>142617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142617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3855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146472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69276</v>
      </c>
      <c r="D5617" s="2" t="str">
        <f t="shared" si="86"/>
        <v>Error?</v>
      </c>
    </row>
    <row r="5618" spans="1:5" x14ac:dyDescent="0.2">
      <c r="A5618" s="5">
        <v>5557</v>
      </c>
      <c r="B5618" s="138">
        <f>'Revenues 9-14'!F155</f>
        <v>69276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69276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69276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215748</v>
      </c>
      <c r="C5720" s="2" t="s">
        <v>573</v>
      </c>
      <c r="D5720" s="2" t="str">
        <f t="shared" si="88"/>
        <v>Error?</v>
      </c>
    </row>
    <row r="5721" spans="1:4" x14ac:dyDescent="0.2">
      <c r="A5721" s="5">
        <v>5660</v>
      </c>
      <c r="B5721" s="138">
        <f>'Revenues 9-14'!G5</f>
        <v>94077</v>
      </c>
      <c r="D5721" s="2" t="str">
        <f t="shared" si="88"/>
        <v>Error?</v>
      </c>
    </row>
    <row r="5722" spans="1:4" x14ac:dyDescent="0.2">
      <c r="A5722" s="5">
        <v>5661</v>
      </c>
      <c r="B5722" s="138">
        <f>'Revenues 9-14'!G7</f>
        <v>7560</v>
      </c>
      <c r="D5722" s="2" t="str">
        <f t="shared" si="88"/>
        <v>Error?</v>
      </c>
    </row>
    <row r="5723" spans="1:4" x14ac:dyDescent="0.2">
      <c r="A5723" s="5">
        <v>5662</v>
      </c>
      <c r="B5723" s="138">
        <f>'Revenues 9-14'!G8</f>
        <v>94077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195714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1686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1686</v>
      </c>
      <c r="C5730" s="2" t="s">
        <v>573</v>
      </c>
      <c r="D5730" s="2" t="str">
        <f t="shared" si="88"/>
        <v>Error?</v>
      </c>
    </row>
    <row r="5731" spans="1:4" x14ac:dyDescent="0.2">
      <c r="A5731" s="5">
        <v>5670</v>
      </c>
      <c r="B5731" s="138">
        <f>'Revenues 9-14'!G65</f>
        <v>18700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18700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216100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18557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18557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18557</v>
      </c>
      <c r="C5915" s="2" t="s">
        <v>573</v>
      </c>
      <c r="D5915" s="2" t="str">
        <f t="shared" si="91"/>
        <v>Error?</v>
      </c>
    </row>
    <row r="5916" spans="1:4" x14ac:dyDescent="0.2">
      <c r="A5916" s="5">
        <v>5855</v>
      </c>
      <c r="B5916" s="138">
        <f>'Revenues 9-14'!I5</f>
        <v>30622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30622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30637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216100</v>
      </c>
      <c r="C6024" s="2" t="s">
        <v>573</v>
      </c>
      <c r="D6024" s="2" t="str">
        <f t="shared" si="93"/>
        <v>Error?</v>
      </c>
    </row>
    <row r="6025" spans="1:5" x14ac:dyDescent="0.2">
      <c r="A6025" s="5">
        <v>5964</v>
      </c>
      <c r="B6025" s="138">
        <f>'Revenues 9-14'!H109</f>
        <v>18557</v>
      </c>
      <c r="C6025" s="2" t="s">
        <v>573</v>
      </c>
      <c r="D6025" s="2" t="str">
        <f t="shared" si="93"/>
        <v>Error?</v>
      </c>
    </row>
    <row r="6026" spans="1:5" x14ac:dyDescent="0.2">
      <c r="A6026" s="5">
        <v>5965</v>
      </c>
      <c r="B6026" s="138">
        <f>'Revenues 9-14'!I109</f>
        <v>30637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23383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503.3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672932</v>
      </c>
      <c r="D6267" s="2" t="str">
        <f t="shared" si="96"/>
        <v>Error?</v>
      </c>
      <c r="E6267" s="2" t="s">
        <v>190</v>
      </c>
    </row>
    <row r="6268" spans="1:5" x14ac:dyDescent="0.2">
      <c r="A6268">
        <v>6207</v>
      </c>
      <c r="B6268" s="138">
        <f>'Acct Summary 7-8'!D82</f>
        <v>116162</v>
      </c>
      <c r="D6268" s="2" t="str">
        <f t="shared" si="96"/>
        <v>Error?</v>
      </c>
      <c r="E6268" s="2" t="s">
        <v>190</v>
      </c>
    </row>
    <row r="6269" spans="1:5" x14ac:dyDescent="0.2">
      <c r="A6269">
        <v>6208</v>
      </c>
      <c r="B6269" s="138">
        <f>'Acct Summary 7-8'!E82</f>
        <v>109509</v>
      </c>
      <c r="D6269" s="2" t="str">
        <f t="shared" si="96"/>
        <v>Error?</v>
      </c>
      <c r="E6269" s="2" t="s">
        <v>190</v>
      </c>
    </row>
    <row r="6270" spans="1:5" x14ac:dyDescent="0.2">
      <c r="A6270">
        <v>6209</v>
      </c>
      <c r="B6270" s="138">
        <f>'Acct Summary 7-8'!F82</f>
        <v>-198642</v>
      </c>
      <c r="D6270" s="2" t="str">
        <f t="shared" si="96"/>
        <v>Error?</v>
      </c>
      <c r="E6270" s="2" t="s">
        <v>190</v>
      </c>
    </row>
    <row r="6271" spans="1:5" x14ac:dyDescent="0.2">
      <c r="A6271">
        <v>6210</v>
      </c>
      <c r="B6271" s="138">
        <f>'Acct Summary 7-8'!G82</f>
        <v>91043</v>
      </c>
      <c r="D6271" s="2" t="str">
        <f t="shared" ref="D6271:D6334" si="97">IF(ISBLANK(B6271),"OK",IF(A6271-B6271=0,"OK","Error?"))</f>
        <v>Error?</v>
      </c>
      <c r="E6271" s="2" t="s">
        <v>190</v>
      </c>
    </row>
    <row r="6272" spans="1:5" x14ac:dyDescent="0.2">
      <c r="A6272">
        <v>6211</v>
      </c>
      <c r="B6272" s="138">
        <f>'Acct Summary 7-8'!H82</f>
        <v>-448151</v>
      </c>
      <c r="D6272" s="2" t="str">
        <f t="shared" si="97"/>
        <v>Error?</v>
      </c>
      <c r="E6272" s="2" t="s">
        <v>190</v>
      </c>
    </row>
    <row r="6273" spans="1:5" x14ac:dyDescent="0.2">
      <c r="A6273">
        <v>6212</v>
      </c>
      <c r="B6273" s="138">
        <f>'Acct Summary 7-8'!I82</f>
        <v>30637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0.10878031527171315</v>
      </c>
      <c r="D6276" s="2" t="str">
        <f t="shared" si="97"/>
        <v>Error?</v>
      </c>
      <c r="E6276" s="2" t="s">
        <v>190</v>
      </c>
    </row>
    <row r="6277" spans="1:5" x14ac:dyDescent="0.2">
      <c r="A6277">
        <v>6216</v>
      </c>
      <c r="B6277" s="138">
        <f>'Acct Summary 7-8'!D83</f>
        <v>0.14125186198510412</v>
      </c>
      <c r="D6277" s="2" t="str">
        <f t="shared" si="97"/>
        <v>Error?</v>
      </c>
      <c r="E6277" s="2" t="s">
        <v>190</v>
      </c>
    </row>
    <row r="6278" spans="1:5" x14ac:dyDescent="0.2">
      <c r="A6278">
        <v>6217</v>
      </c>
      <c r="B6278" s="138">
        <f>'Acct Summary 7-8'!E83</f>
        <v>0.2642387653463053</v>
      </c>
      <c r="D6278" s="2" t="str">
        <f t="shared" si="97"/>
        <v>Error?</v>
      </c>
      <c r="E6278" s="2" t="s">
        <v>190</v>
      </c>
    </row>
    <row r="6279" spans="1:5" x14ac:dyDescent="0.2">
      <c r="A6279">
        <v>6218</v>
      </c>
      <c r="B6279" s="138">
        <f>'Acct Summary 7-8'!F83</f>
        <v>-0.5170410473984226</v>
      </c>
      <c r="D6279" s="2" t="str">
        <f t="shared" si="97"/>
        <v>Error?</v>
      </c>
      <c r="E6279" s="2" t="s">
        <v>190</v>
      </c>
    </row>
    <row r="6280" spans="1:5" x14ac:dyDescent="0.2">
      <c r="A6280">
        <v>6219</v>
      </c>
      <c r="B6280" s="138">
        <f>'Acct Summary 7-8'!G83</f>
        <v>0.2521910871781235</v>
      </c>
      <c r="D6280" s="2" t="str">
        <f t="shared" si="97"/>
        <v>Error?</v>
      </c>
      <c r="E6280" s="2" t="s">
        <v>190</v>
      </c>
    </row>
    <row r="6281" spans="1:5" x14ac:dyDescent="0.2">
      <c r="A6281">
        <v>6220</v>
      </c>
      <c r="B6281" s="138">
        <f>'Acct Summary 7-8'!H83</f>
        <v>-4.4725202343289991</v>
      </c>
      <c r="D6281" s="2" t="str">
        <f t="shared" si="97"/>
        <v>Error?</v>
      </c>
      <c r="E6281" s="2" t="s">
        <v>190</v>
      </c>
    </row>
    <row r="6282" spans="1:5" x14ac:dyDescent="0.2">
      <c r="A6282">
        <v>6221</v>
      </c>
      <c r="B6282" s="138">
        <f>'Acct Summary 7-8'!I83</f>
        <v>1</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15583</v>
      </c>
      <c r="D6285" s="2" t="str">
        <f t="shared" si="97"/>
        <v>Error?</v>
      </c>
      <c r="E6285" s="2" t="s">
        <v>190</v>
      </c>
    </row>
    <row r="6286" spans="1:5" x14ac:dyDescent="0.2">
      <c r="A6286">
        <v>6225</v>
      </c>
      <c r="B6286" s="138">
        <f>'Acct Summary 7-8'!E38</f>
        <v>8281</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25042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30293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4295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4608</v>
      </c>
      <c r="D7073" s="2" t="str">
        <f t="shared" si="109"/>
        <v>Error?</v>
      </c>
    </row>
    <row r="7074" spans="1:4" x14ac:dyDescent="0.2">
      <c r="A7074">
        <v>7013</v>
      </c>
      <c r="B7074" s="138">
        <f>'Expenditures 15-22'!K216</f>
        <v>4608</v>
      </c>
      <c r="D7074" s="2" t="str">
        <f t="shared" si="109"/>
        <v>Error?</v>
      </c>
    </row>
    <row r="7075" spans="1:4" x14ac:dyDescent="0.2">
      <c r="A7075">
        <v>7014</v>
      </c>
      <c r="B7075" s="138">
        <f>'Expenditures 15-22'!D218</f>
        <v>61</v>
      </c>
      <c r="D7075" s="2" t="str">
        <f t="shared" si="109"/>
        <v>Error?</v>
      </c>
    </row>
    <row r="7076" spans="1:4" x14ac:dyDescent="0.2">
      <c r="A7076">
        <v>7015</v>
      </c>
      <c r="B7076" s="138">
        <f>'Expenditures 15-22'!K218</f>
        <v>61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3400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1851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3886</v>
      </c>
      <c r="D7251" s="2" t="str">
        <f t="shared" si="112"/>
        <v>Error?</v>
      </c>
    </row>
    <row r="7252" spans="1:4" x14ac:dyDescent="0.2">
      <c r="A7252">
        <f t="shared" si="113"/>
        <v>7191</v>
      </c>
      <c r="B7252" s="138">
        <f>'Expenditures 15-22'!D9</f>
        <v>409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421341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15583</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8281</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1059242</v>
      </c>
      <c r="D7797" s="2" t="str">
        <f t="shared" si="127"/>
        <v>Error?</v>
      </c>
      <c r="E7797" s="4" t="s">
        <v>1904</v>
      </c>
    </row>
    <row r="7798" spans="1:5" x14ac:dyDescent="0.2">
      <c r="A7798">
        <v>7737</v>
      </c>
      <c r="B7798" s="138">
        <f>'Contracts Paid in CY 29'!F141</f>
        <v>225000</v>
      </c>
      <c r="D7798" s="2" t="str">
        <f t="shared" si="127"/>
        <v>Error?</v>
      </c>
      <c r="E7798" s="4" t="s">
        <v>1904</v>
      </c>
    </row>
    <row r="7799" spans="1:5" x14ac:dyDescent="0.2">
      <c r="A7799">
        <v>7738</v>
      </c>
      <c r="B7799" s="138">
        <f>'Contracts Paid in CY 29'!G141</f>
        <v>497211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1989</v>
      </c>
      <c r="B4" s="2403"/>
      <c r="C4" s="2403"/>
      <c r="D4" s="2403"/>
      <c r="E4" s="2403"/>
      <c r="F4" s="2403"/>
      <c r="G4" s="2403"/>
      <c r="H4" s="2403"/>
      <c r="I4" s="2403"/>
      <c r="J4" s="2403"/>
      <c r="K4" s="2403"/>
      <c r="L4" s="240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4" t="str">
        <f>COVER!A17</f>
        <v>Winthrop Harbor SD 1</v>
      </c>
      <c r="B7" s="2405"/>
      <c r="C7" s="2405"/>
      <c r="D7" s="2406"/>
      <c r="E7" s="2407">
        <f>COVER!A13</f>
        <v>34049001002</v>
      </c>
      <c r="F7" s="2408"/>
      <c r="G7" s="2414" t="str">
        <f>COVER!T23</f>
        <v>066-003289</v>
      </c>
      <c r="H7" s="2415"/>
      <c r="I7" s="2415"/>
      <c r="J7" s="2415"/>
      <c r="K7" s="2415"/>
      <c r="L7" s="241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7"/>
      <c r="B9" s="2418"/>
      <c r="C9" s="2418"/>
      <c r="D9" s="2418"/>
      <c r="E9" s="2418"/>
      <c r="F9" s="2419"/>
      <c r="G9" s="2388" t="str">
        <f>COVER!T13</f>
        <v>EVOY, KAMSCHULTE, JACOBS &amp; CO., LLP</v>
      </c>
      <c r="H9" s="2420"/>
      <c r="I9" s="2420"/>
      <c r="J9" s="2420"/>
      <c r="K9" s="2420"/>
      <c r="L9" s="2421"/>
    </row>
    <row r="10" spans="1:29" ht="13.5" customHeight="1" x14ac:dyDescent="0.2">
      <c r="A10" s="2394">
        <f>COVER!A38</f>
        <v>0</v>
      </c>
      <c r="B10" s="2395"/>
      <c r="C10" s="2395"/>
      <c r="D10" s="2395"/>
      <c r="E10" s="2395"/>
      <c r="F10" s="2396"/>
      <c r="G10" s="2388" t="str">
        <f>COVER!T17</f>
        <v>2122 YEOMAN STREET</v>
      </c>
      <c r="H10" s="2389"/>
      <c r="I10" s="2389"/>
      <c r="J10" s="2389"/>
      <c r="K10" s="2389"/>
      <c r="L10" s="2390"/>
    </row>
    <row r="11" spans="1:29" ht="13.5" customHeight="1" x14ac:dyDescent="0.2">
      <c r="A11" s="1184" t="s">
        <v>1519</v>
      </c>
      <c r="B11" s="1185"/>
      <c r="C11" s="1186"/>
      <c r="D11" s="1191"/>
      <c r="E11" s="1186"/>
      <c r="F11" s="1190"/>
      <c r="G11" s="2388" t="str">
        <f>COVER!T19</f>
        <v>WAUKEGAN</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kkinnavy@ekjllp.com</v>
      </c>
      <c r="J13" s="2401"/>
      <c r="K13" s="2401"/>
      <c r="L13" s="2402"/>
    </row>
    <row r="14" spans="1:29" ht="13.5" customHeight="1" x14ac:dyDescent="0.2">
      <c r="A14" s="2388" t="str">
        <f>COVER!A19</f>
        <v>500 NORTH AVE</v>
      </c>
      <c r="B14" s="2389"/>
      <c r="C14" s="2389"/>
      <c r="D14" s="2389"/>
      <c r="E14" s="2389"/>
      <c r="F14" s="2390"/>
      <c r="G14" s="1195" t="s">
        <v>1185</v>
      </c>
      <c r="H14" s="1193"/>
      <c r="I14" s="1193"/>
      <c r="J14" s="1193"/>
      <c r="K14" s="1193"/>
      <c r="L14" s="1194"/>
    </row>
    <row r="15" spans="1:29" ht="13.5" customHeight="1" x14ac:dyDescent="0.2">
      <c r="A15" s="2388" t="str">
        <f>COVER!A21</f>
        <v xml:space="preserve">WINTHROP HARBOR </v>
      </c>
      <c r="B15" s="2389"/>
      <c r="C15" s="2389"/>
      <c r="D15" s="2389"/>
      <c r="E15" s="2389"/>
      <c r="F15" s="2390"/>
      <c r="G15" s="2385" t="str">
        <f>COVER!T15</f>
        <v>KEVIN KINNAVY</v>
      </c>
      <c r="H15" s="2386"/>
      <c r="I15" s="2386"/>
      <c r="J15" s="2386"/>
      <c r="K15" s="2386"/>
      <c r="L15" s="2387"/>
    </row>
    <row r="16" spans="1:29" ht="12.2" customHeight="1" x14ac:dyDescent="0.2">
      <c r="A16" s="2410">
        <f>COVER!A25</f>
        <v>60096</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5" t="s">
        <v>1184</v>
      </c>
      <c r="H17" s="1193"/>
      <c r="I17" s="1193"/>
      <c r="J17" s="1193"/>
      <c r="K17" s="1197" t="s">
        <v>1183</v>
      </c>
      <c r="L17" s="1190"/>
      <c r="M17" s="1183"/>
    </row>
    <row r="18" spans="1:13" ht="12.2" customHeight="1" x14ac:dyDescent="0.2">
      <c r="A18" s="2394"/>
      <c r="B18" s="2395"/>
      <c r="C18" s="2395"/>
      <c r="D18" s="2395"/>
      <c r="E18" s="2395"/>
      <c r="F18" s="2396"/>
      <c r="G18" s="2404" t="str">
        <f>COVER!T21</f>
        <v>847-662-8300</v>
      </c>
      <c r="H18" s="2405"/>
      <c r="I18" s="2405"/>
      <c r="J18" s="2405"/>
      <c r="K18" s="2404" t="str">
        <f>COVER!X21</f>
        <v>847-662-8305</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Winthrop Harbor SD 1</v>
      </c>
      <c r="B1" s="2403"/>
      <c r="C1" s="2403"/>
      <c r="D1" s="2403"/>
    </row>
    <row r="2" spans="1:11" s="1212" customFormat="1" ht="12.75" x14ac:dyDescent="0.2">
      <c r="A2" s="2427">
        <f>'Single Audit Cover'!E7</f>
        <v>34049001002</v>
      </c>
      <c r="B2" s="2428"/>
      <c r="C2" s="2428"/>
      <c r="D2" s="2428"/>
    </row>
    <row r="3" spans="1:11" s="1212" customFormat="1" ht="12.75" x14ac:dyDescent="0.2">
      <c r="A3" s="2426" t="s">
        <v>1513</v>
      </c>
      <c r="B3" s="2403"/>
      <c r="C3" s="2403"/>
      <c r="D3" s="240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Winthrop Harbor SD 1</v>
      </c>
      <c r="B1" s="2430"/>
      <c r="C1" s="2430"/>
      <c r="D1" s="2430"/>
      <c r="E1" s="2430"/>
    </row>
    <row r="2" spans="1:5" x14ac:dyDescent="0.2">
      <c r="A2" s="2431">
        <f>'Single Audit Cover'!E7</f>
        <v>34049001002</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213418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213418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213418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213418</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3" t="str">
        <f>'Single Audit Cover'!A7</f>
        <v>Winthrop Harbor SD 1</v>
      </c>
      <c r="C1" s="2434"/>
      <c r="D1" s="2434"/>
      <c r="E1" s="2434"/>
      <c r="F1" s="2434"/>
      <c r="G1" s="2434"/>
      <c r="H1" s="2434"/>
      <c r="I1" s="2434"/>
      <c r="J1" s="2434"/>
      <c r="K1" s="2434"/>
      <c r="L1" s="2434"/>
      <c r="M1" s="2434"/>
    </row>
    <row r="2" spans="2:14" ht="15" x14ac:dyDescent="0.2">
      <c r="B2" s="2435">
        <f>'Single Audit Cover'!E7</f>
        <v>34049001002</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Winthrop Harbor SD 1</v>
      </c>
      <c r="B1" s="2447"/>
      <c r="C1" s="2447"/>
      <c r="D1" s="2447"/>
      <c r="E1" s="2447"/>
      <c r="F1" s="2447"/>
    </row>
    <row r="2" spans="1:7" ht="13.5" customHeight="1" x14ac:dyDescent="0.2">
      <c r="A2" s="2435">
        <f>'Single Audit Cover'!E7</f>
        <v>34049001002</v>
      </c>
      <c r="B2" s="2435"/>
      <c r="C2" s="2435"/>
      <c r="D2" s="2435"/>
      <c r="E2" s="2435"/>
      <c r="F2" s="2435"/>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1729</v>
      </c>
      <c r="B7" s="2446"/>
      <c r="C7" s="2446"/>
      <c r="D7" s="2446"/>
      <c r="E7" s="2446"/>
      <c r="F7" s="244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6" t="s">
        <v>1731</v>
      </c>
      <c r="B13" s="2446"/>
      <c r="C13" s="2446"/>
      <c r="D13" s="2446"/>
      <c r="E13" s="2446"/>
      <c r="F13" s="2446"/>
    </row>
    <row r="14" spans="1:7" ht="9.75" customHeight="1" x14ac:dyDescent="0.2">
      <c r="C14" s="1257"/>
      <c r="D14" s="1257"/>
    </row>
    <row r="15" spans="1:7" ht="13.5" customHeight="1" x14ac:dyDescent="0.2">
      <c r="C15" s="1846" t="s">
        <v>1270</v>
      </c>
      <c r="D15" s="2444" t="s">
        <v>1269</v>
      </c>
      <c r="E15" s="2444"/>
      <c r="F15" s="2444"/>
    </row>
    <row r="16" spans="1:7" ht="13.5" customHeight="1" x14ac:dyDescent="0.2">
      <c r="A16" s="1279"/>
      <c r="B16" s="1273" t="s">
        <v>1268</v>
      </c>
      <c r="C16" s="1846" t="s">
        <v>1267</v>
      </c>
      <c r="D16" s="2445" t="s">
        <v>1588</v>
      </c>
      <c r="E16" s="2445"/>
      <c r="F16" s="2445"/>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0" t="s">
        <v>1732</v>
      </c>
      <c r="B32" s="2440"/>
      <c r="C32" s="2440"/>
      <c r="D32" s="2440"/>
      <c r="E32" s="2440"/>
      <c r="F32" s="2440"/>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1">
        <f>+C33+C34</f>
        <v>0</v>
      </c>
      <c r="F34" s="2442"/>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3" t="s">
        <v>1590</v>
      </c>
      <c r="C49" s="2443"/>
      <c r="D49" s="2443"/>
      <c r="E49" s="1396"/>
    </row>
    <row r="50" spans="1:5" s="1297" customFormat="1" ht="3.75" customHeight="1" x14ac:dyDescent="0.2">
      <c r="A50" s="1296"/>
      <c r="B50" s="1845"/>
      <c r="C50" s="1845"/>
      <c r="D50" s="1845"/>
      <c r="E50" s="1396"/>
    </row>
    <row r="51" spans="1:5" s="1297" customFormat="1" ht="20.25" customHeight="1" x14ac:dyDescent="0.2">
      <c r="A51" s="1298">
        <v>6</v>
      </c>
      <c r="B51" s="2438" t="s">
        <v>1551</v>
      </c>
      <c r="C51" s="2438"/>
      <c r="D51" s="2438"/>
    </row>
    <row r="52" spans="1:5" ht="14.25" customHeight="1" x14ac:dyDescent="0.2">
      <c r="A52" s="1298"/>
      <c r="B52" s="2438"/>
      <c r="C52" s="2438"/>
      <c r="D52" s="243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I52" sqref="I5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2068</v>
      </c>
      <c r="C53" s="179">
        <v>22</v>
      </c>
      <c r="D53" s="247" t="s">
        <v>1462</v>
      </c>
      <c r="E53" s="248"/>
      <c r="F53" s="249"/>
      <c r="G53" s="249" t="s">
        <v>1461</v>
      </c>
      <c r="H53" s="250">
        <v>33604</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Winthrop Harbor SD 1</v>
      </c>
      <c r="C1" s="2462"/>
      <c r="D1" s="2462"/>
      <c r="E1" s="2462"/>
      <c r="F1" s="2462"/>
      <c r="G1" s="2462"/>
      <c r="H1" s="2462"/>
      <c r="I1" s="2462"/>
      <c r="J1" s="1406"/>
    </row>
    <row r="2" spans="2:10" s="317" customFormat="1" ht="12.75" customHeight="1" x14ac:dyDescent="0.2">
      <c r="B2" s="2463">
        <f>'Single Audit Cover'!E7</f>
        <v>34049001002</v>
      </c>
      <c r="C2" s="2464"/>
      <c r="D2" s="2464"/>
      <c r="E2" s="2464"/>
      <c r="F2" s="2464"/>
      <c r="G2" s="2464"/>
      <c r="H2" s="2464"/>
      <c r="I2" s="2464"/>
      <c r="J2" s="1406"/>
    </row>
    <row r="3" spans="2:10" s="317" customFormat="1" ht="12.75" customHeight="1" x14ac:dyDescent="0.2">
      <c r="B3" s="2465" t="s">
        <v>1285</v>
      </c>
      <c r="C3" s="2466"/>
      <c r="D3" s="2466"/>
      <c r="E3" s="2466"/>
      <c r="F3" s="2466"/>
      <c r="G3" s="2466"/>
      <c r="H3" s="2466"/>
      <c r="I3" s="2466"/>
      <c r="J3" s="1407"/>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5" t="s">
        <v>1284</v>
      </c>
      <c r="C7" s="2466"/>
      <c r="D7" s="2466"/>
      <c r="E7" s="2466"/>
      <c r="F7" s="2466"/>
      <c r="G7" s="2466"/>
      <c r="H7" s="2466"/>
      <c r="I7" s="246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7"/>
      <c r="D11" s="246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8"/>
      <c r="E29" s="2468"/>
      <c r="F29" s="2468"/>
      <c r="G29" s="2468"/>
      <c r="H29" s="2468"/>
      <c r="I29" s="246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9" t="s">
        <v>1751</v>
      </c>
      <c r="D37" s="2470"/>
      <c r="E37" s="2470"/>
      <c r="F37" s="2471"/>
      <c r="G37" s="2469" t="s">
        <v>1592</v>
      </c>
      <c r="H37" s="2470"/>
      <c r="I37" s="2471"/>
    </row>
    <row r="38" spans="2:9" ht="16.5" customHeight="1" x14ac:dyDescent="0.2">
      <c r="B38" s="1428"/>
      <c r="C38" s="2457"/>
      <c r="D38" s="2458"/>
      <c r="E38" s="2458"/>
      <c r="F38" s="2459"/>
      <c r="G38" s="2472"/>
      <c r="H38" s="2473"/>
      <c r="I38" s="2474"/>
    </row>
    <row r="39" spans="2:9" ht="16.5" customHeight="1" x14ac:dyDescent="0.2">
      <c r="B39" s="1428"/>
      <c r="C39" s="2457"/>
      <c r="D39" s="2458"/>
      <c r="E39" s="2458"/>
      <c r="F39" s="2459"/>
      <c r="G39" s="2460"/>
      <c r="H39" s="2460"/>
      <c r="I39" s="2460"/>
    </row>
    <row r="40" spans="2:9" ht="16.5" customHeight="1" x14ac:dyDescent="0.2">
      <c r="B40" s="1428"/>
      <c r="C40" s="2457"/>
      <c r="D40" s="2458"/>
      <c r="E40" s="2458"/>
      <c r="F40" s="2459"/>
      <c r="G40" s="2460"/>
      <c r="H40" s="2460"/>
      <c r="I40" s="2460"/>
    </row>
    <row r="41" spans="2:9" ht="16.5" customHeight="1" x14ac:dyDescent="0.2">
      <c r="B41" s="1428"/>
      <c r="C41" s="2457"/>
      <c r="D41" s="2458"/>
      <c r="E41" s="2458"/>
      <c r="F41" s="2459"/>
      <c r="G41" s="2460"/>
      <c r="H41" s="2460"/>
      <c r="I41" s="2460"/>
    </row>
    <row r="42" spans="2:9" ht="16.5" customHeight="1" x14ac:dyDescent="0.2">
      <c r="B42" s="1428"/>
      <c r="C42" s="2457"/>
      <c r="D42" s="2458"/>
      <c r="E42" s="2458"/>
      <c r="F42" s="2459"/>
      <c r="G42" s="2460"/>
      <c r="H42" s="2460"/>
      <c r="I42" s="2460"/>
    </row>
    <row r="43" spans="2:9" ht="16.5" customHeight="1" x14ac:dyDescent="0.2">
      <c r="B43" s="1428"/>
      <c r="C43" s="2450" t="s">
        <v>1593</v>
      </c>
      <c r="D43" s="2451"/>
      <c r="E43" s="2451"/>
      <c r="F43" s="2452"/>
      <c r="G43" s="2453">
        <f>SUM(G38:I42)</f>
        <v>0</v>
      </c>
      <c r="H43" s="2453"/>
      <c r="I43" s="2453"/>
    </row>
    <row r="44" spans="2:9" ht="12.75" customHeight="1" x14ac:dyDescent="0.2"/>
    <row r="45" spans="2:9" ht="12.75" customHeight="1" x14ac:dyDescent="0.2">
      <c r="B45" s="1419" t="s">
        <v>1841</v>
      </c>
      <c r="D45" s="2454">
        <v>0</v>
      </c>
      <c r="E45" s="2455"/>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6"/>
      <c r="F49" s="2456"/>
      <c r="G49" s="2456"/>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Winthrop Harbor SD 1</v>
      </c>
      <c r="C1" s="2461"/>
      <c r="D1" s="2461"/>
      <c r="E1" s="2461"/>
      <c r="F1" s="2461"/>
      <c r="G1" s="2461"/>
      <c r="H1" s="2461"/>
      <c r="I1" s="2461"/>
      <c r="J1" s="2461"/>
      <c r="K1" s="2461"/>
      <c r="L1" s="1371"/>
      <c r="M1" s="1371"/>
    </row>
    <row r="2" spans="1:13" ht="12" customHeight="1" x14ac:dyDescent="0.2">
      <c r="B2" s="2463">
        <f>'Single Audit Cover'!E7</f>
        <v>34049001002</v>
      </c>
      <c r="C2" s="2463"/>
      <c r="D2" s="2463"/>
      <c r="E2" s="2463"/>
      <c r="F2" s="2463"/>
      <c r="G2" s="2463"/>
      <c r="H2" s="2463"/>
      <c r="I2" s="2463"/>
      <c r="J2" s="2463"/>
      <c r="K2" s="2463"/>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Winthrop Harbor SD 1</v>
      </c>
      <c r="C1" s="2484"/>
      <c r="D1" s="2484"/>
      <c r="E1" s="2484"/>
      <c r="F1" s="2484"/>
      <c r="G1" s="2484"/>
      <c r="H1" s="2484"/>
      <c r="I1" s="2484"/>
      <c r="J1" s="2484"/>
      <c r="K1" s="2484"/>
      <c r="L1" s="1449"/>
    </row>
    <row r="2" spans="1:12" ht="12.75" customHeight="1" x14ac:dyDescent="0.2">
      <c r="B2" s="2485">
        <f>'Single Audit Cover'!E7</f>
        <v>34049001002</v>
      </c>
      <c r="C2" s="2485"/>
      <c r="D2" s="2485"/>
      <c r="E2" s="2485"/>
      <c r="F2" s="2485"/>
      <c r="G2" s="2485"/>
      <c r="H2" s="2485"/>
      <c r="I2" s="2485"/>
      <c r="J2" s="2485"/>
      <c r="K2" s="2485"/>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8"/>
      <c r="G12" s="2468"/>
      <c r="H12" s="2468"/>
      <c r="I12" s="2468"/>
      <c r="J12" s="2468"/>
      <c r="K12" s="246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1" t="str">
        <f>'Single Audit Cover'!A7</f>
        <v>Winthrop Harbor SD 1</v>
      </c>
      <c r="C1" s="2461"/>
      <c r="D1" s="2461"/>
      <c r="E1" s="1469"/>
    </row>
    <row r="2" spans="2:5" s="1279" customFormat="1" ht="12.75" customHeight="1" x14ac:dyDescent="0.2">
      <c r="B2" s="2463">
        <f>'Single Audit Cover'!E7</f>
        <v>34049001002</v>
      </c>
      <c r="C2" s="2463"/>
      <c r="D2" s="2463"/>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B1" colorId="8" zoomScale="110" zoomScaleNormal="110" workbookViewId="0">
      <selection activeCell="L10" sqref="L10"/>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122419199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3.180761E-2</v>
      </c>
      <c r="E10" s="356" t="s">
        <v>1005</v>
      </c>
      <c r="F10" s="355">
        <v>4.2940299999999999E-3</v>
      </c>
      <c r="G10" s="356" t="s">
        <v>1005</v>
      </c>
      <c r="H10" s="355">
        <v>1.19279E-3</v>
      </c>
      <c r="I10" s="356" t="s">
        <v>1006</v>
      </c>
      <c r="J10" s="1732">
        <f>ROUND(D10+F10+H10,5)</f>
        <v>3.7289999999999997E-2</v>
      </c>
      <c r="K10" s="222"/>
      <c r="L10" s="355">
        <v>4.8672999999999998E-3</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6921413</v>
      </c>
      <c r="E16" s="356"/>
      <c r="F16" s="1733">
        <f>SUM('Acct Summary 7-8'!C17,'Acct Summary 7-8'!D17,'Acct Summary 7-8'!F17)</f>
        <v>6276460</v>
      </c>
      <c r="G16" s="356"/>
      <c r="H16" s="1733">
        <f>SUM(D16-F16)</f>
        <v>644953</v>
      </c>
      <c r="I16" s="222"/>
      <c r="J16" s="1733">
        <f>SUM('Acct Summary 7-8'!C81,'Acct Summary 7-8'!D81,'Acct Summary 7-8'!F81,'Acct Summary 7-8'!I81)</f>
        <v>7423358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2068</v>
      </c>
      <c r="C31" s="367" t="s">
        <v>586</v>
      </c>
      <c r="D31" s="237" t="s">
        <v>1072</v>
      </c>
      <c r="E31" s="222"/>
      <c r="F31" s="222"/>
      <c r="G31" s="363"/>
      <c r="H31" s="1735">
        <f>IF(B31="X",(J7*0.069),IF(B32="X",(J7*0.138),"Enter x in a.or b."))</f>
        <v>8446924.7310000006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5699516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Winthrop Harbor SD 1</v>
      </c>
      <c r="E7" s="391"/>
      <c r="G7" s="252"/>
      <c r="H7" s="387"/>
      <c r="I7" s="387"/>
      <c r="J7" s="387"/>
      <c r="K7" s="387"/>
      <c r="L7" s="329"/>
      <c r="M7" s="329"/>
      <c r="N7" s="329"/>
      <c r="O7" s="329"/>
      <c r="P7" s="329"/>
    </row>
    <row r="8" spans="1:18" ht="12.75" x14ac:dyDescent="0.2">
      <c r="A8" s="329"/>
      <c r="B8" s="329"/>
      <c r="C8" s="389" t="s">
        <v>1125</v>
      </c>
      <c r="D8" s="392">
        <f>COVER!A13</f>
        <v>34049001002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7423358</v>
      </c>
      <c r="I12" s="404"/>
      <c r="J12" s="404"/>
      <c r="K12" s="405">
        <f>TRUNC((H12/H13*100000),5)/100000</f>
        <v>1.0762312815000001</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6897549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-23864</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6276460</v>
      </c>
      <c r="I17" s="404"/>
      <c r="J17" s="416"/>
      <c r="K17" s="405">
        <f>TRUNC((H17/H18*100000),5)/100000</f>
        <v>0.9099551159</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6897549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-23864</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7436917</v>
      </c>
      <c r="I24" s="422"/>
      <c r="J24" s="422"/>
      <c r="K24" s="423">
        <f>TRUNC(((H24/H25*100000)/100000),2)</f>
        <v>426.56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17434.611110000002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3880260.1411000001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5699516</v>
      </c>
      <c r="I32" s="420"/>
      <c r="J32" s="420"/>
      <c r="K32" s="423">
        <f>TRUNC(100-((((H32/H33*100))*100)/100),2)</f>
        <v>32.520000000000003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8446924.7310000006</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16" activePane="bottomLeft" state="frozen"/>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6199715</v>
      </c>
      <c r="D4" s="466">
        <v>822375</v>
      </c>
      <c r="E4" s="466">
        <v>459731</v>
      </c>
      <c r="F4" s="466">
        <v>384190</v>
      </c>
      <c r="G4" s="466">
        <v>361008</v>
      </c>
      <c r="H4" s="466">
        <v>100201</v>
      </c>
      <c r="I4" s="466">
        <v>30637</v>
      </c>
      <c r="J4" s="467"/>
      <c r="K4" s="466"/>
      <c r="L4" s="466">
        <v>53235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6199715</v>
      </c>
      <c r="D13" s="1737">
        <f t="shared" ref="D13:L13" si="0">SUM(D4:D12)</f>
        <v>822375</v>
      </c>
      <c r="E13" s="1737">
        <f t="shared" si="0"/>
        <v>459731</v>
      </c>
      <c r="F13" s="1737">
        <f t="shared" si="0"/>
        <v>384190</v>
      </c>
      <c r="G13" s="1737">
        <f t="shared" si="0"/>
        <v>361008</v>
      </c>
      <c r="H13" s="1737">
        <f t="shared" si="0"/>
        <v>100201</v>
      </c>
      <c r="I13" s="1737">
        <f t="shared" si="0"/>
        <v>30637</v>
      </c>
      <c r="J13" s="1737">
        <f t="shared" si="0"/>
        <v>0</v>
      </c>
      <c r="K13" s="1737">
        <f t="shared" si="0"/>
        <v>0</v>
      </c>
      <c r="L13" s="1737">
        <f t="shared" si="0"/>
        <v>53235</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101187</v>
      </c>
      <c r="N16" s="484"/>
    </row>
    <row r="17" spans="1:14" s="485" customFormat="1" ht="12.75" customHeight="1" x14ac:dyDescent="0.2">
      <c r="A17" s="482" t="s">
        <v>1403</v>
      </c>
      <c r="B17" s="483">
        <v>230</v>
      </c>
      <c r="C17" s="477"/>
      <c r="D17" s="477"/>
      <c r="E17" s="477"/>
      <c r="F17" s="477"/>
      <c r="G17" s="477"/>
      <c r="H17" s="477"/>
      <c r="I17" s="477"/>
      <c r="J17" s="477"/>
      <c r="K17" s="477"/>
      <c r="L17" s="477"/>
      <c r="M17" s="467">
        <v>10527753</v>
      </c>
      <c r="N17" s="484"/>
    </row>
    <row r="18" spans="1:14" s="485" customFormat="1" ht="12.75" customHeight="1" x14ac:dyDescent="0.2">
      <c r="A18" s="482" t="s">
        <v>1404</v>
      </c>
      <c r="B18" s="483">
        <v>240</v>
      </c>
      <c r="C18" s="477"/>
      <c r="D18" s="477"/>
      <c r="E18" s="477"/>
      <c r="F18" s="477"/>
      <c r="G18" s="477"/>
      <c r="H18" s="477"/>
      <c r="I18" s="477"/>
      <c r="J18" s="477"/>
      <c r="K18" s="477"/>
      <c r="L18" s="477"/>
      <c r="M18" s="467">
        <v>702586</v>
      </c>
      <c r="N18" s="484"/>
    </row>
    <row r="19" spans="1:14" s="485" customFormat="1" ht="12.75" customHeight="1" x14ac:dyDescent="0.2">
      <c r="A19" s="482" t="s">
        <v>1405</v>
      </c>
      <c r="B19" s="483">
        <v>250</v>
      </c>
      <c r="C19" s="477"/>
      <c r="D19" s="477"/>
      <c r="E19" s="477"/>
      <c r="F19" s="477"/>
      <c r="G19" s="477"/>
      <c r="H19" s="477"/>
      <c r="I19" s="477"/>
      <c r="J19" s="477"/>
      <c r="K19" s="477"/>
      <c r="L19" s="477"/>
      <c r="M19" s="467">
        <v>484871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414432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5285084</v>
      </c>
    </row>
    <row r="23" spans="1:14" ht="13.5" customHeight="1" thickBot="1" x14ac:dyDescent="0.25">
      <c r="A23" s="1736" t="s">
        <v>643</v>
      </c>
      <c r="B23" s="1741"/>
      <c r="C23" s="468"/>
      <c r="D23" s="468"/>
      <c r="E23" s="468"/>
      <c r="F23" s="468"/>
      <c r="G23" s="468"/>
      <c r="H23" s="468"/>
      <c r="I23" s="468"/>
      <c r="J23" s="468"/>
      <c r="K23" s="468"/>
      <c r="L23" s="468"/>
      <c r="M23" s="1688">
        <f>SUM(M15:M22)</f>
        <v>11816397</v>
      </c>
      <c r="N23" s="1688">
        <f>SUM(N21:N22)</f>
        <v>5699516</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v>13559</v>
      </c>
      <c r="D32" s="492"/>
      <c r="E32" s="474">
        <v>45299</v>
      </c>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53235</v>
      </c>
      <c r="M33" s="468"/>
      <c r="N33" s="469"/>
    </row>
    <row r="34" spans="1:14" ht="13.5" customHeight="1" thickBot="1" x14ac:dyDescent="0.25">
      <c r="A34" s="1738" t="s">
        <v>654</v>
      </c>
      <c r="B34" s="1739"/>
      <c r="C34" s="1740">
        <f>SUM(C25:C33)</f>
        <v>13559</v>
      </c>
      <c r="D34" s="1740">
        <f t="shared" ref="D34:K34" si="1">SUM(D25:D33)</f>
        <v>0</v>
      </c>
      <c r="E34" s="1740">
        <f t="shared" si="1"/>
        <v>45299</v>
      </c>
      <c r="F34" s="1740">
        <f t="shared" si="1"/>
        <v>0</v>
      </c>
      <c r="G34" s="1740">
        <f t="shared" si="1"/>
        <v>0</v>
      </c>
      <c r="H34" s="1740">
        <f t="shared" si="1"/>
        <v>0</v>
      </c>
      <c r="I34" s="1740">
        <f t="shared" si="1"/>
        <v>0</v>
      </c>
      <c r="J34" s="1740">
        <f t="shared" si="1"/>
        <v>0</v>
      </c>
      <c r="K34" s="1740">
        <f t="shared" si="1"/>
        <v>0</v>
      </c>
      <c r="L34" s="1721">
        <f>SUM(L33)</f>
        <v>53235</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5699516</v>
      </c>
    </row>
    <row r="37" spans="1:14" ht="13.5" thickBot="1" x14ac:dyDescent="0.25">
      <c r="A37" s="1736" t="s">
        <v>653</v>
      </c>
      <c r="B37" s="1741"/>
      <c r="C37" s="477"/>
      <c r="D37" s="477"/>
      <c r="E37" s="477"/>
      <c r="F37" s="477"/>
      <c r="G37" s="477"/>
      <c r="H37" s="477"/>
      <c r="I37" s="477"/>
      <c r="J37" s="477"/>
      <c r="K37" s="477"/>
      <c r="L37" s="480"/>
      <c r="M37" s="468"/>
      <c r="N37" s="1688">
        <f>SUM(N36:N36)</f>
        <v>5699516</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6186156</v>
      </c>
      <c r="D39" s="466">
        <v>822375</v>
      </c>
      <c r="E39" s="466">
        <v>414432</v>
      </c>
      <c r="F39" s="466">
        <v>384190</v>
      </c>
      <c r="G39" s="466">
        <v>361008</v>
      </c>
      <c r="H39" s="466">
        <v>100201</v>
      </c>
      <c r="I39" s="466">
        <v>30637</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11816397</v>
      </c>
      <c r="N40" s="497"/>
    </row>
    <row r="41" spans="1:14" ht="13.5" customHeight="1" thickBot="1" x14ac:dyDescent="0.25">
      <c r="A41" s="1736" t="s">
        <v>655</v>
      </c>
      <c r="B41" s="1706"/>
      <c r="C41" s="1688">
        <f>(SUM(C34,C37,C38,C39))</f>
        <v>6199715</v>
      </c>
      <c r="D41" s="1688">
        <f t="shared" ref="D41:L41" si="2">SUM(D34,D37,D38:D39)</f>
        <v>822375</v>
      </c>
      <c r="E41" s="1688">
        <f t="shared" si="2"/>
        <v>459731</v>
      </c>
      <c r="F41" s="1688">
        <f t="shared" si="2"/>
        <v>384190</v>
      </c>
      <c r="G41" s="1688">
        <f t="shared" si="2"/>
        <v>361008</v>
      </c>
      <c r="H41" s="1688">
        <f t="shared" si="2"/>
        <v>100201</v>
      </c>
      <c r="I41" s="1688">
        <f t="shared" si="2"/>
        <v>30637</v>
      </c>
      <c r="J41" s="1688">
        <f t="shared" si="2"/>
        <v>0</v>
      </c>
      <c r="K41" s="1688">
        <f t="shared" si="2"/>
        <v>0</v>
      </c>
      <c r="L41" s="1688">
        <f t="shared" si="2"/>
        <v>53235</v>
      </c>
      <c r="M41" s="1688">
        <f>SUM(M40)</f>
        <v>11816397</v>
      </c>
      <c r="N41" s="1688">
        <f>SUM(N37)</f>
        <v>5699516</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8" t="s">
        <v>1499</v>
      </c>
      <c r="B4" s="1929">
        <v>1000</v>
      </c>
      <c r="C4" s="1742">
        <f>'Revenues 9-14'!C109</f>
        <v>4433571</v>
      </c>
      <c r="D4" s="1742">
        <f>'Revenues 9-14'!D109</f>
        <v>526532</v>
      </c>
      <c r="E4" s="1742">
        <f>'Revenues 9-14'!E109</f>
        <v>478459</v>
      </c>
      <c r="F4" s="1742">
        <f>'Revenues 9-14'!F109</f>
        <v>146472</v>
      </c>
      <c r="G4" s="1742">
        <f>'Revenues 9-14'!G109</f>
        <v>216100</v>
      </c>
      <c r="H4" s="1742">
        <f>'Revenues 9-14'!H109</f>
        <v>18557</v>
      </c>
      <c r="I4" s="1742">
        <f>'Revenues 9-14'!I109</f>
        <v>30637</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1501507</v>
      </c>
      <c r="D6" s="1743">
        <f>'Revenues 9-14'!D170</f>
        <v>0</v>
      </c>
      <c r="E6" s="1743">
        <f>'Revenues 9-14'!E170</f>
        <v>0</v>
      </c>
      <c r="F6" s="1743">
        <f>'Revenues 9-14'!F170</f>
        <v>69276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213418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6148496</v>
      </c>
      <c r="D8" s="1688">
        <f t="shared" ref="D8:K8" si="0">SUM(D4:D7)</f>
        <v>526532</v>
      </c>
      <c r="E8" s="1688">
        <f t="shared" si="0"/>
        <v>478459</v>
      </c>
      <c r="F8" s="1688">
        <f t="shared" si="0"/>
        <v>215748</v>
      </c>
      <c r="G8" s="1688">
        <f t="shared" si="0"/>
        <v>216100</v>
      </c>
      <c r="H8" s="1688">
        <f t="shared" si="0"/>
        <v>18557</v>
      </c>
      <c r="I8" s="1688">
        <f t="shared" si="0"/>
        <v>30637</v>
      </c>
      <c r="J8" s="1688">
        <f t="shared" si="0"/>
        <v>0</v>
      </c>
      <c r="K8" s="1688">
        <f t="shared" si="0"/>
        <v>0</v>
      </c>
      <c r="L8" s="347"/>
    </row>
    <row r="9" spans="1:13" ht="15.75" thickTop="1" x14ac:dyDescent="0.2">
      <c r="A9" s="514" t="s">
        <v>1653</v>
      </c>
      <c r="B9" s="515">
        <v>3998</v>
      </c>
      <c r="C9" s="481">
        <v>2238138</v>
      </c>
      <c r="D9" s="516"/>
      <c r="E9" s="481"/>
      <c r="F9" s="481"/>
      <c r="G9" s="517"/>
      <c r="H9" s="481"/>
      <c r="I9" s="509" t="s">
        <v>1169</v>
      </c>
      <c r="J9" s="478"/>
      <c r="K9" s="481"/>
      <c r="L9" s="347"/>
    </row>
    <row r="10" spans="1:13" s="519" customFormat="1" ht="13.5" thickBot="1" x14ac:dyDescent="0.25">
      <c r="A10" s="1736" t="s">
        <v>1173</v>
      </c>
      <c r="B10" s="1709"/>
      <c r="C10" s="1688">
        <f>SUM(C8:C9)</f>
        <v>8386634</v>
      </c>
      <c r="D10" s="1688">
        <f t="shared" ref="D10:K10" si="1">SUM(D8:D9)</f>
        <v>526532</v>
      </c>
      <c r="E10" s="1688">
        <f t="shared" si="1"/>
        <v>478459</v>
      </c>
      <c r="F10" s="1688">
        <f t="shared" si="1"/>
        <v>215748</v>
      </c>
      <c r="G10" s="1688">
        <f t="shared" si="1"/>
        <v>216100</v>
      </c>
      <c r="H10" s="1688">
        <f t="shared" si="1"/>
        <v>18557</v>
      </c>
      <c r="I10" s="1688">
        <f t="shared" si="1"/>
        <v>30637</v>
      </c>
      <c r="J10" s="1688">
        <f t="shared" si="1"/>
        <v>0</v>
      </c>
      <c r="K10" s="1688">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2">
        <f>'Expenditures 15-22'!K33</f>
        <v>3083893</v>
      </c>
      <c r="D12" s="520" t="s">
        <v>1169</v>
      </c>
      <c r="E12" s="468" t="s">
        <v>1169</v>
      </c>
      <c r="F12" s="468" t="s">
        <v>1169</v>
      </c>
      <c r="G12" s="1742">
        <f>'Expenditures 15-22'!K229</f>
        <v>59743</v>
      </c>
      <c r="H12" s="521"/>
      <c r="I12" s="468" t="s">
        <v>1169</v>
      </c>
      <c r="J12" s="468" t="s">
        <v>1169</v>
      </c>
      <c r="K12" s="521" t="s">
        <v>1169</v>
      </c>
      <c r="L12" s="347"/>
    </row>
    <row r="13" spans="1:13" ht="15.75" customHeight="1" x14ac:dyDescent="0.2">
      <c r="A13" s="1576" t="s">
        <v>457</v>
      </c>
      <c r="B13" s="1578">
        <v>2000</v>
      </c>
      <c r="C13" s="1743">
        <f>'Expenditures 15-22'!K74</f>
        <v>1584988</v>
      </c>
      <c r="D13" s="1743">
        <f>'Expenditures 15-22'!K129</f>
        <v>410370</v>
      </c>
      <c r="E13" s="469" t="s">
        <v>1169</v>
      </c>
      <c r="F13" s="1743">
        <f>'Expenditures 15-22'!K184</f>
        <v>414390</v>
      </c>
      <c r="G13" s="1743">
        <f>'Expenditures 15-22'!K279</f>
        <v>65290</v>
      </c>
      <c r="H13" s="1743">
        <f>'Expenditures 15-22'!K303</f>
        <v>466708</v>
      </c>
      <c r="I13" s="468" t="s">
        <v>1169</v>
      </c>
      <c r="J13" s="1743">
        <f>'Expenditures 15-22'!K330</f>
        <v>0</v>
      </c>
      <c r="K13" s="1747">
        <f>'Expenditures 15-22'!K352</f>
        <v>0</v>
      </c>
      <c r="L13" s="347"/>
    </row>
    <row r="14" spans="1:13" ht="15.75" customHeight="1" x14ac:dyDescent="0.2">
      <c r="A14" s="1576" t="s">
        <v>449</v>
      </c>
      <c r="B14" s="1578">
        <v>3000</v>
      </c>
      <c r="C14" s="1743">
        <f>'Expenditures 15-22'!K75</f>
        <v>11818</v>
      </c>
      <c r="D14" s="1743">
        <f>'Expenditures 15-22'!K130</f>
        <v>0</v>
      </c>
      <c r="E14" s="520" t="s">
        <v>1169</v>
      </c>
      <c r="F14" s="1743">
        <f>'Expenditures 15-22'!K185</f>
        <v>0</v>
      </c>
      <c r="G14" s="1743">
        <f>'Expenditures 15-22'!K280</f>
        <v>24</v>
      </c>
      <c r="H14" s="512"/>
      <c r="I14" s="468" t="s">
        <v>1169</v>
      </c>
      <c r="J14" s="468" t="s">
        <v>1169</v>
      </c>
      <c r="K14" s="512" t="s">
        <v>1169</v>
      </c>
      <c r="L14" s="347"/>
    </row>
    <row r="15" spans="1:13" ht="15.75" customHeight="1" x14ac:dyDescent="0.2">
      <c r="A15" s="1576" t="s">
        <v>107</v>
      </c>
      <c r="B15" s="1578">
        <v>4000</v>
      </c>
      <c r="C15" s="1743">
        <f>'Expenditures 15-22'!K102</f>
        <v>771001</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392814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5451700</v>
      </c>
      <c r="D17" s="1688">
        <f t="shared" si="2"/>
        <v>410370</v>
      </c>
      <c r="E17" s="1688">
        <f t="shared" si="2"/>
        <v>392814</v>
      </c>
      <c r="F17" s="1688">
        <f t="shared" si="2"/>
        <v>414390</v>
      </c>
      <c r="G17" s="1688">
        <f t="shared" si="2"/>
        <v>125057</v>
      </c>
      <c r="H17" s="1688">
        <f t="shared" si="2"/>
        <v>466708</v>
      </c>
      <c r="I17" s="468"/>
      <c r="J17" s="1688">
        <f>SUM(J12:J16)</f>
        <v>0</v>
      </c>
      <c r="K17" s="1688">
        <f>SUM(K12:K16)</f>
        <v>0</v>
      </c>
      <c r="L17" s="347"/>
    </row>
    <row r="18" spans="1:12" ht="15" customHeight="1" thickTop="1" x14ac:dyDescent="0.2">
      <c r="A18" s="1744" t="s">
        <v>1654</v>
      </c>
      <c r="B18" s="1745">
        <v>4180</v>
      </c>
      <c r="C18" s="1742">
        <f t="shared" ref="C18:H18" si="3">C9</f>
        <v>2238138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7689838</v>
      </c>
      <c r="D19" s="1688">
        <f t="shared" si="4"/>
        <v>410370</v>
      </c>
      <c r="E19" s="1688">
        <f t="shared" si="4"/>
        <v>392814</v>
      </c>
      <c r="F19" s="1688">
        <f t="shared" si="4"/>
        <v>414390</v>
      </c>
      <c r="G19" s="1688">
        <f t="shared" si="4"/>
        <v>125057</v>
      </c>
      <c r="H19" s="1688">
        <f t="shared" si="4"/>
        <v>466708</v>
      </c>
      <c r="I19" s="468"/>
      <c r="J19" s="1688">
        <f>SUM(J17:J18)</f>
        <v>0</v>
      </c>
      <c r="K19" s="1688">
        <f>SUM(K17:K18)</f>
        <v>0</v>
      </c>
      <c r="L19" s="347"/>
    </row>
    <row r="20" spans="1:12" ht="16.5" thickTop="1" thickBot="1" x14ac:dyDescent="0.25">
      <c r="A20" s="2127" t="s">
        <v>1655</v>
      </c>
      <c r="B20" s="2128"/>
      <c r="C20" s="1746">
        <f>C8-C17</f>
        <v>696796</v>
      </c>
      <c r="D20" s="1746">
        <f t="shared" ref="D20:K20" si="5">D8-D17</f>
        <v>116162</v>
      </c>
      <c r="E20" s="1746">
        <f t="shared" si="5"/>
        <v>85645</v>
      </c>
      <c r="F20" s="1746">
        <f t="shared" si="5"/>
        <v>-198642</v>
      </c>
      <c r="G20" s="1746">
        <f t="shared" si="5"/>
        <v>91043</v>
      </c>
      <c r="H20" s="1746">
        <f t="shared" si="5"/>
        <v>-448151</v>
      </c>
      <c r="I20" s="1746">
        <f t="shared" si="5"/>
        <v>30637</v>
      </c>
      <c r="J20" s="1746">
        <f t="shared" si="5"/>
        <v>0</v>
      </c>
      <c r="K20" s="1746">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15583</v>
      </c>
      <c r="F37" s="475"/>
      <c r="G37" s="475"/>
      <c r="H37" s="475"/>
      <c r="I37" s="477"/>
      <c r="J37" s="475"/>
      <c r="K37" s="475"/>
      <c r="L37" s="524"/>
    </row>
    <row r="38" spans="1:12" s="485" customFormat="1" x14ac:dyDescent="0.2">
      <c r="A38" s="1489" t="s">
        <v>442</v>
      </c>
      <c r="B38" s="525">
        <v>7500</v>
      </c>
      <c r="C38" s="477"/>
      <c r="D38" s="477"/>
      <c r="E38" s="1743">
        <f>SUM(C58:D61,H58:H61)</f>
        <v>8281</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3">
        <f>SUM(C24:C43)</f>
        <v>0</v>
      </c>
      <c r="D44" s="1703">
        <f t="shared" ref="D44:K44" si="6">SUM(D24:D43)</f>
        <v>0</v>
      </c>
      <c r="E44" s="1703">
        <f t="shared" si="6"/>
        <v>23864</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v>15583</v>
      </c>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v>8281</v>
      </c>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3">
        <f t="shared" ref="C76:K76" si="7">SUM(C47:C75)</f>
        <v>23864</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1177</v>
      </c>
      <c r="B77" s="2120"/>
      <c r="C77" s="1703">
        <f t="shared" ref="C77:K77" si="8">C44-C76</f>
        <v>-23864</v>
      </c>
      <c r="D77" s="1703">
        <f t="shared" si="8"/>
        <v>0</v>
      </c>
      <c r="E77" s="1703">
        <f t="shared" si="8"/>
        <v>23864</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597</v>
      </c>
      <c r="B78" s="2124"/>
      <c r="C78" s="1702">
        <f t="shared" ref="C78:K78" si="9">C20+C77</f>
        <v>672932</v>
      </c>
      <c r="D78" s="1702">
        <f t="shared" si="9"/>
        <v>116162</v>
      </c>
      <c r="E78" s="1702">
        <f t="shared" si="9"/>
        <v>109509</v>
      </c>
      <c r="F78" s="1702">
        <f t="shared" si="9"/>
        <v>-198642</v>
      </c>
      <c r="G78" s="1702">
        <f t="shared" si="9"/>
        <v>91043</v>
      </c>
      <c r="H78" s="1702">
        <f t="shared" si="9"/>
        <v>-448151</v>
      </c>
      <c r="I78" s="1702">
        <f t="shared" si="9"/>
        <v>30637</v>
      </c>
      <c r="J78" s="1702">
        <f t="shared" si="9"/>
        <v>0</v>
      </c>
      <c r="K78" s="1702">
        <f t="shared" si="9"/>
        <v>0</v>
      </c>
      <c r="L78" s="533"/>
    </row>
    <row r="79" spans="1:12" ht="13.5" thickTop="1" x14ac:dyDescent="0.2">
      <c r="A79" s="1494" t="s">
        <v>1949</v>
      </c>
      <c r="B79" s="534"/>
      <c r="C79" s="478">
        <v>5513224</v>
      </c>
      <c r="D79" s="535">
        <v>706213</v>
      </c>
      <c r="E79" s="535">
        <v>304923</v>
      </c>
      <c r="F79" s="535">
        <v>582832</v>
      </c>
      <c r="G79" s="535">
        <v>269965</v>
      </c>
      <c r="H79" s="535">
        <v>548352</v>
      </c>
      <c r="I79" s="535">
        <v>0</v>
      </c>
      <c r="J79" s="535"/>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1950</v>
      </c>
      <c r="B81" s="2122"/>
      <c r="C81" s="1688">
        <f>(SUM(C78:C80))</f>
        <v>6186156</v>
      </c>
      <c r="D81" s="1688">
        <f>SUM(D78:D80)</f>
        <v>822375</v>
      </c>
      <c r="E81" s="1688">
        <f t="shared" ref="E81:K81" si="10">SUM(E78:E80)</f>
        <v>414432</v>
      </c>
      <c r="F81" s="1688">
        <f t="shared" si="10"/>
        <v>384190</v>
      </c>
      <c r="G81" s="1688">
        <f t="shared" si="10"/>
        <v>361008</v>
      </c>
      <c r="H81" s="1688">
        <f t="shared" si="10"/>
        <v>100201</v>
      </c>
      <c r="I81" s="1688">
        <f t="shared" si="10"/>
        <v>30637</v>
      </c>
      <c r="J81" s="1688">
        <f t="shared" si="10"/>
        <v>0</v>
      </c>
      <c r="K81" s="1688">
        <f t="shared" si="10"/>
        <v>0</v>
      </c>
      <c r="L81" s="347"/>
    </row>
    <row r="82" spans="1:12" ht="0.75" customHeight="1" thickTop="1" thickBot="1" x14ac:dyDescent="0.25">
      <c r="A82" s="536" t="s">
        <v>343</v>
      </c>
      <c r="B82" s="537"/>
      <c r="C82" s="538">
        <f>(C81-C79)</f>
        <v>672932</v>
      </c>
      <c r="D82" s="538">
        <f t="shared" ref="D82:K82" si="11">(D81-D79)</f>
        <v>116162</v>
      </c>
      <c r="E82" s="538">
        <f t="shared" si="11"/>
        <v>109509</v>
      </c>
      <c r="F82" s="538">
        <f t="shared" si="11"/>
        <v>-198642</v>
      </c>
      <c r="G82" s="538">
        <f t="shared" si="11"/>
        <v>91043</v>
      </c>
      <c r="H82" s="538">
        <f t="shared" si="11"/>
        <v>-448151</v>
      </c>
      <c r="I82" s="538">
        <f t="shared" si="11"/>
        <v>30637</v>
      </c>
      <c r="J82" s="538">
        <f t="shared" si="11"/>
        <v>0</v>
      </c>
      <c r="K82" s="538">
        <f t="shared" si="11"/>
        <v>0</v>
      </c>
    </row>
    <row r="83" spans="1:12" ht="14.25" hidden="1" thickTop="1" thickBot="1" x14ac:dyDescent="0.25">
      <c r="A83" s="539" t="s">
        <v>344</v>
      </c>
      <c r="B83" s="464"/>
      <c r="C83" s="540">
        <f>C82/C81</f>
        <v>0.10878031527171315</v>
      </c>
      <c r="D83" s="540">
        <f t="shared" ref="D83:K83" si="12">D82/D81</f>
        <v>0.14125186198510412</v>
      </c>
      <c r="E83" s="540">
        <f t="shared" si="12"/>
        <v>0.2642387653463053</v>
      </c>
      <c r="F83" s="540">
        <f t="shared" si="12"/>
        <v>-0.5170410473984226</v>
      </c>
      <c r="G83" s="540">
        <f t="shared" si="12"/>
        <v>0.2521910871781235</v>
      </c>
      <c r="H83" s="540">
        <f t="shared" si="12"/>
        <v>-4.4725202343289991</v>
      </c>
      <c r="I83" s="540">
        <f t="shared" si="12"/>
        <v>1</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91" activePane="bottomLeft" state="frozen"/>
      <selection pane="bottomLeft" activeCell="C117" sqref="C1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3774246</v>
      </c>
      <c r="D5" s="481">
        <v>513417</v>
      </c>
      <c r="E5" s="466">
        <v>468461</v>
      </c>
      <c r="F5" s="548">
        <v>142617</v>
      </c>
      <c r="G5" s="466">
        <v>94077</v>
      </c>
      <c r="H5" s="466"/>
      <c r="I5" s="466">
        <v>30622</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380309</v>
      </c>
      <c r="D7" s="466"/>
      <c r="E7" s="468"/>
      <c r="F7" s="467"/>
      <c r="G7" s="467">
        <v>7560</v>
      </c>
      <c r="H7" s="467"/>
      <c r="I7" s="468"/>
      <c r="J7" s="468"/>
      <c r="K7" s="468"/>
    </row>
    <row r="8" spans="1:12" x14ac:dyDescent="0.2">
      <c r="A8" s="463" t="s">
        <v>413</v>
      </c>
      <c r="B8" s="470">
        <v>1150</v>
      </c>
      <c r="C8" s="475"/>
      <c r="D8" s="475"/>
      <c r="E8" s="477"/>
      <c r="F8" s="477"/>
      <c r="G8" s="481">
        <v>94077</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4154555</v>
      </c>
      <c r="D12" s="1707">
        <f t="shared" si="0"/>
        <v>513417</v>
      </c>
      <c r="E12" s="1707">
        <f t="shared" si="0"/>
        <v>468461</v>
      </c>
      <c r="F12" s="1707">
        <f t="shared" si="0"/>
        <v>142617</v>
      </c>
      <c r="G12" s="1707">
        <f t="shared" si="0"/>
        <v>195714</v>
      </c>
      <c r="H12" s="1707">
        <f t="shared" si="0"/>
        <v>0</v>
      </c>
      <c r="I12" s="1707">
        <f t="shared" si="0"/>
        <v>30622</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19525</v>
      </c>
      <c r="D16" s="466"/>
      <c r="E16" s="466"/>
      <c r="F16" s="466"/>
      <c r="G16" s="466">
        <v>1686</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19525</v>
      </c>
      <c r="D18" s="1710">
        <f t="shared" ref="D18:K18" si="1">SUM(D14:D17)</f>
        <v>0</v>
      </c>
      <c r="E18" s="1710">
        <f t="shared" si="1"/>
        <v>0</v>
      </c>
      <c r="F18" s="1710">
        <f t="shared" si="1"/>
        <v>0</v>
      </c>
      <c r="G18" s="1710">
        <f t="shared" si="1"/>
        <v>1686</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84446</v>
      </c>
      <c r="D65" s="466">
        <v>11274</v>
      </c>
      <c r="E65" s="466">
        <v>9998</v>
      </c>
      <c r="F65" s="467">
        <v>3855</v>
      </c>
      <c r="G65" s="466">
        <v>18700</v>
      </c>
      <c r="H65" s="466">
        <v>18557</v>
      </c>
      <c r="I65" s="466">
        <v>15</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84446</v>
      </c>
      <c r="D67" s="1688">
        <f t="shared" ref="D67:K67" si="2">SUM(D65:D66)</f>
        <v>11274</v>
      </c>
      <c r="E67" s="1688">
        <f t="shared" si="2"/>
        <v>9998</v>
      </c>
      <c r="F67" s="1688">
        <f t="shared" si="2"/>
        <v>3855</v>
      </c>
      <c r="G67" s="1688">
        <f t="shared" si="2"/>
        <v>18700</v>
      </c>
      <c r="H67" s="1688">
        <f t="shared" si="2"/>
        <v>18557</v>
      </c>
      <c r="I67" s="1688">
        <f t="shared" si="2"/>
        <v>15</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23383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23383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44281</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20687</v>
      </c>
      <c r="D81" s="466"/>
      <c r="E81" s="468"/>
      <c r="F81" s="468"/>
      <c r="G81" s="468"/>
      <c r="H81" s="468"/>
      <c r="I81" s="468"/>
      <c r="J81" s="468"/>
      <c r="K81" s="468"/>
    </row>
    <row r="82" spans="1:11" ht="12.75" customHeight="1" thickBot="1" x14ac:dyDescent="0.25">
      <c r="A82" s="1708" t="s">
        <v>241</v>
      </c>
      <c r="B82" s="1709"/>
      <c r="C82" s="1707">
        <f>SUM(C77:C81)</f>
        <v>64968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1191</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4575</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82119</v>
      </c>
      <c r="D107" s="466">
        <v>650</v>
      </c>
      <c r="E107" s="466"/>
      <c r="F107" s="466"/>
      <c r="G107" s="466"/>
      <c r="H107" s="466"/>
      <c r="I107" s="466"/>
      <c r="J107" s="467"/>
      <c r="K107" s="466"/>
    </row>
    <row r="108" spans="1:12" ht="12.75" customHeight="1" thickBot="1" x14ac:dyDescent="0.25">
      <c r="A108" s="1708" t="s">
        <v>487</v>
      </c>
      <c r="B108" s="1712"/>
      <c r="C108" s="1707">
        <f>SUM(C95:C107)</f>
        <v>86694</v>
      </c>
      <c r="D108" s="1707">
        <f t="shared" ref="D108:K108" si="3">SUM(D95:D107)</f>
        <v>1841</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4433571</v>
      </c>
      <c r="D109" s="1715">
        <f t="shared" si="4"/>
        <v>526532</v>
      </c>
      <c r="E109" s="1715">
        <f t="shared" si="4"/>
        <v>478459</v>
      </c>
      <c r="F109" s="1715">
        <f t="shared" si="4"/>
        <v>146472</v>
      </c>
      <c r="G109" s="1715">
        <f t="shared" si="4"/>
        <v>216100</v>
      </c>
      <c r="H109" s="1715">
        <f t="shared" si="4"/>
        <v>18557</v>
      </c>
      <c r="I109" s="1715">
        <f t="shared" si="4"/>
        <v>30637</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1398973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1398973</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4774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4774</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1260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v>69276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69276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96500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5" t="s">
        <v>398</v>
      </c>
      <c r="B169" s="2146"/>
      <c r="C169" s="1722">
        <f t="shared" ref="C169:K169" si="6">SUM(C132,C141,C145,C146:C150,C155,C156:C167,C168)</f>
        <v>102534</v>
      </c>
      <c r="D169" s="1722">
        <f t="shared" si="6"/>
        <v>0</v>
      </c>
      <c r="E169" s="1722">
        <f t="shared" si="6"/>
        <v>0</v>
      </c>
      <c r="F169" s="1722">
        <f t="shared" si="6"/>
        <v>69276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1501507</v>
      </c>
      <c r="D170" s="1715">
        <f t="shared" si="7"/>
        <v>0</v>
      </c>
      <c r="E170" s="1715">
        <f t="shared" si="7"/>
        <v>0</v>
      </c>
      <c r="F170" s="1715">
        <f t="shared" si="7"/>
        <v>69276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66517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3792</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70309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49155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49155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3579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83413</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86992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6962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213418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213418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6148496</v>
      </c>
      <c r="D268" s="1715">
        <f t="shared" si="12"/>
        <v>526532</v>
      </c>
      <c r="E268" s="1715">
        <f t="shared" si="12"/>
        <v>478459</v>
      </c>
      <c r="F268" s="1715">
        <f t="shared" si="12"/>
        <v>215748</v>
      </c>
      <c r="G268" s="1715">
        <f t="shared" si="12"/>
        <v>216100</v>
      </c>
      <c r="H268" s="1715">
        <f t="shared" si="12"/>
        <v>18557</v>
      </c>
      <c r="I268" s="1715">
        <f t="shared" si="12"/>
        <v>30637</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5" activePane="bottomLeft" state="frozen"/>
      <selection pane="bottomLeft" activeCell="H171" sqref="H1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1766774</v>
      </c>
      <c r="D5" s="466">
        <v>448624</v>
      </c>
      <c r="E5" s="466">
        <v>15897</v>
      </c>
      <c r="F5" s="466">
        <v>92306</v>
      </c>
      <c r="G5" s="466">
        <v>7493</v>
      </c>
      <c r="H5" s="466"/>
      <c r="I5" s="467"/>
      <c r="J5" s="467"/>
      <c r="K5" s="1671">
        <f>SUM(C5:J5)</f>
        <v>2331094</v>
      </c>
      <c r="L5" s="466">
        <v>2231798</v>
      </c>
    </row>
    <row r="6" spans="1:14" x14ac:dyDescent="0.2">
      <c r="A6" s="1504" t="s">
        <v>1433</v>
      </c>
      <c r="B6" s="614" t="s">
        <v>1431</v>
      </c>
      <c r="C6" s="477"/>
      <c r="D6" s="477"/>
      <c r="E6" s="466"/>
      <c r="F6" s="477"/>
      <c r="G6" s="477"/>
      <c r="H6" s="477"/>
      <c r="I6" s="477"/>
      <c r="J6" s="477"/>
      <c r="K6" s="1671">
        <f>SUM(C6,E6)</f>
        <v>0</v>
      </c>
      <c r="L6" s="466">
        <v>21253</v>
      </c>
    </row>
    <row r="7" spans="1:14" x14ac:dyDescent="0.2">
      <c r="A7" s="1504" t="s">
        <v>163</v>
      </c>
      <c r="B7" s="614" t="s">
        <v>967</v>
      </c>
      <c r="C7" s="467">
        <v>25042</v>
      </c>
      <c r="D7" s="467">
        <v>3400</v>
      </c>
      <c r="E7" s="467"/>
      <c r="F7" s="467">
        <v>1851</v>
      </c>
      <c r="G7" s="467"/>
      <c r="H7" s="467"/>
      <c r="I7" s="467"/>
      <c r="J7" s="467"/>
      <c r="K7" s="1671">
        <f t="shared" ref="K7:K32" si="0">SUM(C7:J7)</f>
        <v>30293</v>
      </c>
      <c r="L7" s="466">
        <v>536231</v>
      </c>
    </row>
    <row r="8" spans="1:14" x14ac:dyDescent="0.2">
      <c r="A8" s="1504" t="s">
        <v>164</v>
      </c>
      <c r="B8" s="614">
        <v>1200</v>
      </c>
      <c r="C8" s="466">
        <v>475740</v>
      </c>
      <c r="D8" s="466">
        <v>97370</v>
      </c>
      <c r="E8" s="466">
        <v>100</v>
      </c>
      <c r="F8" s="466">
        <v>12143</v>
      </c>
      <c r="G8" s="466">
        <v>7102</v>
      </c>
      <c r="H8" s="466"/>
      <c r="I8" s="467"/>
      <c r="J8" s="467"/>
      <c r="K8" s="1671">
        <f t="shared" si="0"/>
        <v>592455</v>
      </c>
      <c r="L8" s="466">
        <v>722950</v>
      </c>
    </row>
    <row r="9" spans="1:14" x14ac:dyDescent="0.2">
      <c r="A9" s="1504" t="s">
        <v>721</v>
      </c>
      <c r="B9" s="614" t="s">
        <v>968</v>
      </c>
      <c r="C9" s="467">
        <v>3886</v>
      </c>
      <c r="D9" s="467">
        <v>409</v>
      </c>
      <c r="E9" s="467"/>
      <c r="F9" s="467"/>
      <c r="G9" s="467"/>
      <c r="H9" s="467"/>
      <c r="I9" s="467"/>
      <c r="J9" s="467"/>
      <c r="K9" s="1671">
        <f t="shared" si="0"/>
        <v>4295</v>
      </c>
      <c r="L9" s="466">
        <v>46900</v>
      </c>
    </row>
    <row r="10" spans="1:14" x14ac:dyDescent="0.2">
      <c r="A10" s="1504" t="s">
        <v>722</v>
      </c>
      <c r="B10" s="614">
        <v>1250</v>
      </c>
      <c r="C10" s="466"/>
      <c r="D10" s="466"/>
      <c r="E10" s="466">
        <v>30219</v>
      </c>
      <c r="F10" s="466">
        <v>39706</v>
      </c>
      <c r="G10" s="466"/>
      <c r="H10" s="466"/>
      <c r="I10" s="467"/>
      <c r="J10" s="467"/>
      <c r="K10" s="1671">
        <f t="shared" si="0"/>
        <v>69925</v>
      </c>
      <c r="L10" s="466">
        <v>61275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49323</v>
      </c>
      <c r="D14" s="466">
        <v>6508</v>
      </c>
      <c r="E14" s="466"/>
      <c r="F14" s="466"/>
      <c r="G14" s="466"/>
      <c r="H14" s="466"/>
      <c r="I14" s="467"/>
      <c r="J14" s="467"/>
      <c r="K14" s="1671">
        <f t="shared" si="0"/>
        <v>55831</v>
      </c>
      <c r="L14" s="466">
        <v>68950</v>
      </c>
    </row>
    <row r="15" spans="1:14" x14ac:dyDescent="0.2">
      <c r="A15" s="1504" t="s">
        <v>964</v>
      </c>
      <c r="B15" s="614">
        <v>1600</v>
      </c>
      <c r="C15" s="466"/>
      <c r="D15" s="466"/>
      <c r="E15" s="466"/>
      <c r="F15" s="466"/>
      <c r="G15" s="466"/>
      <c r="H15" s="466"/>
      <c r="I15" s="467"/>
      <c r="J15" s="467"/>
      <c r="K15" s="1671">
        <f t="shared" si="0"/>
        <v>0</v>
      </c>
      <c r="L15" s="466">
        <v>100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2320765</v>
      </c>
      <c r="D33" s="1670">
        <f t="shared" ref="D33:L33" si="1">SUM(D5:D32)</f>
        <v>556311</v>
      </c>
      <c r="E33" s="1670">
        <f t="shared" si="1"/>
        <v>46216</v>
      </c>
      <c r="F33" s="1670">
        <f t="shared" si="1"/>
        <v>146006</v>
      </c>
      <c r="G33" s="1670">
        <f t="shared" si="1"/>
        <v>14595</v>
      </c>
      <c r="H33" s="1670">
        <f t="shared" si="1"/>
        <v>0</v>
      </c>
      <c r="I33" s="1670">
        <f t="shared" si="1"/>
        <v>0</v>
      </c>
      <c r="J33" s="1670">
        <f t="shared" si="1"/>
        <v>0</v>
      </c>
      <c r="K33" s="1670">
        <f t="shared" si="1"/>
        <v>3083893</v>
      </c>
      <c r="L33" s="1670">
        <f t="shared" si="1"/>
        <v>3689457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41966</v>
      </c>
      <c r="D36" s="481">
        <v>17134</v>
      </c>
      <c r="E36" s="481"/>
      <c r="F36" s="481"/>
      <c r="G36" s="481"/>
      <c r="H36" s="481"/>
      <c r="I36" s="467"/>
      <c r="J36" s="467"/>
      <c r="K36" s="1671">
        <f t="shared" ref="K36:K41" si="2">SUM(C36:J36)</f>
        <v>59100</v>
      </c>
      <c r="L36" s="466">
        <v>63460</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16868</v>
      </c>
      <c r="D38" s="466"/>
      <c r="E38" s="466">
        <v>25125</v>
      </c>
      <c r="F38" s="466">
        <v>801</v>
      </c>
      <c r="G38" s="466"/>
      <c r="H38" s="466"/>
      <c r="I38" s="467"/>
      <c r="J38" s="467"/>
      <c r="K38" s="1671">
        <f t="shared" si="2"/>
        <v>42794</v>
      </c>
      <c r="L38" s="466">
        <v>70900</v>
      </c>
    </row>
    <row r="39" spans="1:14" x14ac:dyDescent="0.2">
      <c r="A39" s="1504" t="s">
        <v>199</v>
      </c>
      <c r="B39" s="614">
        <v>2140</v>
      </c>
      <c r="C39" s="466"/>
      <c r="D39" s="466"/>
      <c r="E39" s="466">
        <v>741</v>
      </c>
      <c r="F39" s="466"/>
      <c r="G39" s="466"/>
      <c r="H39" s="466"/>
      <c r="I39" s="467"/>
      <c r="J39" s="467"/>
      <c r="K39" s="1671">
        <f t="shared" si="2"/>
        <v>741</v>
      </c>
      <c r="L39" s="466">
        <v>1500</v>
      </c>
    </row>
    <row r="40" spans="1:14" x14ac:dyDescent="0.2">
      <c r="A40" s="1504" t="s">
        <v>200</v>
      </c>
      <c r="B40" s="614">
        <v>2150</v>
      </c>
      <c r="C40" s="466"/>
      <c r="D40" s="466"/>
      <c r="E40" s="466"/>
      <c r="F40" s="466"/>
      <c r="G40" s="466"/>
      <c r="H40" s="466"/>
      <c r="I40" s="467"/>
      <c r="J40" s="467"/>
      <c r="K40" s="1671">
        <f t="shared" si="2"/>
        <v>0</v>
      </c>
      <c r="L40" s="466">
        <v>106500</v>
      </c>
    </row>
    <row r="41" spans="1:14" x14ac:dyDescent="0.2">
      <c r="A41" s="1504" t="s">
        <v>1669</v>
      </c>
      <c r="B41" s="614">
        <v>2190</v>
      </c>
      <c r="C41" s="466"/>
      <c r="D41" s="466"/>
      <c r="E41" s="466"/>
      <c r="F41" s="466"/>
      <c r="G41" s="466"/>
      <c r="H41" s="466">
        <v>400</v>
      </c>
      <c r="I41" s="467"/>
      <c r="J41" s="467"/>
      <c r="K41" s="1671">
        <f t="shared" si="2"/>
        <v>400</v>
      </c>
      <c r="L41" s="466">
        <v>500</v>
      </c>
    </row>
    <row r="42" spans="1:14" ht="12.75" customHeight="1" thickBot="1" x14ac:dyDescent="0.25">
      <c r="A42" s="1668" t="s">
        <v>560</v>
      </c>
      <c r="B42" s="1669" t="s">
        <v>716</v>
      </c>
      <c r="C42" s="1670">
        <f>SUM(C36:C41)</f>
        <v>58834</v>
      </c>
      <c r="D42" s="1670">
        <f t="shared" ref="D42:L42" si="3">SUM(D36:D41)</f>
        <v>17134</v>
      </c>
      <c r="E42" s="1670">
        <f t="shared" si="3"/>
        <v>25866</v>
      </c>
      <c r="F42" s="1670">
        <f t="shared" si="3"/>
        <v>801</v>
      </c>
      <c r="G42" s="1670">
        <f t="shared" si="3"/>
        <v>0</v>
      </c>
      <c r="H42" s="1670">
        <f t="shared" si="3"/>
        <v>400</v>
      </c>
      <c r="I42" s="1670">
        <f t="shared" si="3"/>
        <v>0</v>
      </c>
      <c r="J42" s="1670">
        <f t="shared" si="3"/>
        <v>0</v>
      </c>
      <c r="K42" s="1670">
        <f t="shared" si="3"/>
        <v>103035</v>
      </c>
      <c r="L42" s="1670">
        <f t="shared" si="3"/>
        <v>242860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1718</v>
      </c>
      <c r="E44" s="481">
        <v>15836</v>
      </c>
      <c r="F44" s="481">
        <v>1159</v>
      </c>
      <c r="G44" s="481"/>
      <c r="H44" s="481">
        <v>769</v>
      </c>
      <c r="I44" s="467"/>
      <c r="J44" s="467"/>
      <c r="K44" s="1672">
        <f>SUM(C44:J44)</f>
        <v>19482</v>
      </c>
      <c r="L44" s="481">
        <v>24961</v>
      </c>
    </row>
    <row r="45" spans="1:14" x14ac:dyDescent="0.2">
      <c r="A45" s="1504" t="s">
        <v>815</v>
      </c>
      <c r="B45" s="614">
        <v>2220</v>
      </c>
      <c r="C45" s="466">
        <v>193503</v>
      </c>
      <c r="D45" s="466">
        <v>27182</v>
      </c>
      <c r="E45" s="466">
        <v>102016</v>
      </c>
      <c r="F45" s="466">
        <v>17500</v>
      </c>
      <c r="G45" s="466">
        <v>63935</v>
      </c>
      <c r="H45" s="466"/>
      <c r="I45" s="467"/>
      <c r="J45" s="467"/>
      <c r="K45" s="1672">
        <f>SUM(C45:J45)</f>
        <v>404136</v>
      </c>
      <c r="L45" s="466">
        <v>110463</v>
      </c>
    </row>
    <row r="46" spans="1:14" x14ac:dyDescent="0.2">
      <c r="A46" s="1504" t="s">
        <v>816</v>
      </c>
      <c r="B46" s="614">
        <v>2230</v>
      </c>
      <c r="C46" s="466"/>
      <c r="D46" s="466"/>
      <c r="E46" s="466"/>
      <c r="F46" s="466">
        <v>258</v>
      </c>
      <c r="G46" s="466"/>
      <c r="H46" s="466"/>
      <c r="I46" s="467"/>
      <c r="J46" s="467"/>
      <c r="K46" s="1672">
        <f>SUM(C46:J46)</f>
        <v>258</v>
      </c>
      <c r="L46" s="466">
        <v>373606</v>
      </c>
    </row>
    <row r="47" spans="1:14" ht="12.75" customHeight="1" thickBot="1" x14ac:dyDescent="0.25">
      <c r="A47" s="1668" t="s">
        <v>561</v>
      </c>
      <c r="B47" s="1669" t="s">
        <v>32</v>
      </c>
      <c r="C47" s="1670">
        <f>SUM(C44:C46)</f>
        <v>193503</v>
      </c>
      <c r="D47" s="1670">
        <f t="shared" ref="D47:K47" si="4">SUM(D44:D46)</f>
        <v>28900</v>
      </c>
      <c r="E47" s="1670">
        <f t="shared" si="4"/>
        <v>117852</v>
      </c>
      <c r="F47" s="1670">
        <f t="shared" si="4"/>
        <v>18917</v>
      </c>
      <c r="G47" s="1670">
        <f t="shared" si="4"/>
        <v>63935</v>
      </c>
      <c r="H47" s="1670">
        <f t="shared" si="4"/>
        <v>769</v>
      </c>
      <c r="I47" s="1670">
        <f t="shared" si="4"/>
        <v>0</v>
      </c>
      <c r="J47" s="1670">
        <f t="shared" si="4"/>
        <v>0</v>
      </c>
      <c r="K47" s="1670">
        <f t="shared" si="4"/>
        <v>423876</v>
      </c>
      <c r="L47" s="1670">
        <f>SUM(L44:L46)</f>
        <v>509030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25951</v>
      </c>
      <c r="D49" s="481"/>
      <c r="E49" s="481">
        <v>175247</v>
      </c>
      <c r="F49" s="481">
        <v>3916</v>
      </c>
      <c r="G49" s="481"/>
      <c r="H49" s="481">
        <v>2994</v>
      </c>
      <c r="I49" s="467"/>
      <c r="J49" s="467"/>
      <c r="K49" s="1672">
        <f>SUM(C49:J49)</f>
        <v>208108</v>
      </c>
      <c r="L49" s="481">
        <v>183700</v>
      </c>
    </row>
    <row r="50" spans="1:14" x14ac:dyDescent="0.2">
      <c r="A50" s="1504" t="s">
        <v>818</v>
      </c>
      <c r="B50" s="614">
        <v>2320</v>
      </c>
      <c r="C50" s="466">
        <v>144000</v>
      </c>
      <c r="D50" s="466">
        <v>55988</v>
      </c>
      <c r="E50" s="466">
        <v>2285</v>
      </c>
      <c r="F50" s="466">
        <v>338</v>
      </c>
      <c r="G50" s="466">
        <v>1928</v>
      </c>
      <c r="H50" s="466">
        <v>1448</v>
      </c>
      <c r="I50" s="467"/>
      <c r="J50" s="467"/>
      <c r="K50" s="1672">
        <f>SUM(C50:J50)</f>
        <v>205987</v>
      </c>
      <c r="L50" s="466">
        <v>253800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169951</v>
      </c>
      <c r="D53" s="1670">
        <f t="shared" ref="D53:L53" si="5">SUM(D49:D52)</f>
        <v>55988</v>
      </c>
      <c r="E53" s="1670">
        <f t="shared" si="5"/>
        <v>177532</v>
      </c>
      <c r="F53" s="1670">
        <f t="shared" si="5"/>
        <v>4254</v>
      </c>
      <c r="G53" s="1670">
        <f t="shared" si="5"/>
        <v>1928</v>
      </c>
      <c r="H53" s="1670">
        <f t="shared" si="5"/>
        <v>4442</v>
      </c>
      <c r="I53" s="1670">
        <f t="shared" si="5"/>
        <v>0</v>
      </c>
      <c r="J53" s="1670">
        <f t="shared" si="5"/>
        <v>0</v>
      </c>
      <c r="K53" s="1670">
        <f t="shared" si="5"/>
        <v>414095</v>
      </c>
      <c r="L53" s="1670">
        <f t="shared" si="5"/>
        <v>437500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243414</v>
      </c>
      <c r="D55" s="481">
        <v>80361</v>
      </c>
      <c r="E55" s="481">
        <v>32997</v>
      </c>
      <c r="F55" s="481">
        <v>831</v>
      </c>
      <c r="G55" s="481"/>
      <c r="H55" s="481"/>
      <c r="I55" s="467"/>
      <c r="J55" s="467"/>
      <c r="K55" s="1672">
        <f>SUM(C55:J55)</f>
        <v>357603</v>
      </c>
      <c r="L55" s="481">
        <v>394631</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243414</v>
      </c>
      <c r="D57" s="1674">
        <f t="shared" ref="D57:K57" si="6">SUM(D55:D56)</f>
        <v>80361</v>
      </c>
      <c r="E57" s="1674">
        <f t="shared" si="6"/>
        <v>32997</v>
      </c>
      <c r="F57" s="1674">
        <f t="shared" si="6"/>
        <v>831</v>
      </c>
      <c r="G57" s="1674">
        <f t="shared" si="6"/>
        <v>0</v>
      </c>
      <c r="H57" s="1674">
        <f t="shared" si="6"/>
        <v>0</v>
      </c>
      <c r="I57" s="1674">
        <f t="shared" si="6"/>
        <v>0</v>
      </c>
      <c r="J57" s="1674">
        <f t="shared" si="6"/>
        <v>0</v>
      </c>
      <c r="K57" s="1674">
        <f t="shared" si="6"/>
        <v>357603</v>
      </c>
      <c r="L57" s="1670">
        <f>SUM(L55:L56)</f>
        <v>394631</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79031</v>
      </c>
      <c r="D60" s="466">
        <v>19730</v>
      </c>
      <c r="E60" s="466">
        <v>7555</v>
      </c>
      <c r="F60" s="466">
        <v>15562</v>
      </c>
      <c r="G60" s="466"/>
      <c r="H60" s="466"/>
      <c r="I60" s="467"/>
      <c r="J60" s="467"/>
      <c r="K60" s="1672">
        <f t="shared" si="7"/>
        <v>121878</v>
      </c>
      <c r="L60" s="466">
        <v>124500</v>
      </c>
      <c r="M60" s="609"/>
      <c r="N60" s="609"/>
    </row>
    <row r="61" spans="1:14" s="343" customFormat="1" x14ac:dyDescent="0.2">
      <c r="A61" s="1504" t="s">
        <v>197</v>
      </c>
      <c r="B61" s="614">
        <v>2540</v>
      </c>
      <c r="C61" s="466"/>
      <c r="D61" s="466">
        <v>7172</v>
      </c>
      <c r="E61" s="466">
        <v>18974</v>
      </c>
      <c r="F61" s="466"/>
      <c r="G61" s="466"/>
      <c r="H61" s="466"/>
      <c r="I61" s="467"/>
      <c r="J61" s="467"/>
      <c r="K61" s="1672">
        <f t="shared" si="7"/>
        <v>26146</v>
      </c>
      <c r="L61" s="466">
        <v>34700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31457</v>
      </c>
      <c r="D63" s="466">
        <v>2527</v>
      </c>
      <c r="E63" s="466">
        <v>101680</v>
      </c>
      <c r="F63" s="466">
        <v>2691</v>
      </c>
      <c r="G63" s="466"/>
      <c r="H63" s="466"/>
      <c r="I63" s="467"/>
      <c r="J63" s="467"/>
      <c r="K63" s="1672">
        <f t="shared" si="7"/>
        <v>138355</v>
      </c>
      <c r="L63" s="466">
        <v>219800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110488</v>
      </c>
      <c r="D65" s="1670">
        <f t="shared" ref="D65:L65" si="8">SUM(D59:D64)</f>
        <v>29429</v>
      </c>
      <c r="E65" s="1670">
        <f t="shared" si="8"/>
        <v>128209</v>
      </c>
      <c r="F65" s="1670">
        <f t="shared" si="8"/>
        <v>18253</v>
      </c>
      <c r="G65" s="1670">
        <f t="shared" si="8"/>
        <v>0</v>
      </c>
      <c r="H65" s="1670">
        <f t="shared" si="8"/>
        <v>0</v>
      </c>
      <c r="I65" s="1670">
        <f t="shared" si="8"/>
        <v>0</v>
      </c>
      <c r="J65" s="1670">
        <f t="shared" si="8"/>
        <v>0</v>
      </c>
      <c r="K65" s="1670">
        <f t="shared" si="8"/>
        <v>286379</v>
      </c>
      <c r="L65" s="1670">
        <f t="shared" si="8"/>
        <v>379000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776190</v>
      </c>
      <c r="D74" s="1677">
        <f t="shared" ref="D74:K74" si="10">SUM(D42,D47,D53,D57,D65,D72,D73)</f>
        <v>211812</v>
      </c>
      <c r="E74" s="1677">
        <f t="shared" si="10"/>
        <v>482456</v>
      </c>
      <c r="F74" s="1677">
        <f t="shared" si="10"/>
        <v>43056</v>
      </c>
      <c r="G74" s="1677">
        <f t="shared" si="10"/>
        <v>65863</v>
      </c>
      <c r="H74" s="1677">
        <f t="shared" si="10"/>
        <v>5611</v>
      </c>
      <c r="I74" s="1677">
        <f t="shared" si="10"/>
        <v>0</v>
      </c>
      <c r="J74" s="1677">
        <f t="shared" si="10"/>
        <v>0</v>
      </c>
      <c r="K74" s="1677">
        <f t="shared" si="10"/>
        <v>1584988</v>
      </c>
      <c r="L74" s="1677">
        <f>SUM(L42,L47,L53,L57,L65,L72,L73)</f>
        <v>1963021</v>
      </c>
    </row>
    <row r="75" spans="1:14" s="259" customFormat="1" ht="15.75" customHeight="1" thickTop="1" thickBot="1" x14ac:dyDescent="0.25">
      <c r="A75" s="1610" t="s">
        <v>47</v>
      </c>
      <c r="B75" s="1611" t="s">
        <v>575</v>
      </c>
      <c r="C75" s="573">
        <v>1500</v>
      </c>
      <c r="D75" s="573">
        <v>196</v>
      </c>
      <c r="E75" s="573">
        <v>2280</v>
      </c>
      <c r="F75" s="573">
        <v>7842</v>
      </c>
      <c r="G75" s="573"/>
      <c r="H75" s="573"/>
      <c r="I75" s="531"/>
      <c r="J75" s="531"/>
      <c r="K75" s="1670">
        <f>SUM(C75:J75)</f>
        <v>11818</v>
      </c>
      <c r="L75" s="576">
        <v>6430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771001</v>
      </c>
      <c r="F79" s="616"/>
      <c r="G79" s="616"/>
      <c r="H79" s="466"/>
      <c r="I79" s="477"/>
      <c r="J79" s="477"/>
      <c r="K79" s="1671">
        <f t="shared" si="11"/>
        <v>771001</v>
      </c>
      <c r="L79" s="466">
        <v>625000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771001</v>
      </c>
      <c r="F84" s="616"/>
      <c r="G84" s="616"/>
      <c r="H84" s="1670">
        <f>SUM(H78:H83)</f>
        <v>0</v>
      </c>
      <c r="I84" s="477"/>
      <c r="J84" s="477"/>
      <c r="K84" s="1670">
        <f>SUM(K78:K83)</f>
        <v>771001</v>
      </c>
      <c r="L84" s="1670">
        <f>SUM(L78:L83)</f>
        <v>625000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771001</v>
      </c>
      <c r="F102" s="616"/>
      <c r="G102" s="616"/>
      <c r="H102" s="1677">
        <f>SUM(H84,H92,H100,H101)</f>
        <v>0</v>
      </c>
      <c r="I102" s="477"/>
      <c r="J102" s="477"/>
      <c r="K102" s="1677">
        <f>SUM(K84,K92,K100,K101)</f>
        <v>771001</v>
      </c>
      <c r="L102" s="1677">
        <f>SUM(L84,L92,L100,L101)</f>
        <v>625000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3098455</v>
      </c>
      <c r="D114" s="1670">
        <f t="shared" ref="D114:K114" si="13">SUM(D33,D74,D75,D102,D112,D113)</f>
        <v>768319</v>
      </c>
      <c r="E114" s="1670">
        <f t="shared" si="13"/>
        <v>1301953</v>
      </c>
      <c r="F114" s="1670">
        <f t="shared" si="13"/>
        <v>196904</v>
      </c>
      <c r="G114" s="1670">
        <f t="shared" si="13"/>
        <v>80458</v>
      </c>
      <c r="H114" s="1670">
        <f>SUM(H33,H74,H75,H102,H112,H113)</f>
        <v>5611</v>
      </c>
      <c r="I114" s="1670">
        <f t="shared" si="13"/>
        <v>0</v>
      </c>
      <c r="J114" s="1670">
        <f t="shared" si="13"/>
        <v>0</v>
      </c>
      <c r="K114" s="1670">
        <f t="shared" si="13"/>
        <v>5451700</v>
      </c>
      <c r="L114" s="1670">
        <f>SUM(L33,L74,L75,L102,L112,L113)</f>
        <v>6283908</v>
      </c>
    </row>
    <row r="115" spans="1:14" ht="13.5" thickTop="1" x14ac:dyDescent="0.2">
      <c r="A115" s="2182" t="s">
        <v>996</v>
      </c>
      <c r="B115" s="2183"/>
      <c r="C115" s="618"/>
      <c r="D115" s="618"/>
      <c r="E115" s="618"/>
      <c r="F115" s="618"/>
      <c r="G115" s="618"/>
      <c r="H115" s="618"/>
      <c r="I115" s="618"/>
      <c r="J115" s="618"/>
      <c r="K115" s="1684">
        <f>'Revenues 9-14'!C268-'Expenditures 15-22'!K114</f>
        <v>696796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78736</v>
      </c>
      <c r="F123" s="466"/>
      <c r="G123" s="466">
        <v>110328</v>
      </c>
      <c r="H123" s="466"/>
      <c r="I123" s="467"/>
      <c r="J123" s="467"/>
      <c r="K123" s="1670">
        <f>SUM(C123:J123)</f>
        <v>189064</v>
      </c>
      <c r="L123" s="466">
        <v>263500</v>
      </c>
    </row>
    <row r="124" spans="1:14" ht="14.25" thickTop="1" thickBot="1" x14ac:dyDescent="0.25">
      <c r="A124" s="1504" t="s">
        <v>197</v>
      </c>
      <c r="B124" s="614">
        <v>2540</v>
      </c>
      <c r="C124" s="466">
        <v>72731</v>
      </c>
      <c r="D124" s="466">
        <v>4085</v>
      </c>
      <c r="E124" s="466">
        <v>49954</v>
      </c>
      <c r="F124" s="466">
        <v>94536</v>
      </c>
      <c r="G124" s="466"/>
      <c r="H124" s="466"/>
      <c r="I124" s="467"/>
      <c r="J124" s="467"/>
      <c r="K124" s="1670">
        <f>SUM(C124:J124)</f>
        <v>221306</v>
      </c>
      <c r="L124" s="466">
        <v>299500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72731</v>
      </c>
      <c r="D127" s="1670">
        <f t="shared" ref="D127:L127" si="14">SUM(D122:D126)</f>
        <v>4085</v>
      </c>
      <c r="E127" s="1670">
        <f t="shared" si="14"/>
        <v>128690</v>
      </c>
      <c r="F127" s="1670">
        <f t="shared" si="14"/>
        <v>94536</v>
      </c>
      <c r="G127" s="1670">
        <f t="shared" si="14"/>
        <v>110328</v>
      </c>
      <c r="H127" s="1670">
        <f t="shared" si="14"/>
        <v>0</v>
      </c>
      <c r="I127" s="1670">
        <f t="shared" si="14"/>
        <v>0</v>
      </c>
      <c r="J127" s="1670">
        <f t="shared" si="14"/>
        <v>0</v>
      </c>
      <c r="K127" s="1670">
        <f t="shared" si="14"/>
        <v>410370</v>
      </c>
      <c r="L127" s="1670">
        <f t="shared" si="14"/>
        <v>563000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72731</v>
      </c>
      <c r="D129" s="1677">
        <f t="shared" ref="D129:L129" si="15">SUM(D120,D127,D128)</f>
        <v>4085</v>
      </c>
      <c r="E129" s="1677">
        <f t="shared" si="15"/>
        <v>128690</v>
      </c>
      <c r="F129" s="1677">
        <f t="shared" si="15"/>
        <v>94536</v>
      </c>
      <c r="G129" s="1677">
        <f t="shared" si="15"/>
        <v>110328</v>
      </c>
      <c r="H129" s="1677">
        <f t="shared" si="15"/>
        <v>0</v>
      </c>
      <c r="I129" s="1677">
        <f t="shared" si="15"/>
        <v>0</v>
      </c>
      <c r="J129" s="1677">
        <f t="shared" si="15"/>
        <v>0</v>
      </c>
      <c r="K129" s="1677">
        <f t="shared" si="15"/>
        <v>410370</v>
      </c>
      <c r="L129" s="1677">
        <f t="shared" si="15"/>
        <v>563000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4"/>
      <c r="C151" s="1670">
        <f>SUM(C129,C130,C139,C149,C150)</f>
        <v>72731</v>
      </c>
      <c r="D151" s="1670">
        <f t="shared" ref="D151:K151" si="16">SUM(D129,D130,D139,D149,D150)</f>
        <v>4085</v>
      </c>
      <c r="E151" s="1670">
        <f t="shared" si="16"/>
        <v>128690</v>
      </c>
      <c r="F151" s="1670">
        <f t="shared" si="16"/>
        <v>94536</v>
      </c>
      <c r="G151" s="1670">
        <f t="shared" si="16"/>
        <v>110328</v>
      </c>
      <c r="H151" s="1670">
        <f t="shared" si="16"/>
        <v>0</v>
      </c>
      <c r="I151" s="1670">
        <f t="shared" si="16"/>
        <v>0</v>
      </c>
      <c r="J151" s="1670">
        <f t="shared" si="16"/>
        <v>0</v>
      </c>
      <c r="K151" s="1670">
        <f t="shared" si="16"/>
        <v>410370</v>
      </c>
      <c r="L151" s="1670">
        <f>SUM(L129,L130,L139,L149,L150)</f>
        <v>563000</v>
      </c>
    </row>
    <row r="152" spans="1:14" ht="12.75" customHeight="1" thickTop="1" x14ac:dyDescent="0.2">
      <c r="A152" s="2175" t="s">
        <v>1178</v>
      </c>
      <c r="B152" s="2176"/>
      <c r="C152" s="618"/>
      <c r="D152" s="618"/>
      <c r="E152" s="618"/>
      <c r="F152" s="618"/>
      <c r="G152" s="618"/>
      <c r="H152" s="618"/>
      <c r="I152" s="618"/>
      <c r="J152" s="616"/>
      <c r="K152" s="1684">
        <f>'Revenues 9-14'!D268-'Expenditures 15-22'!K151</f>
        <v>116162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v>214250</v>
      </c>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214250</v>
      </c>
    </row>
    <row r="169" spans="1:14" ht="15.75" customHeight="1" thickTop="1" x14ac:dyDescent="0.2">
      <c r="A169" s="669" t="s">
        <v>83</v>
      </c>
      <c r="B169" s="670" t="s">
        <v>38</v>
      </c>
      <c r="C169" s="616"/>
      <c r="D169" s="616"/>
      <c r="E169" s="616"/>
      <c r="F169" s="616"/>
      <c r="G169" s="616"/>
      <c r="H169" s="656">
        <v>116781</v>
      </c>
      <c r="I169" s="616"/>
      <c r="J169" s="616"/>
      <c r="K169" s="1671">
        <f>SUM(C169:H169)</f>
        <v>116781</v>
      </c>
      <c r="L169" s="656">
        <v>235000</v>
      </c>
    </row>
    <row r="170" spans="1:14" ht="33.75" customHeight="1" x14ac:dyDescent="0.2">
      <c r="A170" s="669" t="s">
        <v>1670</v>
      </c>
      <c r="B170" s="671" t="s">
        <v>31</v>
      </c>
      <c r="C170" s="616"/>
      <c r="D170" s="616"/>
      <c r="E170" s="616"/>
      <c r="F170" s="616"/>
      <c r="G170" s="616"/>
      <c r="H170" s="569">
        <v>275583</v>
      </c>
      <c r="I170" s="616"/>
      <c r="J170" s="616"/>
      <c r="K170" s="1671">
        <f>SUM(C170:J170)</f>
        <v>275583</v>
      </c>
      <c r="L170" s="569">
        <v>96000</v>
      </c>
    </row>
    <row r="171" spans="1:14" ht="15.75" customHeight="1" x14ac:dyDescent="0.2">
      <c r="A171" s="621" t="s">
        <v>766</v>
      </c>
      <c r="B171" s="672" t="s">
        <v>84</v>
      </c>
      <c r="C171" s="616"/>
      <c r="D171" s="616"/>
      <c r="E171" s="466">
        <v>450</v>
      </c>
      <c r="F171" s="616"/>
      <c r="G171" s="616"/>
      <c r="H171" s="569"/>
      <c r="I171" s="477"/>
      <c r="J171" s="616"/>
      <c r="K171" s="1671">
        <f>SUM(C171:J171)</f>
        <v>450</v>
      </c>
      <c r="L171" s="569"/>
    </row>
    <row r="172" spans="1:14" ht="12.75" customHeight="1" thickBot="1" x14ac:dyDescent="0.25">
      <c r="A172" s="1668" t="s">
        <v>638</v>
      </c>
      <c r="B172" s="1669" t="s">
        <v>492</v>
      </c>
      <c r="C172" s="616"/>
      <c r="D172" s="616"/>
      <c r="E172" s="1677">
        <f>SUM(E168,E169,E170,E171)</f>
        <v>450</v>
      </c>
      <c r="F172" s="616"/>
      <c r="G172" s="616"/>
      <c r="H172" s="1677">
        <f>SUM(H168,H169,H170,H171)</f>
        <v>392364</v>
      </c>
      <c r="I172" s="638"/>
      <c r="J172" s="616"/>
      <c r="K172" s="1677">
        <f>SUM(K168,K169,K170,K171)</f>
        <v>392814</v>
      </c>
      <c r="L172" s="1677">
        <f>SUM(L168,L169,L170,L171)</f>
        <v>545250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450</v>
      </c>
      <c r="F174" s="616"/>
      <c r="G174" s="616"/>
      <c r="H174" s="1677">
        <f>SUM(H160,H172,H173)</f>
        <v>392364</v>
      </c>
      <c r="I174" s="638"/>
      <c r="J174" s="616"/>
      <c r="K174" s="1677">
        <f>SUM(K160,K172,K173)</f>
        <v>392814</v>
      </c>
      <c r="L174" s="1677">
        <f>SUM(L160,L172,L173)</f>
        <v>545250</v>
      </c>
    </row>
    <row r="175" spans="1:14" ht="13.5" thickTop="1" x14ac:dyDescent="0.2">
      <c r="A175" s="2182" t="s">
        <v>996</v>
      </c>
      <c r="B175" s="2183"/>
      <c r="C175" s="616"/>
      <c r="D175" s="616"/>
      <c r="E175" s="616"/>
      <c r="F175" s="616"/>
      <c r="G175" s="616"/>
      <c r="H175" s="618"/>
      <c r="I175" s="616"/>
      <c r="J175" s="616"/>
      <c r="K175" s="1684">
        <f>'Revenues 9-14'!E268-'Expenditures 15-22'!K174</f>
        <v>85645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23395</v>
      </c>
      <c r="D182" s="466">
        <v>1749</v>
      </c>
      <c r="E182" s="466">
        <v>387945</v>
      </c>
      <c r="F182" s="466">
        <v>1301</v>
      </c>
      <c r="G182" s="466"/>
      <c r="H182" s="466"/>
      <c r="I182" s="467"/>
      <c r="J182" s="467"/>
      <c r="K182" s="1671">
        <f>SUM(C182:J182)</f>
        <v>414390</v>
      </c>
      <c r="L182" s="466">
        <v>256660</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23395</v>
      </c>
      <c r="D184" s="1677">
        <f t="shared" ref="D184:J184" si="17">SUM(D180,D182,D183)</f>
        <v>1749</v>
      </c>
      <c r="E184" s="1677">
        <f t="shared" si="17"/>
        <v>387945</v>
      </c>
      <c r="F184" s="1677">
        <f t="shared" si="17"/>
        <v>1301</v>
      </c>
      <c r="G184" s="1677">
        <f t="shared" si="17"/>
        <v>0</v>
      </c>
      <c r="H184" s="1677">
        <f t="shared" si="17"/>
        <v>0</v>
      </c>
      <c r="I184" s="1677">
        <f t="shared" si="17"/>
        <v>0</v>
      </c>
      <c r="J184" s="1677">
        <f t="shared" si="17"/>
        <v>0</v>
      </c>
      <c r="K184" s="1677">
        <f>SUM(K180,K182,K183)</f>
        <v>414390</v>
      </c>
      <c r="L184" s="1677">
        <f>SUM(L180, L182:L183)</f>
        <v>256660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23395</v>
      </c>
      <c r="D210" s="1670">
        <f>SUM(D184,D185)</f>
        <v>1749</v>
      </c>
      <c r="E210" s="1670">
        <f>SUM(E184,E185,E196)</f>
        <v>387945</v>
      </c>
      <c r="F210" s="1670">
        <f>SUM(F184,F185)</f>
        <v>1301</v>
      </c>
      <c r="G210" s="1670">
        <f>SUM(G184,G185)</f>
        <v>0</v>
      </c>
      <c r="H210" s="1670">
        <f>SUM(H184,H185,H196,H208,H209)</f>
        <v>0</v>
      </c>
      <c r="I210" s="1670">
        <f>SUM(I184,I185)</f>
        <v>0</v>
      </c>
      <c r="J210" s="1670">
        <f>SUM(J184,J185)</f>
        <v>0</v>
      </c>
      <c r="K210" s="1671">
        <f>SUM(K184,K185,K196,K208,K209)</f>
        <v>414390</v>
      </c>
      <c r="L210" s="1670">
        <f>SUM(L184,L185,L196,L208,L209)</f>
        <v>256660</v>
      </c>
    </row>
    <row r="211" spans="1:14" ht="13.5" thickTop="1" x14ac:dyDescent="0.2">
      <c r="A211" s="2182" t="s">
        <v>996</v>
      </c>
      <c r="B211" s="2183"/>
      <c r="C211" s="618"/>
      <c r="D211" s="618"/>
      <c r="E211" s="618"/>
      <c r="F211" s="618"/>
      <c r="G211" s="618"/>
      <c r="H211" s="618"/>
      <c r="I211" s="616"/>
      <c r="J211" s="616"/>
      <c r="K211" s="1684">
        <f>'Revenues 9-14'!F268-'Expenditures 15-22'!K210</f>
        <v>-198642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37561</v>
      </c>
      <c r="E215" s="616"/>
      <c r="F215" s="616"/>
      <c r="G215" s="616"/>
      <c r="H215" s="616"/>
      <c r="I215" s="616"/>
      <c r="J215" s="616"/>
      <c r="K215" s="1671">
        <f>D215</f>
        <v>37561</v>
      </c>
      <c r="L215" s="466">
        <v>36913</v>
      </c>
    </row>
    <row r="216" spans="1:14" x14ac:dyDescent="0.2">
      <c r="A216" s="1504" t="s">
        <v>163</v>
      </c>
      <c r="B216" s="614" t="s">
        <v>967</v>
      </c>
      <c r="C216" s="616"/>
      <c r="D216" s="467">
        <v>4608</v>
      </c>
      <c r="E216" s="616"/>
      <c r="F216" s="616"/>
      <c r="G216" s="616"/>
      <c r="H216" s="616"/>
      <c r="I216" s="616"/>
      <c r="J216" s="616"/>
      <c r="K216" s="1671">
        <f t="shared" ref="K216:K228" si="19">D216</f>
        <v>4608</v>
      </c>
      <c r="L216" s="466">
        <v>10400</v>
      </c>
    </row>
    <row r="217" spans="1:14" x14ac:dyDescent="0.2">
      <c r="A217" s="1504" t="s">
        <v>164</v>
      </c>
      <c r="B217" s="614">
        <v>1200</v>
      </c>
      <c r="C217" s="616"/>
      <c r="D217" s="466">
        <v>16518</v>
      </c>
      <c r="E217" s="616"/>
      <c r="F217" s="616"/>
      <c r="G217" s="616"/>
      <c r="H217" s="616"/>
      <c r="I217" s="616"/>
      <c r="J217" s="616"/>
      <c r="K217" s="1671">
        <f t="shared" si="19"/>
        <v>16518</v>
      </c>
      <c r="L217" s="466">
        <v>18400</v>
      </c>
    </row>
    <row r="218" spans="1:14" x14ac:dyDescent="0.2">
      <c r="A218" s="1504" t="s">
        <v>278</v>
      </c>
      <c r="B218" s="614" t="s">
        <v>968</v>
      </c>
      <c r="C218" s="616"/>
      <c r="D218" s="467">
        <v>61</v>
      </c>
      <c r="E218" s="616"/>
      <c r="F218" s="616"/>
      <c r="G218" s="616"/>
      <c r="H218" s="616"/>
      <c r="I218" s="616"/>
      <c r="J218" s="616"/>
      <c r="K218" s="1671">
        <f t="shared" si="19"/>
        <v>61</v>
      </c>
      <c r="L218" s="466">
        <v>850</v>
      </c>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995</v>
      </c>
      <c r="E223" s="616"/>
      <c r="F223" s="616"/>
      <c r="G223" s="616"/>
      <c r="H223" s="616"/>
      <c r="I223" s="616"/>
      <c r="J223" s="616"/>
      <c r="K223" s="1671">
        <f t="shared" si="19"/>
        <v>995</v>
      </c>
      <c r="L223" s="466">
        <v>1250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59743</v>
      </c>
      <c r="E229" s="616"/>
      <c r="F229" s="616"/>
      <c r="G229" s="616"/>
      <c r="H229" s="616"/>
      <c r="I229" s="616"/>
      <c r="J229" s="616"/>
      <c r="K229" s="1670">
        <f>SUM(K215:K228)</f>
        <v>59743</v>
      </c>
      <c r="L229" s="1670">
        <f>SUM(L215:L228)</f>
        <v>67813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674</v>
      </c>
      <c r="E232" s="616"/>
      <c r="F232" s="616"/>
      <c r="G232" s="616"/>
      <c r="H232" s="616"/>
      <c r="I232" s="616"/>
      <c r="J232" s="616"/>
      <c r="K232" s="1671">
        <f t="shared" ref="K232:K237" si="20">D232</f>
        <v>674</v>
      </c>
      <c r="L232" s="466">
        <v>850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2548</v>
      </c>
      <c r="E234" s="616"/>
      <c r="F234" s="616"/>
      <c r="G234" s="616"/>
      <c r="H234" s="616"/>
      <c r="I234" s="616"/>
      <c r="J234" s="616"/>
      <c r="K234" s="1671">
        <f t="shared" si="20"/>
        <v>2548</v>
      </c>
      <c r="L234" s="466">
        <v>6600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3222</v>
      </c>
      <c r="E238" s="616"/>
      <c r="F238" s="616"/>
      <c r="G238" s="616"/>
      <c r="H238" s="616"/>
      <c r="I238" s="616"/>
      <c r="J238" s="616"/>
      <c r="K238" s="1670">
        <f>SUM(K232:K237)</f>
        <v>3222</v>
      </c>
      <c r="L238" s="1670">
        <f>SUM(L232:L237)</f>
        <v>7450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13327</v>
      </c>
      <c r="E241" s="616"/>
      <c r="F241" s="616"/>
      <c r="G241" s="616"/>
      <c r="H241" s="616"/>
      <c r="I241" s="616"/>
      <c r="J241" s="616"/>
      <c r="K241" s="1672">
        <f>D241</f>
        <v>13327</v>
      </c>
      <c r="L241" s="466">
        <v>5650</v>
      </c>
    </row>
    <row r="242" spans="1:12" x14ac:dyDescent="0.2">
      <c r="A242" s="1504" t="s">
        <v>816</v>
      </c>
      <c r="B242" s="614">
        <v>2230</v>
      </c>
      <c r="C242" s="616"/>
      <c r="D242" s="466"/>
      <c r="E242" s="616"/>
      <c r="F242" s="616"/>
      <c r="G242" s="616"/>
      <c r="H242" s="616"/>
      <c r="I242" s="616"/>
      <c r="J242" s="616"/>
      <c r="K242" s="1672">
        <f>D242</f>
        <v>0</v>
      </c>
      <c r="L242" s="466">
        <v>1750</v>
      </c>
    </row>
    <row r="243" spans="1:12" ht="12.75" customHeight="1" thickBot="1" x14ac:dyDescent="0.25">
      <c r="A243" s="1694" t="s">
        <v>561</v>
      </c>
      <c r="B243" s="1695">
        <v>2200</v>
      </c>
      <c r="C243" s="616"/>
      <c r="D243" s="1670">
        <f>SUM(D240:D242)</f>
        <v>13327</v>
      </c>
      <c r="E243" s="616"/>
      <c r="F243" s="616"/>
      <c r="G243" s="616"/>
      <c r="H243" s="616"/>
      <c r="I243" s="616"/>
      <c r="J243" s="616"/>
      <c r="K243" s="1670">
        <f>SUM(K240:K242)</f>
        <v>13327</v>
      </c>
      <c r="L243" s="1670">
        <f>SUM(L240:L242)</f>
        <v>7400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4186</v>
      </c>
      <c r="E245" s="616"/>
      <c r="F245" s="616"/>
      <c r="G245" s="616"/>
      <c r="H245" s="616"/>
      <c r="I245" s="616"/>
      <c r="J245" s="616"/>
      <c r="K245" s="1672">
        <f>D245</f>
        <v>4186</v>
      </c>
      <c r="L245" s="481">
        <v>5150</v>
      </c>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4186</v>
      </c>
      <c r="E257" s="616"/>
      <c r="F257" s="616"/>
      <c r="G257" s="616"/>
      <c r="H257" s="616"/>
      <c r="I257" s="616"/>
      <c r="J257" s="616"/>
      <c r="K257" s="1670">
        <f>SUM(K245:K256)</f>
        <v>4186</v>
      </c>
      <c r="L257" s="1670">
        <f>SUM(L245:L256)</f>
        <v>5150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13729</v>
      </c>
      <c r="E259" s="616"/>
      <c r="F259" s="616"/>
      <c r="G259" s="616"/>
      <c r="H259" s="616"/>
      <c r="I259" s="616"/>
      <c r="J259" s="616"/>
      <c r="K259" s="1672">
        <f>D259</f>
        <v>13729</v>
      </c>
      <c r="L259" s="481">
        <v>18200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13729</v>
      </c>
      <c r="E261" s="616"/>
      <c r="F261" s="616"/>
      <c r="G261" s="616"/>
      <c r="H261" s="616"/>
      <c r="I261" s="616"/>
      <c r="J261" s="616"/>
      <c r="K261" s="1670">
        <f>SUM(K259:K260)</f>
        <v>13729</v>
      </c>
      <c r="L261" s="1670">
        <f>SUM(L259:L260)</f>
        <v>18200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15548</v>
      </c>
      <c r="E264" s="616"/>
      <c r="F264" s="616"/>
      <c r="G264" s="616"/>
      <c r="H264" s="616"/>
      <c r="I264" s="616"/>
      <c r="J264" s="616"/>
      <c r="K264" s="1672">
        <f t="shared" ref="K264:K269" si="22">D264</f>
        <v>15548</v>
      </c>
      <c r="L264" s="466">
        <v>14318</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12293</v>
      </c>
      <c r="E266" s="616"/>
      <c r="F266" s="616"/>
      <c r="G266" s="616"/>
      <c r="H266" s="616"/>
      <c r="I266" s="616"/>
      <c r="J266" s="616"/>
      <c r="K266" s="1672">
        <f t="shared" si="22"/>
        <v>12293</v>
      </c>
      <c r="L266" s="466">
        <v>12167</v>
      </c>
    </row>
    <row r="267" spans="1:14" x14ac:dyDescent="0.2">
      <c r="A267" s="1504" t="s">
        <v>953</v>
      </c>
      <c r="B267" s="614">
        <v>2550</v>
      </c>
      <c r="C267" s="616"/>
      <c r="D267" s="466">
        <v>1230</v>
      </c>
      <c r="E267" s="616"/>
      <c r="F267" s="616"/>
      <c r="G267" s="616"/>
      <c r="H267" s="616"/>
      <c r="I267" s="616"/>
      <c r="J267" s="616"/>
      <c r="K267" s="1672">
        <f t="shared" si="22"/>
        <v>1230</v>
      </c>
      <c r="L267" s="466">
        <v>1450</v>
      </c>
    </row>
    <row r="268" spans="1:14" x14ac:dyDescent="0.2">
      <c r="A268" s="1504" t="s">
        <v>100</v>
      </c>
      <c r="B268" s="614">
        <v>2560</v>
      </c>
      <c r="C268" s="616"/>
      <c r="D268" s="466">
        <v>1755</v>
      </c>
      <c r="E268" s="616"/>
      <c r="F268" s="616"/>
      <c r="G268" s="616"/>
      <c r="H268" s="616"/>
      <c r="I268" s="616"/>
      <c r="J268" s="616"/>
      <c r="K268" s="1672">
        <f t="shared" si="22"/>
        <v>1755</v>
      </c>
      <c r="L268" s="466">
        <v>2850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30826</v>
      </c>
      <c r="E270" s="616"/>
      <c r="F270" s="616"/>
      <c r="G270" s="616"/>
      <c r="H270" s="616"/>
      <c r="I270" s="616"/>
      <c r="J270" s="616"/>
      <c r="K270" s="1670">
        <f>SUM(K263:K269)</f>
        <v>30826</v>
      </c>
      <c r="L270" s="1670">
        <f>SUM(L263:L269)</f>
        <v>30785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65290</v>
      </c>
      <c r="E279" s="616"/>
      <c r="F279" s="616"/>
      <c r="G279" s="616"/>
      <c r="H279" s="616"/>
      <c r="I279" s="616"/>
      <c r="J279" s="616"/>
      <c r="K279" s="1677">
        <f>SUM(K238,K243,K257,K261,K270,K277,K278)</f>
        <v>65290</v>
      </c>
      <c r="L279" s="1677">
        <f>SUM(L238,L243,L257,L261,L270,L277,L278)</f>
        <v>68985</v>
      </c>
    </row>
    <row r="280" spans="1:12" ht="15.75" customHeight="1" thickTop="1" thickBot="1" x14ac:dyDescent="0.25">
      <c r="A280" s="1624" t="s">
        <v>875</v>
      </c>
      <c r="B280" s="1613">
        <v>3000</v>
      </c>
      <c r="C280" s="616"/>
      <c r="D280" s="576">
        <v>24</v>
      </c>
      <c r="E280" s="616"/>
      <c r="F280" s="616"/>
      <c r="G280" s="616"/>
      <c r="H280" s="616"/>
      <c r="I280" s="616"/>
      <c r="J280" s="616"/>
      <c r="K280" s="1679">
        <f>D280</f>
        <v>24</v>
      </c>
      <c r="L280" s="576">
        <v>2500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125057</v>
      </c>
      <c r="E295" s="616"/>
      <c r="F295" s="616"/>
      <c r="G295" s="616"/>
      <c r="H295" s="1670">
        <f>H293</f>
        <v>0</v>
      </c>
      <c r="I295" s="616"/>
      <c r="J295" s="616"/>
      <c r="K295" s="1670">
        <f>SUM(K229,K279,K280,K285,K293,K294)</f>
        <v>125057</v>
      </c>
      <c r="L295" s="1670">
        <f>SUM(L229,L279,L280,L285,L293,L294)</f>
        <v>139298</v>
      </c>
    </row>
    <row r="296" spans="1:14" ht="13.5" thickTop="1" x14ac:dyDescent="0.2">
      <c r="A296" s="2182" t="s">
        <v>996</v>
      </c>
      <c r="B296" s="2183"/>
      <c r="C296" s="616"/>
      <c r="D296" s="618"/>
      <c r="E296" s="616"/>
      <c r="F296" s="616"/>
      <c r="G296" s="616"/>
      <c r="H296" s="687"/>
      <c r="I296" s="616"/>
      <c r="J296" s="616"/>
      <c r="K296" s="1684">
        <f>'Revenues 9-14'!G268-'Expenditures 15-22'!K295</f>
        <v>91043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466708</v>
      </c>
      <c r="H301" s="466"/>
      <c r="I301" s="467"/>
      <c r="J301" s="467"/>
      <c r="K301" s="1671">
        <f>SUM(C301:J301)</f>
        <v>466708</v>
      </c>
      <c r="L301" s="467">
        <v>415000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466708</v>
      </c>
      <c r="H303" s="1677">
        <f t="shared" si="23"/>
        <v>0</v>
      </c>
      <c r="I303" s="1677">
        <f t="shared" si="23"/>
        <v>0</v>
      </c>
      <c r="J303" s="1677">
        <f t="shared" si="23"/>
        <v>0</v>
      </c>
      <c r="K303" s="1677">
        <f t="shared" si="23"/>
        <v>466708</v>
      </c>
      <c r="L303" s="1677">
        <f t="shared" si="23"/>
        <v>415000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466708</v>
      </c>
      <c r="H312" s="1670">
        <f>SUM(H303,H310)</f>
        <v>0</v>
      </c>
      <c r="I312" s="1670">
        <f>SUM(I303)</f>
        <v>0</v>
      </c>
      <c r="J312" s="1670">
        <f>SUM(J303)</f>
        <v>0</v>
      </c>
      <c r="K312" s="1670">
        <f>SUM(K303,K310,K311)</f>
        <v>466708</v>
      </c>
      <c r="L312" s="1670">
        <f>SUM(L303,L310,L311)</f>
        <v>415000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-448151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8" t="s">
        <v>996</v>
      </c>
      <c r="B343" s="2169"/>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2" t="s">
        <v>996</v>
      </c>
      <c r="B368" s="2183"/>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www.w3.org/XML/1998/namespace"/>
    <ds:schemaRef ds:uri="http://purl.org/dc/term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4d435f69-8686-490b-bd6d-b153bf22ab50"/>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2019-11-06T15:31:50Z</cp:lastPrinted>
  <dcterms:created xsi:type="dcterms:W3CDTF">2003-10-29T19:06:34Z</dcterms:created>
  <dcterms:modified xsi:type="dcterms:W3CDTF">2019-12-30T14:26:06Z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